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67" activeTab="4"/>
  </bookViews>
  <sheets>
    <sheet name="ORÇAMENTO GERAL" sheetId="1" r:id="rId1"/>
    <sheet name="DADOS" sheetId="2" state="hidden" r:id="rId2"/>
    <sheet name="MC-DRE" sheetId="3" r:id="rId3"/>
    <sheet name="MC-PAV" sheetId="4" r:id="rId4"/>
    <sheet name="CRONOGRAMA" sheetId="5" r:id="rId5"/>
    <sheet name="CPU-I" sheetId="6" r:id="rId6"/>
    <sheet name="CPU-II" sheetId="7" r:id="rId7"/>
    <sheet name="CPU-III" sheetId="8" r:id="rId8"/>
    <sheet name="CPU-IV" sheetId="9" r:id="rId9"/>
    <sheet name="CPU - V" sheetId="10" r:id="rId10"/>
    <sheet name="CPU - VI" sheetId="11" r:id="rId11"/>
    <sheet name="MC -CPU- VI" sheetId="12" r:id="rId12"/>
    <sheet name="ENCARGOS" sheetId="13" r:id="rId13"/>
    <sheet name="BDI" sheetId="14" r:id="rId14"/>
    <sheet name="PV PARA REDE 600" sheetId="15" state="hidden" r:id="rId15"/>
  </sheets>
  <externalReferences>
    <externalReference r:id="rId18"/>
    <externalReference r:id="rId19"/>
    <externalReference r:id="rId20"/>
  </externalReferences>
  <definedNames>
    <definedName name="_xlnm.Print_Area" localSheetId="10">'CPU - VI'!$A$1:$K$15</definedName>
    <definedName name="_xlnm.Print_Area" localSheetId="7">'CPU-III'!$A$1:$H$55</definedName>
    <definedName name="_xlnm.Print_Area" localSheetId="8">'CPU-IV'!$A$1:$G$46</definedName>
    <definedName name="_xlnm.Print_Area" localSheetId="4">'CRONOGRAMA'!$A$1:$P$28</definedName>
    <definedName name="_xlnm.Print_Area" localSheetId="11">'MC -CPU- VI'!$A$1:$M$68</definedName>
    <definedName name="_xlnm.Print_Area" localSheetId="2">'MC-DRE'!$A$1:$P$166</definedName>
    <definedName name="_xlnm.Print_Area" localSheetId="3">'MC-PAV'!$A$1:$T$33</definedName>
    <definedName name="_xlnm.Print_Area" localSheetId="0">'ORÇAMENTO GERAL'!$C$1:$K$80</definedName>
    <definedName name="_xlnm.Print_Titles" localSheetId="2">'MC-DRE'!$1:$6</definedName>
    <definedName name="_xlnm.Print_Titles" localSheetId="0">'ORÇAMENTO GERAL'!$1:$7</definedName>
  </definedNames>
  <calcPr fullCalcOnLoad="1"/>
</workbook>
</file>

<file path=xl/comments1.xml><?xml version="1.0" encoding="utf-8"?>
<comments xmlns="http://schemas.openxmlformats.org/spreadsheetml/2006/main">
  <authors>
    <author>Jeniffer Nascimento</author>
  </authors>
  <commentList>
    <comment ref="E7" authorId="0">
      <text>
        <r>
          <rPr>
            <b/>
            <sz val="11"/>
            <rFont val="Segoe UI"/>
            <family val="2"/>
          </rPr>
          <t>Jeniffer Nascimento:</t>
        </r>
        <r>
          <rPr>
            <sz val="11"/>
            <rFont val="Segoe UI"/>
            <family val="2"/>
          </rPr>
          <t xml:space="preserve">
Desonerado!</t>
        </r>
      </text>
    </comment>
    <comment ref="E72" authorId="0">
      <text>
        <r>
          <rPr>
            <b/>
            <sz val="14"/>
            <rFont val="Segoe UI"/>
            <family val="2"/>
          </rPr>
          <t>Jeniffer Nascimento:</t>
        </r>
        <r>
          <rPr>
            <sz val="14"/>
            <rFont val="Segoe UI"/>
            <family val="2"/>
          </rPr>
          <t xml:space="preserve">
SAIU DO SINAPI</t>
        </r>
      </text>
    </comment>
  </commentList>
</comments>
</file>

<file path=xl/comments15.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8.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9.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sharedStrings.xml><?xml version="1.0" encoding="utf-8"?>
<sst xmlns="http://schemas.openxmlformats.org/spreadsheetml/2006/main" count="1522" uniqueCount="685">
  <si>
    <t>m³</t>
  </si>
  <si>
    <t>SERVIÇOS PRELIMINARES</t>
  </si>
  <si>
    <t>m²</t>
  </si>
  <si>
    <t>m</t>
  </si>
  <si>
    <t>2.1</t>
  </si>
  <si>
    <t>DISPOSITIVOS DE DRENAGEM PROFUNDA</t>
  </si>
  <si>
    <t>DESCRIÇÃO</t>
  </si>
  <si>
    <t>ITEM</t>
  </si>
  <si>
    <t>2.2</t>
  </si>
  <si>
    <t>2.3</t>
  </si>
  <si>
    <t>2.4</t>
  </si>
  <si>
    <t>TOTAL DO ITEM 2:</t>
  </si>
  <si>
    <t>D</t>
  </si>
  <si>
    <t>3.1</t>
  </si>
  <si>
    <t>LIMPEZA FINAL</t>
  </si>
  <si>
    <t>TOTAL DO ITEM 3:</t>
  </si>
  <si>
    <t>DISPOSITIVOS DE DRENAGEM SUPERFICIAL</t>
  </si>
  <si>
    <t>TOTAL DO ITEM 4:</t>
  </si>
  <si>
    <t>5.1</t>
  </si>
  <si>
    <t>m³ x Km</t>
  </si>
  <si>
    <t>C</t>
  </si>
  <si>
    <t>SERVIÇOS DE TERRAPLENAGEM</t>
  </si>
  <si>
    <t>TOTAL DO ITEM 5:</t>
  </si>
  <si>
    <t>DEPARTAMENTO DE OBRAS</t>
  </si>
  <si>
    <t>PREFEITURA MUNICIPAL DE ANANINDEUA</t>
  </si>
  <si>
    <t>1.1</t>
  </si>
  <si>
    <t>1.2</t>
  </si>
  <si>
    <t>PREÇO TOTAL</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</si>
  <si>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</si>
  <si>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</si>
  <si>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</si>
  <si>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</si>
  <si>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</si>
  <si>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</si>
  <si>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</si>
  <si>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</si>
  <si>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</si>
  <si>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</si>
  <si>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</si>
  <si>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</si>
  <si>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</si>
  <si>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</si>
  <si>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</si>
  <si>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92811</t>
  </si>
  <si>
    <t>Usinagem de concreto betuminoso usinado a quente (CBUQ), CAP 50/70, para capa de rolamento</t>
  </si>
  <si>
    <t>TRANSPORTE</t>
  </si>
  <si>
    <t>Locação de rede e nivelamento de emisario/rede coletora com auxílio de equipamento topográfico</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</si>
  <si>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</si>
  <si>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</si>
  <si>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</si>
  <si>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</si>
  <si>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</si>
  <si>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</si>
  <si>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</si>
  <si>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</si>
  <si>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</si>
  <si>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</si>
  <si>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</si>
  <si>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</si>
  <si>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</si>
  <si>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</si>
  <si>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</si>
  <si>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</si>
  <si>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</si>
  <si>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</si>
  <si>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</si>
  <si>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</si>
  <si>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</si>
  <si>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</si>
  <si>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</si>
  <si>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</si>
  <si>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</si>
  <si>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</si>
  <si>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</si>
  <si>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</si>
  <si>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</si>
  <si>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</si>
  <si>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</si>
  <si>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</si>
  <si>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</si>
  <si>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</si>
  <si>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</si>
  <si>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</si>
  <si>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</si>
  <si>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</si>
  <si>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</si>
  <si>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</si>
  <si>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</si>
  <si>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</si>
  <si>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</si>
  <si>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</si>
  <si>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</si>
  <si>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</si>
  <si>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</si>
  <si>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</si>
  <si>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</si>
  <si>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</si>
  <si>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</si>
  <si>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</si>
  <si>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</si>
  <si>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</si>
  <si>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</si>
  <si>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</si>
  <si>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</si>
  <si>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</si>
  <si>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</si>
  <si>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</si>
  <si>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</si>
  <si>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</si>
  <si>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</si>
  <si>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</si>
  <si>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</si>
  <si>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</si>
  <si>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</si>
  <si>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</si>
  <si>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</si>
  <si>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</si>
  <si>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</si>
  <si>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</si>
  <si>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</si>
  <si>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</si>
  <si>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</si>
  <si>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</si>
  <si>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</si>
  <si>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</si>
  <si>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</si>
  <si>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</si>
  <si>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</si>
  <si>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</si>
  <si>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</si>
  <si>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</si>
  <si>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</si>
  <si>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</si>
  <si>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</si>
  <si>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</si>
  <si>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</si>
  <si>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</si>
  <si>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</si>
  <si>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</si>
  <si>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</si>
  <si>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</si>
  <si>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</si>
  <si>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</si>
  <si>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</si>
  <si>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Reincidência de Grupo A sobre Aviso Prévio Trabalho e
Reincidência do FGTS sobre Aviso Prévio Indenizado</t>
  </si>
  <si>
    <t>Total de Reincidência de um Grupo sobre o outro</t>
  </si>
  <si>
    <t>*GRUPO E</t>
  </si>
  <si>
    <t>E1</t>
  </si>
  <si>
    <t>Total dos Encargos Sociais Complementares</t>
  </si>
  <si>
    <t>Fonte: Informação Dias de Chuva - INMET</t>
  </si>
  <si>
    <t>QUADRO DE COMPOSIÇÃO DE TAXA DE BDI</t>
  </si>
  <si>
    <t>DISCRIMINAÇÃO DOS CUSTOS INDIRETOS</t>
  </si>
  <si>
    <t>PORCENTAGEM (%) ADOTADA</t>
  </si>
  <si>
    <t>VARIÁVEIS ACRESCIDAS DE ACORDO COM DIÁRIO OFICIAL DA UNIÃO DO DIA 20 DE SETEMBRO DE 2011</t>
  </si>
  <si>
    <t>CUSTOS TRIBUTÁRIOS</t>
  </si>
  <si>
    <t>TF</t>
  </si>
  <si>
    <t>TRIBUTOS FEDERAIS</t>
  </si>
  <si>
    <t>TM</t>
  </si>
  <si>
    <t>TRIBUTOS MUNICIPAIS</t>
  </si>
  <si>
    <t>PIS</t>
  </si>
  <si>
    <t>PROGRAMAÇÃO DE INTEGRAÇÃO SOCIAL</t>
  </si>
  <si>
    <t>CONFINS</t>
  </si>
  <si>
    <t>FINANC. DA SEGURIDADE SOCIAL</t>
  </si>
  <si>
    <t>TRIBUTO MUNICIPAL</t>
  </si>
  <si>
    <t>ISS</t>
  </si>
  <si>
    <t>92813</t>
  </si>
  <si>
    <t>5.2</t>
  </si>
  <si>
    <t>5.3</t>
  </si>
  <si>
    <t>TOTAL DO ITEM 6:</t>
  </si>
  <si>
    <t>Limpeza geral e entrega da obra</t>
  </si>
  <si>
    <t>QTDE.</t>
  </si>
  <si>
    <t>90099</t>
  </si>
  <si>
    <t xml:space="preserve">Escavação mecanizada de vala com prof. até 1,5 m, com retroescavadeira, larg. menor que 0,80 m, em solo de 1A categoria. </t>
  </si>
  <si>
    <t>CPU - I</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</si>
  <si>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</si>
  <si>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</si>
  <si>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</si>
  <si>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</si>
  <si>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</si>
  <si>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</si>
  <si>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</si>
  <si>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</si>
  <si>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</si>
  <si>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</si>
  <si>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</si>
  <si>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</si>
  <si>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</si>
  <si>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</si>
  <si>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</si>
  <si>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</si>
  <si>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</si>
  <si>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</si>
  <si>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</si>
  <si>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</si>
  <si>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</si>
  <si>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</si>
  <si>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</si>
  <si>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</si>
  <si>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</si>
  <si>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</si>
  <si>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</si>
  <si>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</si>
  <si>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</si>
  <si>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</si>
  <si>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</si>
  <si>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</si>
  <si>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6.3</t>
  </si>
  <si>
    <t>6.4</t>
  </si>
  <si>
    <t>7.1</t>
  </si>
  <si>
    <t>FONTE</t>
  </si>
  <si>
    <t>SEDOP</t>
  </si>
  <si>
    <t>CPU</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</si>
  <si>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</si>
  <si>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</si>
  <si>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</si>
  <si>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</si>
  <si>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</si>
  <si>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</si>
  <si>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</si>
  <si>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</si>
  <si>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</si>
  <si>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</si>
  <si>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</si>
  <si>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</si>
  <si>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</si>
  <si>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</si>
  <si>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</si>
  <si>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</si>
  <si>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</si>
  <si>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</si>
  <si>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</si>
  <si>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Assentamento de tubo de concreto para redes coletoras de águas pluviais, diâmetro de 600mm, junta rígida, instalado em local com baixo nível de interferências. AF_12/2015</t>
  </si>
  <si>
    <t>Limpeza mecanizada de camada vegetal, vegetação e pequenas árvores, com trator de esteiras. AF_05/2018</t>
  </si>
  <si>
    <t>Escavação horizontal em solo de 1A categoria com trator de esteiras. AF_07/2020</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</si>
  <si>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</si>
  <si>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</si>
  <si>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</si>
  <si>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</si>
  <si>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</si>
  <si>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</si>
  <si>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</si>
  <si>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</si>
  <si>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</si>
  <si>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</si>
  <si>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</si>
  <si>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</si>
  <si>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</si>
  <si>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</si>
  <si>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</si>
  <si>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</si>
  <si>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</si>
  <si>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</si>
  <si>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</si>
  <si>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</si>
  <si>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Assentamento de tubo de concreto para redes coletoras de águas pluviais, diâmetro de 800mm, junta rígida, instalado em local com baixo nível de interferências. AF_12/2015</t>
  </si>
  <si>
    <t>180723</t>
  </si>
  <si>
    <t>180724</t>
  </si>
  <si>
    <t>3.4</t>
  </si>
  <si>
    <t>020018</t>
  </si>
  <si>
    <t>Demolição manual de concreto simples (para execução de calçada)</t>
  </si>
  <si>
    <t>VIA</t>
  </si>
  <si>
    <t>=</t>
  </si>
  <si>
    <t>L=</t>
  </si>
  <si>
    <t>Quantidade (un)</t>
  </si>
  <si>
    <t>3.1.1</t>
  </si>
  <si>
    <t>Tubo em concreto simples d= 400mm</t>
  </si>
  <si>
    <t>3.1.2</t>
  </si>
  <si>
    <t>3.1.3</t>
  </si>
  <si>
    <t>Preparo de fundo de vala com largura menor que 1.5 m (acerto do solo natural). AF_08/2020</t>
  </si>
  <si>
    <t>3.1.4</t>
  </si>
  <si>
    <t>3.1.5</t>
  </si>
  <si>
    <t>Assentamento de tubo de concreto para redes coletoras de águas pluviais, diâmetro de 400 mm, junta rígida, instalado em local com baixo nível de interferências</t>
  </si>
  <si>
    <t>3.2.1</t>
  </si>
  <si>
    <t>Tubo em concreto armado d= 600mm</t>
  </si>
  <si>
    <t>3.2.2</t>
  </si>
  <si>
    <t>3.2.3</t>
  </si>
  <si>
    <t>3.2.4</t>
  </si>
  <si>
    <t>3.2.5</t>
  </si>
  <si>
    <t>3.3.1</t>
  </si>
  <si>
    <t>3.3.2</t>
  </si>
  <si>
    <t>3.3.3</t>
  </si>
  <si>
    <t>3.3.4</t>
  </si>
  <si>
    <t>3.3.5</t>
  </si>
  <si>
    <t xml:space="preserve">Execução de boca de lobo  </t>
  </si>
  <si>
    <t>3.4.1</t>
  </si>
  <si>
    <t>3.5</t>
  </si>
  <si>
    <t xml:space="preserve">Execução de poço de visita </t>
  </si>
  <si>
    <t>3.5.1</t>
  </si>
  <si>
    <t>2.5</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</si>
  <si>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</si>
  <si>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</si>
  <si>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</si>
  <si>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</si>
  <si>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 xml:space="preserve">SERVIÇO: Execução e compactação de base e ou sub base para pavimentação de solo arenoso (SOLO MELHORADO COM SEIXO) - exclusive escavação, carga e transporte. </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</si>
  <si>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</si>
  <si>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</si>
  <si>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</si>
  <si>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</si>
  <si>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</si>
  <si>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</si>
  <si>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</si>
  <si>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Assentamento de tubo de concreto para redes coletoras de águas pluviais, diâmetro de 1000 mm, junta rígida, instalado em local com baixo nível de interferências</t>
  </si>
  <si>
    <t>Unidade:  UNID.</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</si>
  <si>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</si>
  <si>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</si>
  <si>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</si>
  <si>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</si>
  <si>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</si>
  <si>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</si>
  <si>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</si>
  <si>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</si>
  <si>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</si>
  <si>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</si>
  <si>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</si>
  <si>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</si>
  <si>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Administração Central da Obra - AC</t>
  </si>
  <si>
    <t>DESPESAS FINANCEIRAS -DF</t>
  </si>
  <si>
    <t>Sub Total</t>
  </si>
  <si>
    <t>R</t>
  </si>
  <si>
    <t>Risco - R</t>
  </si>
  <si>
    <t>S+G</t>
  </si>
  <si>
    <t>Seguro - S/Garantia - G</t>
  </si>
  <si>
    <t>TOTAL- I</t>
  </si>
  <si>
    <t xml:space="preserve"> LUCRO)</t>
  </si>
  <si>
    <t>DEMONSTRAÇÃO DOS TRIBUTOS FEDERAL</t>
  </si>
  <si>
    <t>CPRB</t>
  </si>
  <si>
    <t>Variável de Desoneração de 4,5%</t>
  </si>
  <si>
    <t>DEMONSTRAÇÃO DOS TRIBUTOS MUNICIPAL</t>
  </si>
  <si>
    <t>DEMONSTRAÇÕES DAS VARIÁVEIS DA FORMULAS ADOTADA PELO TCU</t>
  </si>
  <si>
    <t>AC =</t>
  </si>
  <si>
    <t>S+G =</t>
  </si>
  <si>
    <t>R =</t>
  </si>
  <si>
    <t>(1+AC+S+R+G)=</t>
  </si>
  <si>
    <t>DF=</t>
  </si>
  <si>
    <t>(1+DF)=</t>
  </si>
  <si>
    <t>(1+L)=</t>
  </si>
  <si>
    <t>I=</t>
  </si>
  <si>
    <t>(1-I)=</t>
  </si>
  <si>
    <t>BDI=</t>
  </si>
  <si>
    <t>BDI= BDI - MENOS 4,50%</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</si>
  <si>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</si>
  <si>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</si>
  <si>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</si>
  <si>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</si>
  <si>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</si>
  <si>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</si>
  <si>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</si>
  <si>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 xml:space="preserve">ENCARGOS SOCIAIS SOBRE A MÃO DE OBRA  </t>
  </si>
  <si>
    <t>COM DESONERAÇÃO</t>
  </si>
  <si>
    <t>SEM DESONERAÇÃO</t>
  </si>
  <si>
    <t>TOTAL (A+B+C+D)</t>
  </si>
  <si>
    <t>SECRETARIA MUNICIAL DE SANEAMENTO E INFRAESTRUTURA</t>
  </si>
  <si>
    <t>IV</t>
  </si>
  <si>
    <t>Unidade: M²</t>
  </si>
  <si>
    <t>Execução de imprimação base para pavimentação</t>
  </si>
  <si>
    <t>Código</t>
  </si>
  <si>
    <t>CPU-02</t>
  </si>
  <si>
    <t xml:space="preserve"> Unidade: M³</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</si>
  <si>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</si>
  <si>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</si>
  <si>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</si>
  <si>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</si>
  <si>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</si>
  <si>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</si>
  <si>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</si>
  <si>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</si>
  <si>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</si>
  <si>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</si>
  <si>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</si>
  <si>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</si>
  <si>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</si>
  <si>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</si>
  <si>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</si>
  <si>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</si>
  <si>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</si>
  <si>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</si>
  <si>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</si>
  <si>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</si>
  <si>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</si>
  <si>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</si>
  <si>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</si>
  <si>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</si>
  <si>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</si>
  <si>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</si>
  <si>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</si>
  <si>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</si>
  <si>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</si>
  <si>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</si>
  <si>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</si>
  <si>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</si>
  <si>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</si>
  <si>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</si>
  <si>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</si>
  <si>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</si>
  <si>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</si>
  <si>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</si>
  <si>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</si>
  <si>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</si>
  <si>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</si>
  <si>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</si>
  <si>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</si>
  <si>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</si>
  <si>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</si>
  <si>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</si>
  <si>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</si>
  <si>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</si>
  <si>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</si>
  <si>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</si>
  <si>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</si>
  <si>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</si>
  <si>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</si>
  <si>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</si>
  <si>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</si>
  <si>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</si>
  <si>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</si>
  <si>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</si>
  <si>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</si>
  <si>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</si>
  <si>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</si>
  <si>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</si>
  <si>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</si>
  <si>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</si>
  <si>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</si>
  <si>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</si>
  <si>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3.1.6</t>
  </si>
  <si>
    <t>3.2.6</t>
  </si>
  <si>
    <t>3.3.6</t>
  </si>
  <si>
    <t>3.4.2</t>
  </si>
  <si>
    <t>3.4.3</t>
  </si>
  <si>
    <t>3.4.4</t>
  </si>
  <si>
    <t>3.4.5</t>
  </si>
  <si>
    <t>3.4.6</t>
  </si>
  <si>
    <t>3.6</t>
  </si>
  <si>
    <t>3.6.1</t>
  </si>
  <si>
    <t>Transporte com caminhão basculante de 14 m³, em via em revestimento primário. AF_07/2020</t>
  </si>
  <si>
    <t>93379</t>
  </si>
  <si>
    <t xml:space="preserve">Reaterro mecanizado de vala com retroescavadeira, largura de 0,8 m até 1,5 m, profundidade até 1,5 m, com solo de 1 categoria em locais com baixo nível de interferência. AF_04/2016
</t>
  </si>
  <si>
    <t>Carga, manobra e descarga de solos e materiais granulares em caminhão basculante 18 m³ - carga com escavadeira hidráulica (caçamba de 1,20 m³ / 155 hp) e descarga livre (unidade: t). Af_07/2020</t>
  </si>
  <si>
    <t>t</t>
  </si>
  <si>
    <t>3.1.7</t>
  </si>
  <si>
    <t>4.4</t>
  </si>
  <si>
    <t>3.4.7</t>
  </si>
  <si>
    <t>3.3.7</t>
  </si>
  <si>
    <t>3.2.7</t>
  </si>
  <si>
    <t>Escavação mecanizada de vala com profundidade até 1,5 m (média entre montante e jusante/uma composição por trecho) retroescav. (0,26 m3), largura de 0,8 m a 1,5 m, em solo de 1a categoria, locais com baixo nível de interferência. Af_02/2021</t>
  </si>
  <si>
    <t>93591</t>
  </si>
  <si>
    <t>Transporte com caminhão basculante 14 m³, em via urbana em leito natural. AF_07/2020</t>
  </si>
  <si>
    <t>Ø 400</t>
  </si>
  <si>
    <t>LARGURA</t>
  </si>
  <si>
    <t>ESCAVAÇÃO</t>
  </si>
  <si>
    <t>REATERRO</t>
  </si>
  <si>
    <t>(m)</t>
  </si>
  <si>
    <t>TRECHO</t>
  </si>
  <si>
    <t>BAIRRO</t>
  </si>
  <si>
    <t xml:space="preserve">EXTENSÃO </t>
  </si>
  <si>
    <t>(und.)</t>
  </si>
  <si>
    <t>PROFUNDIDADE</t>
  </si>
  <si>
    <t>TOTAL (A)</t>
  </si>
  <si>
    <t>DECLIVIDADE</t>
  </si>
  <si>
    <t>PREPARO DE FUNDO</t>
  </si>
  <si>
    <t>VOLUME TUBOS</t>
  </si>
  <si>
    <t>E = (AxBxC) + (AxBxD)</t>
  </si>
  <si>
    <t>F = AxB</t>
  </si>
  <si>
    <t>H = E - G</t>
  </si>
  <si>
    <t>I = F</t>
  </si>
  <si>
    <t>COLCHÃO DE AREIA</t>
  </si>
  <si>
    <t>CARGA</t>
  </si>
  <si>
    <t>K = A</t>
  </si>
  <si>
    <t>ASSENTAMENTO</t>
  </si>
  <si>
    <t>L = G x empolamento 25% x DMT</t>
  </si>
  <si>
    <t>CÁLCULO PARA TUBULAÇÃO DE 400 MM</t>
  </si>
  <si>
    <t>CÁLCULO PARA TUBULAÇÃO DE 600 MM</t>
  </si>
  <si>
    <t>CÁLCULO PARA TUBULAÇÃO DE 800 MM</t>
  </si>
  <si>
    <t>CÁLCULO PARA TUBULAÇÃO DE 1000 MM</t>
  </si>
  <si>
    <t>VIA/TRECHO</t>
  </si>
  <si>
    <t>ESCAV.</t>
  </si>
  <si>
    <t>COLCHÃO</t>
  </si>
  <si>
    <t>FORNECIMENTO</t>
  </si>
  <si>
    <t>$ TOTAL</t>
  </si>
  <si>
    <t>BOCA DE LOBO</t>
  </si>
  <si>
    <t>CAIXA PARA BOCA DE LOBO</t>
  </si>
  <si>
    <t>POÇOS DE VISITA</t>
  </si>
  <si>
    <t>G = (πxr²)xA</t>
  </si>
  <si>
    <t>J = G x Y (1,6)</t>
  </si>
  <si>
    <t>Ø 600</t>
  </si>
  <si>
    <t>Ø 800</t>
  </si>
  <si>
    <t>Ø 1000</t>
  </si>
  <si>
    <t>$ UNIT.</t>
  </si>
  <si>
    <t>QTDE</t>
  </si>
  <si>
    <t>Ø  + 0,5</t>
  </si>
  <si>
    <t>Ø  + 0,6</t>
  </si>
  <si>
    <t>MEMÓRIA DE CÁLCULO PARA DRENAGEM PROFUNDA</t>
  </si>
  <si>
    <t>EXTENSÃO</t>
  </si>
  <si>
    <t>LISTA DE RUAS</t>
  </si>
  <si>
    <t xml:space="preserve">TOTAL </t>
  </si>
  <si>
    <t>DADOS</t>
  </si>
  <si>
    <t>DRENAGEM SUPERFICIAL</t>
  </si>
  <si>
    <t>TERRAPLENAGEM</t>
  </si>
  <si>
    <t>CAIXA PRIMÁRIA</t>
  </si>
  <si>
    <t>PAVIMENTAÇÃO ASFÁLTICA</t>
  </si>
  <si>
    <t>TRANSPORTE (m³ x km)</t>
  </si>
  <si>
    <t>BASE E ESPALHAMENTO (m²)</t>
  </si>
  <si>
    <t>TRANSPORTE CBUQ</t>
  </si>
  <si>
    <t>RUAS</t>
  </si>
  <si>
    <t>CALÇADA</t>
  </si>
  <si>
    <t>DEMOLIÇÃO</t>
  </si>
  <si>
    <t>ESPESSURA (m)</t>
  </si>
  <si>
    <t>LARGURA (m)</t>
  </si>
  <si>
    <t>DEMOLIÇÃO (m³)</t>
  </si>
  <si>
    <t>EXTENSÃO (m)</t>
  </si>
  <si>
    <t>CALÇADA  (m²)</t>
  </si>
  <si>
    <t>PASSEIO</t>
  </si>
  <si>
    <t>D = A x C x esp</t>
  </si>
  <si>
    <t>F = G x 0,43 x 0,10</t>
  </si>
  <si>
    <t>G = A x 2</t>
  </si>
  <si>
    <t>H = A x B</t>
  </si>
  <si>
    <t>ESCAVAÇÃO PARA MEIO FIO (m³)</t>
  </si>
  <si>
    <t>MEIO FIO / SARJETA (m)</t>
  </si>
  <si>
    <t>LIMPEZA MECANIZADA (m²)</t>
  </si>
  <si>
    <t>ESCAVAÇÃO (m³)</t>
  </si>
  <si>
    <t>CARGA E DESCARGA (t)</t>
  </si>
  <si>
    <t>I = H x esp</t>
  </si>
  <si>
    <r>
      <t xml:space="preserve">J = I x </t>
    </r>
    <r>
      <rPr>
        <b/>
        <sz val="20"/>
        <color indexed="8"/>
        <rFont val="Calibri"/>
        <family val="2"/>
      </rPr>
      <t>Y</t>
    </r>
  </si>
  <si>
    <t>K = I x DMT</t>
  </si>
  <si>
    <t>L = A x B x esp</t>
  </si>
  <si>
    <t>M = L x DMT</t>
  </si>
  <si>
    <t>N = A x B</t>
  </si>
  <si>
    <t>O = A x B</t>
  </si>
  <si>
    <t>IMPRIMAÇAO (m²)</t>
  </si>
  <si>
    <t>PINT. LIG.  (m²)</t>
  </si>
  <si>
    <t>CBUQ (ton)</t>
  </si>
  <si>
    <t>P</t>
  </si>
  <si>
    <r>
      <t xml:space="preserve">Q = O x P x </t>
    </r>
    <r>
      <rPr>
        <b/>
        <sz val="20"/>
        <color indexed="8"/>
        <rFont val="Calibri"/>
        <family val="2"/>
      </rPr>
      <t>Y</t>
    </r>
  </si>
  <si>
    <t>R = Q x DMT</t>
  </si>
  <si>
    <t>MEMÓRIA DE CÁLCULO PARA INFRAESTRUTURA</t>
  </si>
  <si>
    <t>MEIO FIO</t>
  </si>
  <si>
    <t>SARJETA</t>
  </si>
  <si>
    <t>LIMPEZA</t>
  </si>
  <si>
    <t>TRANSP.</t>
  </si>
  <si>
    <t>BASE</t>
  </si>
  <si>
    <t>ESPALHAMENTO</t>
  </si>
  <si>
    <t>IMPRIM.</t>
  </si>
  <si>
    <t>PINTURA</t>
  </si>
  <si>
    <t>CBUQ</t>
  </si>
  <si>
    <t>$ UNIT</t>
  </si>
  <si>
    <t>0,1600000</t>
  </si>
  <si>
    <t>0,6880000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</si>
  <si>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</si>
  <si>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</si>
  <si>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</si>
  <si>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</si>
  <si>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</si>
  <si>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</si>
  <si>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</si>
  <si>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</si>
  <si>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</si>
  <si>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</si>
  <si>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</si>
  <si>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</si>
  <si>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E = A x C x 2</t>
  </si>
  <si>
    <t>RUA UNIÃO</t>
  </si>
  <si>
    <t>Bacia Leiteira e Santa Fé</t>
  </si>
  <si>
    <t>Icuí</t>
  </si>
  <si>
    <t>RUA JARDIM DOS ESPORTES</t>
  </si>
  <si>
    <t>Usinagem de concreto betuminoso usinado a quente (CBUQ), CAP 50/70, para capa de rolamento e=3,5cm</t>
  </si>
  <si>
    <t>BACIA LEITEIRA</t>
  </si>
  <si>
    <t>EXECUÇÃO DOS SERVIÇOS DE DRENAGEM SUPERFICIAL E PROFUNDA E PAVIMENTAÇÃO DAS RUAS UNIÃO E JARDIM DOS ESPORTES NO BAIRRO DO ICUI- NO MUNICÍPIO DE ANANINDEUA - PA.</t>
  </si>
  <si>
    <t>OBS: Vigência de 10/2020 à 09/2021</t>
  </si>
  <si>
    <t>1.3</t>
  </si>
  <si>
    <t>Administração da obra</t>
  </si>
  <si>
    <t>1.4</t>
  </si>
  <si>
    <t>Mobilização e Desmobilização de pessoal e equipamentos</t>
  </si>
  <si>
    <t>CPU - V</t>
  </si>
  <si>
    <t>CPU - VI</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</si>
  <si>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</si>
  <si>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</si>
  <si>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</si>
  <si>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</si>
  <si>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</si>
  <si>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</si>
  <si>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</si>
  <si>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</si>
  <si>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</si>
  <si>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MOBILIZAÇÃO E DESMOBILIZAÇÃO</t>
  </si>
  <si>
    <t>MEMÓRIA DE CÁLCULO - CAVALO MECÂNICO</t>
  </si>
  <si>
    <t>SERVIÇOS</t>
  </si>
  <si>
    <t>EQUIPAMENTOS TRANSPORTADOS</t>
  </si>
  <si>
    <t>QUANT.</t>
  </si>
  <si>
    <t>FU</t>
  </si>
  <si>
    <t>QUANT. X FU</t>
  </si>
  <si>
    <t>TRANSPORTE VIA</t>
  </si>
  <si>
    <t>MOTONIVELADORA POTÊNCIA BÁSICA LÍQUIDA (PRIMEIRA MARCHA) 125 HP, PESO BRUTO 13032 KG, LARGURA DA LÂMINA DE 3,7 M</t>
  </si>
  <si>
    <t>Cavalo mecânico com semi-reboque e capacidade de 35 t - 210 Kw</t>
  </si>
  <si>
    <t>PÁ CARREGADEIRA SOBRE RODAS, POTÊNCIA 197 HP, CAPACIDADE DA CAÇAMBA 2,5 A 3,5 M3, PESO OPERACIONAL 18338 KG</t>
  </si>
  <si>
    <t>74151/001</t>
  </si>
  <si>
    <t>TRATOR DE ESTEIRAS, POTÊNCIA 150 HP, PESO OPERACIONAL 16,7 T, COM RODAMOTRIZ ELEVADA E LÂMINA 3,18 M3</t>
  </si>
  <si>
    <t>ROLO COMPACTADOR PE DE CARNEIRO VIBRATORIO, POTENCIA 125 HP, PESO OPERACIONAL SEM/COM LASTRO 11,95 / 13,30 T, IMPACTO DINAMICO 38,5 / 22,5 T, LARGURA DE TRABALHO 2,15 M</t>
  </si>
  <si>
    <t>96388</t>
  </si>
  <si>
    <t>ROLO COMPACTADOR VIBRATÓRIO PÉ DE CARNEIRO PARA SOLOS, POTÊNCIA 80 HP, PESO OPERACIONAL SEM/COM LASTRO 7,4 / 8,8 T, LARGURA DE TRABALHO 1,68 M</t>
  </si>
  <si>
    <t>TRATOR DE PNEUS, POTÊNCIA 85 CV, TRAÇÃO 4X4, PESO COM LASTRO DE 4.675 KG</t>
  </si>
  <si>
    <t>95995</t>
  </si>
  <si>
    <t>VIBROACABADORA DE ASFALTO SOBRE ESTEIRAS, LARGURA DE PAVIMENTAÇÃO 1,90M A 5,30 M, POTÊNCIA 105 HP CAPACIDADE 450 T/H</t>
  </si>
  <si>
    <t>ROLO COMPACTADOR VIBRATORIO TANDEM, ACO LISO, POTENCIA 125 HP, PESO SEM/COM LASTRO 10,20/11,65 T, LARGURA DE TRABALHO 1,73 M</t>
  </si>
  <si>
    <t>ROLO COMPACTADOR DE PNEUS, ESTATICO, PRESSAO VARIAVEL, POTENCIA 110 HP, PESO SEM/COM LASTRO 10,8/27 T, LARGURA DE ROLAGEM 2,30 M</t>
  </si>
  <si>
    <t>TOTAL DE VEÍCULOS TRANSPORTADOS</t>
  </si>
  <si>
    <t>MEMÓRIA DE CÁLCULO - CAMINHÃO TOCO</t>
  </si>
  <si>
    <t>72943</t>
  </si>
  <si>
    <t>VASSOURA MECÂNICA REBOCÁVEL COM ESCOVA CILÍNDRICA, LARGURA ÚTIL DE VARRIMENTO DE 2,44 M</t>
  </si>
  <si>
    <t>Caminhão Toco</t>
  </si>
  <si>
    <t>MÁQUINA DEMARCADORA DE FAIXA DE TRÁFEGO À FRIO, AUTOPROPELIDA, POTÊNCIA 38 HP</t>
  </si>
  <si>
    <t>CAMINHÃO TOCO, PBT 16.000 KG, CARGA ÚTIL MÁX. 10.685 KG, DIST. ENTRE EIXOS 4,8 M, POTÊNCIA 189 CV, INCLUSIVE CARROCERIA FIXA ABERTA DE MADEIRA P/ TRANSPORTE GERAL DE CARGA SECA, DIMEN. APROX. 2,5 X 7,00 X 0,50 M</t>
  </si>
  <si>
    <t>Condução por Conta Própria</t>
  </si>
  <si>
    <t>MEMÓRIA DE CÁLCULO - CAMINHÃO BASCULANTE 6 M3</t>
  </si>
  <si>
    <t>CAMINHÃO BASCULANTE 6 M3, PESO BRUTO TOTAL 16.000 KG, CARGA ÚTIL MÁXIMA 13.071 KG, DISTÂNCIA ENTRE EIXOS 4,80 M, POTÊNCIA 230 CV INCLUSIVE CAÇAMBA METÁLICA - CHP DIURNO. AF_06/2014</t>
  </si>
  <si>
    <t>5811</t>
  </si>
  <si>
    <t>MEMÓRIA DE CÁLCULO - CAMINHÃO BASCULANTE 10 M3</t>
  </si>
  <si>
    <t>CAMINHÃO BASCULANTE 10 M3, TRUCADO CABINE SIMPLES, PESO BRUTO TOTAL 23.000 KG, CARGA ÚTIL MÁXIMA 15.935 KG, DISTÂNCIA ENTRE EIXOS 4,80 M, POTÊNCIA 230 CV INCLUSIVE CAÇAMBA METÁLICA - CHP DIURNO. AF_06/2014</t>
  </si>
  <si>
    <t>MEMÓRIA DE CÁLCULO - CAMINHÃO  PIPA 10.000 L</t>
  </si>
  <si>
    <t>MEMÓRIA DE CÁLCULO - ESPARGIDOR DE ASFALTO PRESSURIZADO</t>
  </si>
  <si>
    <t>ESPARGIDOR DE ASFALTO PRESSURIZADO, TANQUE 6 M3 COM ISOLAÇÃO TÉRMICA, AQUECIDO COM 2 MAÇARICOS, COM BARRA ESPARGIDORA 3,60 M, MONTADO SOBRE CAMINHÃO TOCO, PBT 14.300 KG, POTÊNCIA 185 CV - CHP DIURNO. AF_08/2015</t>
  </si>
  <si>
    <t xml:space="preserve">CALCULA-SE O FRETE UTILIZANDO A DURAÇÃO DO PERCURSO (EM HORAS), ATRAVÉS DA DISTÂNCIA DIVIDA PELA VELOCIDADE MÉDIA:                         </t>
  </si>
  <si>
    <t>VELOCIDADE MÉDIA EM RODOVIA NÃO PAVIMENTADA = 40KM/H;</t>
  </si>
  <si>
    <t>SERVIÇO: Mobilização e Desmobilização</t>
  </si>
  <si>
    <t xml:space="preserve"> Unidade: UNID.</t>
  </si>
  <si>
    <t>EQUIPAMENTOS TRANSPORTADORES</t>
  </si>
  <si>
    <t>ORIGEM</t>
  </si>
  <si>
    <t>DESTINO</t>
  </si>
  <si>
    <t>K 
(Nº VIAGENS)</t>
  </si>
  <si>
    <t>DIST.</t>
  </si>
  <si>
    <t>VELOCIDADE  (KM/H)</t>
  </si>
  <si>
    <t>QUANTIDADE DE EQUIPAMENTOS</t>
  </si>
  <si>
    <t>PREÇO UNIT.</t>
  </si>
  <si>
    <t>SICRO</t>
  </si>
  <si>
    <t>E9665</t>
  </si>
  <si>
    <t>CAVALO MECÂNICO COM SEMI-REBOQUE E CAPACIDADE DE 22 T - 240 KW</t>
  </si>
  <si>
    <t>BELEM</t>
  </si>
  <si>
    <t>REGIONAL</t>
  </si>
  <si>
    <t>CAMINHÃO TOCO, PBT 16.000 KG, CARGA ÚTIL MÁX. 10.685 KG, DIST. ENTRE EIXOS 4,8 M, POTÊNCIA 189 CV, INCLUSIVE CARROCERIA FIXA ABERTA DE MADEIRA P/ TRANSPORTE GERAL DE CARGA SECA, DIMEN. APROX. 2,5 X 7,00 X 0,50 M - CHP DIURNO. AF_06/2014</t>
  </si>
  <si>
    <t>SINAPI MAR-22</t>
  </si>
  <si>
    <t>SINAPI    MAR-22</t>
  </si>
  <si>
    <t>COTAÇÃO DE PREÇOS - CBAA FEV 2022</t>
  </si>
  <si>
    <t>SECRETARIA DE ESTADO DE TRANSPORTE - SETRAN/PA</t>
  </si>
  <si>
    <t>MATERIAIS BETUMINOSOS</t>
  </si>
  <si>
    <t>REGIÃO 
METROPOLITANA - CIF</t>
  </si>
  <si>
    <t>REGIÃO 
METROPOLITANA - FOB</t>
  </si>
  <si>
    <t>OBSERVAÇÕES:</t>
  </si>
  <si>
    <t>SINAPI MAR/22</t>
  </si>
  <si>
    <t>SINAPI 03/2022</t>
  </si>
  <si>
    <t>CPU I</t>
  </si>
  <si>
    <t>CPU II</t>
  </si>
  <si>
    <t>CPU III</t>
  </si>
  <si>
    <t>CPU IV</t>
  </si>
  <si>
    <t>CPU V</t>
  </si>
  <si>
    <t>CÓDIGO DESONERADO SINAPI MAR-22 E SEDOP MAI-22</t>
  </si>
  <si>
    <t>xxxxxxxxxxxxxxxxxxxxxxxx</t>
  </si>
  <si>
    <t>CPU-VI SINAPI MAR-22 E SICRO JAN-22</t>
  </si>
  <si>
    <t>TOTAL DO ITEM 1:</t>
  </si>
  <si>
    <t>DISTÂNCIA DE 25 KM (BELÉM/REGIONAL)</t>
  </si>
  <si>
    <r>
      <rPr>
        <b/>
        <sz val="11"/>
        <rFont val="Arial"/>
        <family val="2"/>
      </rPr>
      <t>Quadro 02: Calculo da Distância Media de Transporte de Material de Usina</t>
    </r>
  </si>
  <si>
    <t>D2+D1</t>
  </si>
  <si>
    <t>Média</t>
  </si>
  <si>
    <t>D5</t>
  </si>
  <si>
    <t>Soma VixDi - Santa Cruz</t>
  </si>
  <si>
    <t>Soma VixDi - Prefeitura</t>
  </si>
  <si>
    <t>Volume soma Vi</t>
  </si>
  <si>
    <t>D1 - Km</t>
  </si>
  <si>
    <t>D2 - Km</t>
  </si>
  <si>
    <t>Km</t>
  </si>
  <si>
    <t>1º Ponto</t>
  </si>
  <si>
    <t>Outeiro</t>
  </si>
  <si>
    <t>Média das Distância das Jazidas, Ponto de Gravidade Prefeitura</t>
  </si>
  <si>
    <t>Distâncias Médias das Vias de Ananindeua</t>
  </si>
  <si>
    <t>Média de Volume Utilizados em projetos</t>
  </si>
  <si>
    <t>Distãncia Media de Transporte Utilizada  em Obras de Emendas Estaduais e Federais</t>
  </si>
  <si>
    <t>DMT 25</t>
  </si>
  <si>
    <t>Média + D5</t>
  </si>
  <si>
    <t>Soma VixDi</t>
  </si>
  <si>
    <t>DMT (m³xKm</t>
  </si>
  <si>
    <t>DMT=SVi x Sdi/Svi)</t>
  </si>
  <si>
    <t>Faz, Begot</t>
  </si>
  <si>
    <t>Faz. Benevides</t>
  </si>
  <si>
    <t>DISTÂMCIA MEDIA TRANSP. JAZIDA</t>
  </si>
  <si>
    <t>DMT (m³xKm) Outeiro</t>
  </si>
  <si>
    <t>DMT (m³xKm) Santo Izabel</t>
  </si>
  <si>
    <t>DMT 9</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</si>
</sst>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 numFmtId="196" formatCode="_(* #,##0_);_(* \(#,##0\);_(* &quot;-&quot;??_);_(@_)"/>
  </numFmts>
  <fonts count="123">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b/>
      <sz val="14"/>
      <name val="Segoe UI"/>
      <family val="2"/>
    </font>
    <font>
      <sz val="14"/>
      <name val="Segoe UI"/>
      <family val="2"/>
    </font>
    <font>
      <b/>
      <sz val="11"/>
      <name val="Segoe UI"/>
      <family val="2"/>
    </font>
    <font>
      <sz val="11"/>
      <name val="Segoe UI"/>
      <family val="2"/>
    </font>
    <font>
      <sz val="11"/>
      <color indexed="8"/>
      <name val="Calibri"/>
      <family val="2"/>
    </font>
    <font>
      <b/>
      <sz val="20"/>
      <color indexed="8"/>
      <name val="Calibri"/>
      <family val="2"/>
    </font>
    <font>
      <sz val="14"/>
      <color indexed="8"/>
      <name val="Calibri"/>
      <family val="2"/>
    </font>
    <font>
      <b/>
      <sz val="14"/>
      <color indexed="8"/>
      <name val="Calibri"/>
      <family val="2"/>
    </font>
    <font>
      <b/>
      <sz val="10"/>
      <name val="Arial"/>
      <family val="2"/>
    </font>
    <font>
      <b/>
      <sz val="12"/>
      <name val="Arial"/>
      <family val="2"/>
    </font>
    <font>
      <sz val="12"/>
      <name val="Arial"/>
      <family val="2"/>
    </font>
    <font>
      <b/>
      <sz val="14"/>
      <name val="Arial"/>
      <family val="2"/>
    </font>
    <font>
      <sz val="14"/>
      <name val="Arial"/>
      <family val="2"/>
    </font>
    <font>
      <sz val="14"/>
      <name val="Times New Roman"/>
      <family val="1"/>
    </font>
    <font>
      <sz val="10"/>
      <name val="Calibri"/>
      <family val="2"/>
    </font>
    <font>
      <b/>
      <sz val="10"/>
      <name val="Calibri"/>
      <family val="2"/>
    </font>
    <font>
      <b/>
      <sz val="14"/>
      <name val="Calibri"/>
      <family val="2"/>
    </font>
    <font>
      <b/>
      <sz val="11"/>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b/>
      <sz val="16"/>
      <name val="Calibri"/>
      <family val="2"/>
    </font>
    <font>
      <sz val="9"/>
      <name val="Calibri"/>
      <family val="2"/>
    </font>
    <font>
      <sz val="14"/>
      <name val="Calibri"/>
      <family val="2"/>
    </font>
    <font>
      <b/>
      <sz val="10"/>
      <color indexed="8"/>
      <name val="Calibri"/>
      <family val="2"/>
    </font>
    <font>
      <b/>
      <sz val="12"/>
      <name val="Calibri"/>
      <family val="2"/>
    </font>
    <font>
      <b/>
      <sz val="18"/>
      <name val="Calibri"/>
      <family val="2"/>
    </font>
    <font>
      <sz val="11"/>
      <name val="Calibri"/>
      <family val="2"/>
    </font>
    <font>
      <b/>
      <sz val="14"/>
      <color indexed="9"/>
      <name val="Calibri"/>
      <family val="2"/>
    </font>
    <font>
      <b/>
      <sz val="14"/>
      <color indexed="62"/>
      <name val="Calibri"/>
      <family val="2"/>
    </font>
    <font>
      <sz val="20"/>
      <name val="Calibri"/>
      <family val="2"/>
    </font>
    <font>
      <sz val="16"/>
      <name val="Calibri"/>
      <family val="2"/>
    </font>
    <font>
      <b/>
      <sz val="20"/>
      <name val="Calibri"/>
      <family val="2"/>
    </font>
    <font>
      <b/>
      <sz val="8"/>
      <name val="Calibri"/>
      <family val="2"/>
    </font>
    <font>
      <sz val="22"/>
      <name val="Calibri"/>
      <family val="2"/>
    </font>
    <font>
      <b/>
      <sz val="11"/>
      <name val="Calibri"/>
      <family val="2"/>
    </font>
    <font>
      <b/>
      <sz val="14"/>
      <color indexed="8"/>
      <name val="Arial"/>
      <family val="2"/>
    </font>
    <font>
      <b/>
      <sz val="10"/>
      <color indexed="8"/>
      <name val="Times New Roman"/>
      <family val="1"/>
    </font>
    <font>
      <sz val="14"/>
      <color indexed="8"/>
      <name val="Arial"/>
      <family val="2"/>
    </font>
    <font>
      <b/>
      <sz val="14"/>
      <color indexed="8"/>
      <name val="Times New Roman"/>
      <family val="1"/>
    </font>
    <font>
      <sz val="11"/>
      <color indexed="8"/>
      <name val="Arial"/>
      <family val="2"/>
    </font>
    <font>
      <sz val="12"/>
      <name val="Calibri"/>
      <family val="2"/>
    </font>
    <font>
      <b/>
      <sz val="12"/>
      <color indexed="8"/>
      <name val="Calibri"/>
      <family val="2"/>
    </font>
    <font>
      <sz val="12"/>
      <color indexed="8"/>
      <name val="Calibri"/>
      <family val="2"/>
    </font>
    <font>
      <b/>
      <sz val="16"/>
      <color indexed="8"/>
      <name val="Calibri"/>
      <family val="2"/>
    </font>
    <font>
      <sz val="16"/>
      <color indexed="8"/>
      <name val="Calibri"/>
      <family val="2"/>
    </font>
    <font>
      <sz val="14"/>
      <color indexed="63"/>
      <name val="Calibri"/>
      <family val="2"/>
    </font>
    <font>
      <b/>
      <sz val="12"/>
      <color indexed="9"/>
      <name val="Calibri"/>
      <family val="2"/>
    </font>
    <font>
      <b/>
      <sz val="9"/>
      <name val="Calibri"/>
      <family val="2"/>
    </font>
    <font>
      <sz val="12"/>
      <color indexed="8"/>
      <name val="Arial"/>
      <family val="2"/>
    </font>
    <font>
      <b/>
      <sz val="12.5"/>
      <color indexed="8"/>
      <name val="Calibri"/>
      <family val="2"/>
    </font>
    <font>
      <b/>
      <sz val="18"/>
      <color indexed="8"/>
      <name val="Calibri"/>
      <family val="2"/>
    </font>
    <font>
      <b/>
      <sz val="20"/>
      <color indexed="59"/>
      <name val="Calibri"/>
      <family val="2"/>
    </font>
    <font>
      <b/>
      <sz val="2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sz val="14"/>
      <color theme="1"/>
      <name val="Calibri"/>
      <family val="2"/>
    </font>
    <font>
      <b/>
      <sz val="14"/>
      <color theme="1"/>
      <name val="Calibri"/>
      <family val="2"/>
    </font>
    <font>
      <sz val="11"/>
      <color rgb="FF000000"/>
      <name val="Calibri"/>
      <family val="2"/>
    </font>
    <font>
      <b/>
      <sz val="14"/>
      <color theme="1"/>
      <name val="Arial"/>
      <family val="2"/>
    </font>
    <font>
      <b/>
      <sz val="14"/>
      <color rgb="FF000000"/>
      <name val="Arial"/>
      <family val="2"/>
    </font>
    <font>
      <b/>
      <sz val="10"/>
      <color rgb="FF000000"/>
      <name val="Times New Roman"/>
      <family val="1"/>
    </font>
    <font>
      <sz val="14"/>
      <color rgb="FF000000"/>
      <name val="Arial"/>
      <family val="2"/>
    </font>
    <font>
      <b/>
      <sz val="14"/>
      <color rgb="FF000000"/>
      <name val="Times New Roman"/>
      <family val="1"/>
    </font>
    <font>
      <sz val="14"/>
      <color theme="1"/>
      <name val="Arial"/>
      <family val="2"/>
    </font>
    <font>
      <sz val="11"/>
      <color theme="1"/>
      <name val="Arial"/>
      <family val="2"/>
    </font>
    <font>
      <b/>
      <sz val="14"/>
      <color rgb="FF000000"/>
      <name val="Calibri"/>
      <family val="2"/>
    </font>
    <font>
      <sz val="14"/>
      <color rgb="FF000000"/>
      <name val="Calibri"/>
      <family val="2"/>
    </font>
    <font>
      <b/>
      <sz val="12"/>
      <color rgb="FF000000"/>
      <name val="Calibri"/>
      <family val="2"/>
    </font>
    <font>
      <sz val="12"/>
      <color theme="1"/>
      <name val="Calibri"/>
      <family val="2"/>
    </font>
    <font>
      <b/>
      <sz val="16"/>
      <color rgb="FF000000"/>
      <name val="Calibri"/>
      <family val="2"/>
    </font>
    <font>
      <sz val="16"/>
      <color theme="1"/>
      <name val="Calibri"/>
      <family val="2"/>
    </font>
    <font>
      <sz val="14"/>
      <color rgb="FF333333"/>
      <name val="Calibri"/>
      <family val="2"/>
    </font>
    <font>
      <b/>
      <sz val="16"/>
      <color theme="1"/>
      <name val="Calibri"/>
      <family val="2"/>
    </font>
    <font>
      <b/>
      <sz val="11"/>
      <color rgb="FF000000"/>
      <name val="Calibri"/>
      <family val="2"/>
    </font>
    <font>
      <b/>
      <sz val="12"/>
      <color theme="0"/>
      <name val="Calibri"/>
      <family val="2"/>
    </font>
    <font>
      <b/>
      <sz val="18"/>
      <color theme="1"/>
      <name val="Calibri"/>
      <family val="2"/>
    </font>
    <font>
      <sz val="12"/>
      <color theme="1"/>
      <name val="Arial"/>
      <family val="2"/>
    </font>
    <font>
      <b/>
      <sz val="20"/>
      <color theme="1"/>
      <name val="Calibri"/>
      <family val="2"/>
    </font>
    <font>
      <b/>
      <sz val="12.5"/>
      <color rgb="FF000000"/>
      <name val="Calibri"/>
      <family val="2"/>
    </font>
    <font>
      <b/>
      <sz val="10"/>
      <color rgb="FF000000"/>
      <name val="Calibri"/>
      <family val="2"/>
    </font>
    <font>
      <b/>
      <sz val="12"/>
      <color theme="1"/>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1" tint="0.04998999834060669"/>
        <bgColor indexed="64"/>
      </patternFill>
    </fill>
    <fill>
      <patternFill patternType="solid">
        <fgColor theme="1" tint="0.04998999834060669"/>
        <bgColor indexed="64"/>
      </patternFill>
    </fill>
    <fill>
      <patternFill patternType="solid">
        <fgColor theme="0" tint="-0.04997999966144562"/>
        <bgColor indexed="64"/>
      </patternFill>
    </fill>
    <fill>
      <patternFill patternType="solid">
        <fgColor indexed="10"/>
        <bgColor indexed="64"/>
      </patternFill>
    </fill>
    <fill>
      <patternFill patternType="solid">
        <fgColor indexed="22"/>
        <bgColor indexed="64"/>
      </patternFill>
    </fill>
    <fill>
      <patternFill patternType="solid">
        <fgColor theme="1"/>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BEBEBE"/>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color indexed="8"/>
      </left>
      <right style="thin">
        <color indexed="8"/>
      </right>
      <top>
        <color indexed="63"/>
      </top>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right/>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top style="thin">
        <color indexed="8"/>
      </top>
      <bottom style="thin">
        <color indexed="8"/>
      </bottom>
    </border>
    <border>
      <left style="medium"/>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medium"/>
      <right/>
      <top/>
      <bottom style="thin">
        <color indexed="8"/>
      </bottom>
    </border>
    <border>
      <left style="thin">
        <color indexed="8"/>
      </left>
      <right style="medium"/>
      <top/>
      <bottom style="thin">
        <color indexed="8"/>
      </bottom>
    </border>
    <border>
      <left style="medium"/>
      <right/>
      <top style="medium">
        <color indexed="8"/>
      </top>
      <bottom style="medium"/>
    </border>
    <border>
      <left/>
      <right/>
      <top style="medium">
        <color indexed="8"/>
      </top>
      <bottom style="medium"/>
    </border>
    <border>
      <left style="thin">
        <color indexed="8"/>
      </left>
      <right style="medium"/>
      <top style="medium">
        <color indexed="8"/>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color indexed="8"/>
      </right>
      <top style="double">
        <color indexed="8"/>
      </top>
      <bottom style="double"/>
    </border>
    <border>
      <left>
        <color indexed="63"/>
      </left>
      <right style="thin"/>
      <top style="thin"/>
      <bottom style="medium"/>
    </border>
    <border>
      <left style="thin"/>
      <right/>
      <top>
        <color indexed="63"/>
      </top>
      <bottom style="thin">
        <color indexed="8"/>
      </bottom>
    </border>
    <border>
      <left style="medium"/>
      <right>
        <color indexed="63"/>
      </right>
      <top>
        <color indexed="63"/>
      </top>
      <bottom style="double"/>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right style="medium"/>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right style="medium"/>
      <top/>
      <bottom style="medium"/>
    </border>
    <border>
      <left style="medium"/>
      <right style="thin"/>
      <top style="thin"/>
      <bottom>
        <color indexed="63"/>
      </bottom>
    </border>
    <border>
      <left style="thin"/>
      <right>
        <color indexed="63"/>
      </right>
      <top style="thin"/>
      <bottom style="medium"/>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style="medium"/>
      <right style="thin"/>
      <top style="medium"/>
      <bottom style="medium"/>
    </border>
    <border>
      <left style="thin">
        <color indexed="8"/>
      </left>
      <right style="medium"/>
      <top style="medium"/>
      <bottom style="medium"/>
    </border>
    <border>
      <left style="thin"/>
      <right style="thin"/>
      <top style="thin"/>
      <botto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color indexed="63"/>
      </bottom>
    </border>
    <border>
      <left style="thin"/>
      <right>
        <color indexed="63"/>
      </right>
      <top style="thin"/>
      <bottom/>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style="thin"/>
      <top style="thin"/>
      <bottom>
        <color indexed="63"/>
      </bottom>
    </border>
    <border>
      <left style="thin"/>
      <right style="thin"/>
      <top style="medium"/>
      <bottom style="medium"/>
    </border>
    <border>
      <left style="thin">
        <color indexed="63"/>
      </left>
      <right style="thin">
        <color indexed="63"/>
      </right>
      <top style="thin">
        <color indexed="63"/>
      </top>
      <bottom style="thin">
        <color indexed="63"/>
      </bottom>
    </border>
    <border>
      <left style="thin">
        <color indexed="8"/>
      </left>
      <right/>
      <top style="double">
        <color indexed="8"/>
      </top>
      <bottom style="double"/>
    </border>
    <border>
      <left/>
      <right/>
      <top style="double">
        <color indexed="8"/>
      </top>
      <bottom style="double"/>
    </border>
    <border>
      <left style="medium"/>
      <right style="thin">
        <color indexed="8"/>
      </right>
      <top>
        <color indexed="63"/>
      </top>
      <bottom style="double"/>
    </border>
    <border>
      <left>
        <color indexed="63"/>
      </left>
      <right style="thin"/>
      <top>
        <color indexed="63"/>
      </top>
      <bottom>
        <color indexed="63"/>
      </bottom>
    </border>
    <border>
      <left style="thin"/>
      <right>
        <color indexed="63"/>
      </right>
      <top>
        <color indexed="63"/>
      </top>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right style="medium"/>
      <top style="medium"/>
      <bottom style="thin"/>
    </border>
    <border>
      <left style="thin">
        <color rgb="FF000000"/>
      </left>
      <right style="thin">
        <color rgb="FF000000"/>
      </right>
      <top/>
      <bottom style="thin">
        <color rgb="FF000000"/>
      </bottom>
    </border>
    <border>
      <left>
        <color indexed="63"/>
      </left>
      <right style="medium"/>
      <top>
        <color indexed="63"/>
      </top>
      <bottom style="thin"/>
    </border>
    <border>
      <left style="thin"/>
      <right style="thin"/>
      <top style="thick"/>
      <bottom style="thick"/>
    </border>
    <border>
      <left style="thin"/>
      <right style="thick"/>
      <top style="thick"/>
      <bottom style="thick"/>
    </border>
    <border>
      <left>
        <color indexed="63"/>
      </left>
      <right>
        <color indexed="63"/>
      </right>
      <top style="thin">
        <color rgb="FF000000"/>
      </top>
      <bottom>
        <color indexed="63"/>
      </bottom>
    </border>
    <border>
      <left/>
      <right/>
      <top/>
      <bottom style="thin">
        <color rgb="FF000000"/>
      </bottom>
    </border>
    <border>
      <left style="thin"/>
      <right style="thin"/>
      <top/>
      <bottom style="thick"/>
    </border>
    <border>
      <left style="thin">
        <color rgb="FF000000"/>
      </left>
      <right/>
      <top style="thin">
        <color rgb="FF000000"/>
      </top>
      <bottom style="thin">
        <color rgb="FF000000"/>
      </bottom>
    </border>
    <border>
      <left/>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color indexed="63"/>
      </left>
      <right style="thin">
        <color rgb="FF000000"/>
      </right>
      <top>
        <color indexed="63"/>
      </top>
      <bottom style="thin">
        <color rgb="FF000000"/>
      </bottom>
    </border>
    <border>
      <left>
        <color indexed="63"/>
      </left>
      <right style="thin"/>
      <top>
        <color indexed="63"/>
      </top>
      <bottom style="double"/>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top/>
      <bottom style="double">
        <color indexed="8"/>
      </bottom>
    </border>
    <border>
      <left/>
      <right/>
      <top/>
      <bottom style="double">
        <color indexed="8"/>
      </bottom>
    </border>
    <border>
      <left/>
      <right style="medium"/>
      <top/>
      <bottom style="double">
        <color indexed="8"/>
      </bottom>
    </border>
    <border>
      <left>
        <color indexed="63"/>
      </left>
      <right style="thin">
        <color indexed="8"/>
      </right>
      <top style="double">
        <color indexed="8"/>
      </top>
      <bottom style="double"/>
    </border>
    <border>
      <left/>
      <right style="medium"/>
      <top style="double">
        <color indexed="8"/>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ouble"/>
      <bottom style="double"/>
    </border>
    <border>
      <left style="thin"/>
      <right>
        <color indexed="63"/>
      </right>
      <top style="thin"/>
      <bottom style="thin">
        <color indexed="8"/>
      </bottom>
    </border>
    <border>
      <left>
        <color indexed="63"/>
      </left>
      <right style="medium"/>
      <top style="thin"/>
      <bottom style="thin">
        <color indexed="8"/>
      </bottom>
    </border>
    <border>
      <left>
        <color indexed="63"/>
      </left>
      <right style="medium"/>
      <top>
        <color indexed="63"/>
      </top>
      <bottom style="thin">
        <color indexed="8"/>
      </bottom>
    </border>
    <border>
      <left style="medium"/>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color indexed="63"/>
      </top>
      <bottom style="double"/>
    </border>
    <border>
      <left>
        <color indexed="63"/>
      </left>
      <right style="medium"/>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3"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76"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6" fillId="0" borderId="0" applyFont="0" applyFill="0" applyBorder="0" applyAlignment="0" applyProtection="0"/>
    <xf numFmtId="9" fontId="0" fillId="0" borderId="0" applyFill="0" applyBorder="0" applyAlignment="0" applyProtection="0"/>
    <xf numFmtId="0" fontId="85"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6"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2" fillId="0" borderId="9" applyNumberFormat="0" applyFill="0" applyAlignment="0" applyProtection="0"/>
    <xf numFmtId="167" fontId="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2" fillId="0" borderId="0" applyFont="0" applyFill="0" applyBorder="0" applyAlignment="0" applyProtection="0"/>
  </cellStyleXfs>
  <cellXfs count="1201">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1" xfId="60" applyFont="1" applyBorder="1" applyAlignment="1">
      <alignment horizontal="center" vertical="center"/>
      <protection/>
    </xf>
    <xf numFmtId="0" fontId="93" fillId="0" borderId="11" xfId="60" applyFont="1" applyBorder="1" applyAlignment="1">
      <alignment horizontal="center" vertical="center"/>
      <protection/>
    </xf>
    <xf numFmtId="49" fontId="22" fillId="0" borderId="11" xfId="60" applyNumberFormat="1" applyFont="1" applyFill="1" applyBorder="1" applyAlignment="1">
      <alignment horizontal="center" vertical="center"/>
      <protection/>
    </xf>
    <xf numFmtId="168" fontId="22" fillId="0" borderId="11" xfId="60" applyNumberFormat="1" applyFont="1" applyFill="1" applyBorder="1" applyAlignment="1">
      <alignment horizontal="center" vertical="center"/>
      <protection/>
    </xf>
    <xf numFmtId="167" fontId="93" fillId="0" borderId="11" xfId="76" applyNumberFormat="1" applyFont="1" applyFill="1" applyBorder="1" applyAlignment="1">
      <alignment horizontal="center" vertical="center"/>
    </xf>
    <xf numFmtId="0" fontId="22" fillId="0" borderId="11" xfId="60" applyNumberFormat="1" applyFont="1" applyFill="1" applyBorder="1" applyAlignment="1" quotePrefix="1">
      <alignment horizontal="center" vertical="center"/>
      <protection/>
    </xf>
    <xf numFmtId="0" fontId="22" fillId="0" borderId="11" xfId="60" applyFont="1" applyFill="1" applyBorder="1" applyAlignment="1">
      <alignment horizontal="center" vertical="center"/>
      <protection/>
    </xf>
    <xf numFmtId="0" fontId="93" fillId="0" borderId="11" xfId="60" applyFont="1" applyFill="1" applyBorder="1" applyAlignment="1">
      <alignment horizontal="center" vertical="center"/>
      <protection/>
    </xf>
    <xf numFmtId="0" fontId="22" fillId="0" borderId="11" xfId="60" applyNumberFormat="1" applyFont="1" applyBorder="1" applyAlignment="1">
      <alignment horizontal="center" vertical="center"/>
      <protection/>
    </xf>
    <xf numFmtId="168" fontId="22" fillId="0" borderId="11" xfId="60" applyNumberFormat="1" applyFont="1" applyBorder="1" applyAlignment="1">
      <alignment horizontal="center" vertical="center"/>
      <protection/>
    </xf>
    <xf numFmtId="167" fontId="93" fillId="0" borderId="11" xfId="76" applyNumberFormat="1" applyFont="1" applyBorder="1" applyAlignment="1">
      <alignment horizontal="center" vertical="center"/>
    </xf>
    <xf numFmtId="169" fontId="22" fillId="0" borderId="11" xfId="60" applyNumberFormat="1" applyFont="1" applyBorder="1" applyAlignment="1">
      <alignment horizontal="center" vertical="center"/>
      <protection/>
    </xf>
    <xf numFmtId="167" fontId="93" fillId="0" borderId="11" xfId="60" applyNumberFormat="1" applyFont="1" applyFill="1" applyBorder="1" applyAlignment="1">
      <alignment horizontal="center" vertical="center"/>
      <protection/>
    </xf>
    <xf numFmtId="167" fontId="22" fillId="0" borderId="12" xfId="58" applyNumberFormat="1" applyFont="1" applyFill="1" applyBorder="1" applyAlignment="1">
      <alignment vertical="center"/>
      <protection/>
    </xf>
    <xf numFmtId="167" fontId="22" fillId="0" borderId="13" xfId="58" applyNumberFormat="1" applyFont="1" applyFill="1" applyBorder="1" applyAlignment="1">
      <alignment vertical="center"/>
      <protection/>
    </xf>
    <xf numFmtId="167" fontId="22" fillId="0" borderId="0" xfId="60" applyNumberFormat="1" applyFont="1" applyFill="1" applyBorder="1" applyAlignment="1" quotePrefix="1">
      <alignment horizontal="center" vertical="center"/>
      <protection/>
    </xf>
    <xf numFmtId="167" fontId="23" fillId="0" borderId="0" xfId="60" applyNumberFormat="1" applyFont="1" applyFill="1" applyBorder="1" applyAlignment="1">
      <alignment horizontal="left" vertical="center"/>
      <protection/>
    </xf>
    <xf numFmtId="167" fontId="23" fillId="0" borderId="0" xfId="61" applyNumberFormat="1" applyFont="1" applyFill="1" applyBorder="1" applyAlignment="1">
      <alignment horizontal="center" vertical="center"/>
      <protection/>
    </xf>
    <xf numFmtId="167" fontId="22" fillId="0" borderId="10" xfId="60" applyNumberFormat="1" applyFont="1" applyBorder="1" applyAlignment="1">
      <alignment horizontal="center" vertical="center"/>
      <protection/>
    </xf>
    <xf numFmtId="167" fontId="22" fillId="0" borderId="14" xfId="60" applyNumberFormat="1" applyFont="1" applyBorder="1" applyAlignment="1">
      <alignment horizontal="center" vertical="center"/>
      <protection/>
    </xf>
    <xf numFmtId="0" fontId="22" fillId="0" borderId="10" xfId="60" applyNumberFormat="1" applyFont="1" applyFill="1" applyBorder="1" applyAlignment="1">
      <alignment horizontal="center" vertical="center"/>
      <protection/>
    </xf>
    <xf numFmtId="167" fontId="93" fillId="0" borderId="14" xfId="76" applyNumberFormat="1" applyFont="1" applyFill="1" applyBorder="1" applyAlignment="1">
      <alignment horizontal="center" vertical="center"/>
    </xf>
    <xf numFmtId="167" fontId="22" fillId="0" borderId="10" xfId="60" applyNumberFormat="1" applyFont="1" applyFill="1" applyBorder="1" applyAlignment="1">
      <alignment horizontal="center" vertical="center"/>
      <protection/>
    </xf>
    <xf numFmtId="167" fontId="22" fillId="0" borderId="14" xfId="60" applyNumberFormat="1" applyFont="1" applyFill="1" applyBorder="1" applyAlignment="1">
      <alignment horizontal="center" vertical="center"/>
      <protection/>
    </xf>
    <xf numFmtId="0" fontId="22" fillId="0" borderId="10" xfId="60" applyNumberFormat="1" applyFont="1" applyBorder="1" applyAlignment="1">
      <alignment horizontal="center" vertical="center"/>
      <protection/>
    </xf>
    <xf numFmtId="167" fontId="22" fillId="0" borderId="14" xfId="58" applyNumberFormat="1" applyFont="1" applyBorder="1" applyAlignment="1">
      <alignment horizontal="center" vertical="center"/>
      <protection/>
    </xf>
    <xf numFmtId="0" fontId="22" fillId="0" borderId="11" xfId="60" applyFont="1" applyBorder="1" applyAlignment="1">
      <alignment horizontal="justify" vertical="center"/>
      <protection/>
    </xf>
    <xf numFmtId="0" fontId="22" fillId="0" borderId="11" xfId="60" applyFont="1" applyBorder="1" applyAlignment="1">
      <alignment horizontal="justify" vertical="center" wrapText="1"/>
      <protection/>
    </xf>
    <xf numFmtId="0" fontId="22" fillId="0" borderId="11" xfId="60" applyFont="1" applyFill="1" applyBorder="1" applyAlignment="1">
      <alignment horizontal="justify" vertical="center"/>
      <protection/>
    </xf>
    <xf numFmtId="167" fontId="23" fillId="33" borderId="0" xfId="60" applyNumberFormat="1" applyFont="1" applyFill="1" applyBorder="1" applyAlignment="1">
      <alignment horizontal="center" vertical="center" wrapText="1"/>
      <protection/>
    </xf>
    <xf numFmtId="0" fontId="23" fillId="34" borderId="0" xfId="54" applyFont="1" applyFill="1" applyBorder="1" applyAlignment="1">
      <alignment horizontal="center" vertical="center"/>
      <protection/>
    </xf>
    <xf numFmtId="167" fontId="22" fillId="0" borderId="0" xfId="60" applyNumberFormat="1" applyFont="1" applyBorder="1" applyAlignment="1">
      <alignment horizontal="center" vertical="center"/>
      <protection/>
    </xf>
    <xf numFmtId="167" fontId="22" fillId="35" borderId="0" xfId="60" applyNumberFormat="1" applyFont="1" applyFill="1" applyBorder="1" applyAlignment="1">
      <alignment horizontal="center" vertical="center"/>
      <protection/>
    </xf>
    <xf numFmtId="167" fontId="22" fillId="0" borderId="0" xfId="60" applyNumberFormat="1" applyFont="1" applyFill="1" applyBorder="1" applyAlignment="1">
      <alignment horizontal="center" vertical="center"/>
      <protection/>
    </xf>
    <xf numFmtId="167" fontId="23" fillId="0" borderId="0" xfId="60" applyNumberFormat="1" applyFont="1" applyBorder="1" applyAlignment="1">
      <alignment horizontal="center" vertical="center"/>
      <protection/>
    </xf>
    <xf numFmtId="167" fontId="23" fillId="36" borderId="0" xfId="60" applyNumberFormat="1" applyFont="1" applyFill="1" applyBorder="1" applyAlignment="1">
      <alignment horizontal="center" vertical="center"/>
      <protection/>
    </xf>
    <xf numFmtId="167" fontId="22" fillId="0" borderId="0" xfId="58" applyNumberFormat="1" applyFont="1" applyBorder="1" applyAlignment="1">
      <alignment horizontal="center" vertical="center"/>
      <protection/>
    </xf>
    <xf numFmtId="167" fontId="23" fillId="36" borderId="0" xfId="61" applyNumberFormat="1" applyFont="1" applyFill="1" applyBorder="1" applyAlignment="1">
      <alignment horizontal="center" vertical="center"/>
      <protection/>
    </xf>
    <xf numFmtId="169" fontId="93" fillId="0" borderId="0" xfId="76" applyNumberFormat="1" applyFont="1" applyFill="1" applyBorder="1" applyAlignment="1">
      <alignment horizontal="center" vertical="center"/>
    </xf>
    <xf numFmtId="167" fontId="22" fillId="0" borderId="11" xfId="60" applyNumberFormat="1" applyFont="1" applyBorder="1" applyAlignment="1">
      <alignment horizontal="center" vertical="center"/>
      <protection/>
    </xf>
    <xf numFmtId="167" fontId="22" fillId="0" borderId="11" xfId="60" applyNumberFormat="1" applyFont="1" applyFill="1" applyBorder="1" applyAlignment="1">
      <alignment horizontal="center" vertical="center"/>
      <protection/>
    </xf>
    <xf numFmtId="167" fontId="23" fillId="0" borderId="14" xfId="60" applyNumberFormat="1" applyFont="1" applyFill="1" applyBorder="1" applyAlignment="1">
      <alignment horizontal="center" vertical="center"/>
      <protection/>
    </xf>
    <xf numFmtId="167" fontId="22" fillId="8" borderId="15" xfId="60" applyNumberFormat="1" applyFont="1" applyFill="1" applyBorder="1" applyAlignment="1" quotePrefix="1">
      <alignment horizontal="center" vertical="center"/>
      <protection/>
    </xf>
    <xf numFmtId="167" fontId="22" fillId="8" borderId="16" xfId="60" applyNumberFormat="1" applyFont="1" applyFill="1" applyBorder="1" applyAlignment="1" quotePrefix="1">
      <alignment horizontal="center" vertical="center"/>
      <protection/>
    </xf>
    <xf numFmtId="167" fontId="23" fillId="8" borderId="17" xfId="61" applyNumberFormat="1" applyFont="1" applyFill="1" applyBorder="1" applyAlignment="1">
      <alignment horizontal="center" vertical="center"/>
      <protection/>
    </xf>
    <xf numFmtId="167" fontId="22" fillId="8" borderId="11" xfId="60" applyNumberFormat="1" applyFont="1" applyFill="1" applyBorder="1" applyAlignment="1" quotePrefix="1">
      <alignment horizontal="center" vertical="center"/>
      <protection/>
    </xf>
    <xf numFmtId="0" fontId="43" fillId="0" borderId="0" xfId="0" applyFont="1" applyAlignment="1">
      <alignment horizontal="center" vertical="center"/>
    </xf>
    <xf numFmtId="0" fontId="43" fillId="0" borderId="0" xfId="0" applyFont="1" applyFill="1" applyBorder="1" applyAlignment="1">
      <alignment horizontal="center" vertical="center"/>
    </xf>
    <xf numFmtId="166" fontId="43" fillId="8" borderId="17" xfId="47" applyFont="1" applyFill="1" applyBorder="1" applyAlignment="1">
      <alignment vertical="center"/>
    </xf>
    <xf numFmtId="0" fontId="93" fillId="37" borderId="18" xfId="0" applyFont="1" applyFill="1" applyBorder="1" applyAlignment="1">
      <alignment/>
    </xf>
    <xf numFmtId="0" fontId="93" fillId="37" borderId="19" xfId="0" applyFont="1" applyFill="1" applyBorder="1" applyAlignment="1">
      <alignment/>
    </xf>
    <xf numFmtId="0" fontId="93" fillId="37" borderId="20" xfId="0" applyFont="1" applyFill="1" applyBorder="1" applyAlignment="1">
      <alignment/>
    </xf>
    <xf numFmtId="0" fontId="93" fillId="0" borderId="0" xfId="0" applyFont="1" applyAlignment="1">
      <alignment horizontal="center" vertical="center"/>
    </xf>
    <xf numFmtId="0" fontId="93" fillId="0" borderId="0" xfId="0" applyFont="1" applyAlignment="1">
      <alignment/>
    </xf>
    <xf numFmtId="167" fontId="93" fillId="0" borderId="0" xfId="0" applyNumberFormat="1" applyFont="1" applyAlignment="1">
      <alignment vertical="center"/>
    </xf>
    <xf numFmtId="0" fontId="93" fillId="0" borderId="0" xfId="0" applyFont="1" applyAlignment="1">
      <alignment vertical="center"/>
    </xf>
    <xf numFmtId="0" fontId="22" fillId="0" borderId="11" xfId="60" applyFont="1" applyFill="1" applyBorder="1" applyAlignment="1">
      <alignment horizontal="justify" vertical="top" wrapText="1"/>
      <protection/>
    </xf>
    <xf numFmtId="0" fontId="44" fillId="0" borderId="0" xfId="0" applyFont="1" applyAlignment="1">
      <alignment/>
    </xf>
    <xf numFmtId="0" fontId="45" fillId="0" borderId="10" xfId="0" applyFont="1" applyBorder="1" applyAlignment="1">
      <alignment horizontal="center" vertical="center"/>
    </xf>
    <xf numFmtId="2" fontId="45" fillId="0" borderId="11" xfId="0" applyNumberFormat="1" applyFont="1" applyFill="1" applyBorder="1" applyAlignment="1">
      <alignment horizontal="center" vertical="center" wrapText="1"/>
    </xf>
    <xf numFmtId="167" fontId="45" fillId="0" borderId="11" xfId="86" applyFont="1" applyFill="1" applyBorder="1" applyAlignment="1">
      <alignment horizontal="center" vertical="center" wrapText="1"/>
    </xf>
    <xf numFmtId="166" fontId="45" fillId="0" borderId="11" xfId="47" applyFont="1" applyFill="1" applyBorder="1" applyAlignment="1">
      <alignment vertical="center"/>
    </xf>
    <xf numFmtId="166" fontId="45" fillId="0" borderId="11" xfId="47" applyFont="1" applyFill="1" applyBorder="1" applyAlignment="1">
      <alignment horizontal="right" vertical="center"/>
    </xf>
    <xf numFmtId="166" fontId="45" fillId="0" borderId="14" xfId="47" applyFont="1" applyFill="1" applyBorder="1" applyAlignment="1">
      <alignment vertical="center"/>
    </xf>
    <xf numFmtId="49"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38" borderId="10" xfId="0" applyFont="1" applyFill="1" applyBorder="1" applyAlignment="1">
      <alignment horizontal="center" vertical="center" wrapText="1"/>
    </xf>
    <xf numFmtId="49" fontId="45" fillId="0" borderId="11" xfId="86"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38" borderId="21" xfId="0" applyFont="1" applyFill="1" applyBorder="1" applyAlignment="1">
      <alignment horizontal="center" vertical="center"/>
    </xf>
    <xf numFmtId="4" fontId="45" fillId="0" borderId="11" xfId="0" applyNumberFormat="1" applyFont="1" applyFill="1" applyBorder="1" applyAlignment="1">
      <alignment vertical="center" wrapText="1"/>
    </xf>
    <xf numFmtId="166" fontId="45" fillId="0" borderId="11" xfId="47" applyFont="1" applyFill="1" applyBorder="1" applyAlignment="1">
      <alignment horizontal="center" vertical="center" wrapText="1"/>
    </xf>
    <xf numFmtId="166" fontId="45" fillId="0" borderId="11" xfId="47" applyFont="1" applyFill="1" applyBorder="1" applyAlignment="1">
      <alignment horizontal="right" vertical="center" wrapText="1"/>
    </xf>
    <xf numFmtId="166" fontId="45" fillId="0" borderId="11" xfId="47" applyFont="1" applyFill="1" applyBorder="1" applyAlignment="1">
      <alignment vertical="center" wrapText="1"/>
    </xf>
    <xf numFmtId="0" fontId="45" fillId="37" borderId="21" xfId="0" applyFont="1" applyFill="1" applyBorder="1" applyAlignment="1">
      <alignment horizontal="center" vertical="center" wrapText="1"/>
    </xf>
    <xf numFmtId="0" fontId="45" fillId="37" borderId="11" xfId="0" applyFont="1" applyFill="1" applyBorder="1" applyAlignment="1">
      <alignment horizontal="center" vertical="center"/>
    </xf>
    <xf numFmtId="4" fontId="45" fillId="37" borderId="11" xfId="0" applyNumberFormat="1" applyFont="1" applyFill="1" applyBorder="1" applyAlignment="1">
      <alignment vertical="center" wrapText="1"/>
    </xf>
    <xf numFmtId="167" fontId="45" fillId="37" borderId="11" xfId="86" applyFont="1" applyFill="1" applyBorder="1" applyAlignment="1">
      <alignment horizontal="center" vertical="center" wrapText="1"/>
    </xf>
    <xf numFmtId="166" fontId="45" fillId="37" borderId="11" xfId="47" applyFont="1" applyFill="1" applyBorder="1" applyAlignment="1">
      <alignment vertical="center" wrapText="1"/>
    </xf>
    <xf numFmtId="0" fontId="45" fillId="0" borderId="11" xfId="0" applyFont="1" applyFill="1" applyBorder="1" applyAlignment="1">
      <alignment horizontal="center" vertical="center"/>
    </xf>
    <xf numFmtId="0" fontId="24" fillId="38" borderId="10" xfId="0" applyFont="1" applyFill="1" applyBorder="1" applyAlignment="1">
      <alignment horizontal="center" vertical="center" wrapText="1"/>
    </xf>
    <xf numFmtId="0" fontId="94" fillId="37" borderId="0" xfId="0" applyFont="1" applyFill="1" applyBorder="1" applyAlignment="1">
      <alignment horizontal="center" vertical="center"/>
    </xf>
    <xf numFmtId="0" fontId="45" fillId="0" borderId="0" xfId="0" applyFont="1" applyAlignment="1">
      <alignment vertical="center"/>
    </xf>
    <xf numFmtId="0" fontId="22" fillId="0" borderId="0" xfId="0" applyFont="1" applyBorder="1" applyAlignment="1">
      <alignment vertical="center"/>
    </xf>
    <xf numFmtId="0" fontId="45" fillId="0" borderId="0" xfId="0" applyFont="1" applyBorder="1" applyAlignment="1">
      <alignment vertical="center"/>
    </xf>
    <xf numFmtId="0" fontId="45" fillId="0" borderId="0" xfId="0" applyFont="1" applyFill="1" applyAlignment="1">
      <alignment vertical="center"/>
    </xf>
    <xf numFmtId="43" fontId="22" fillId="0" borderId="0" xfId="0" applyNumberFormat="1" applyFont="1" applyAlignment="1">
      <alignment vertical="center"/>
    </xf>
    <xf numFmtId="0" fontId="45" fillId="37" borderId="0" xfId="0" applyFont="1" applyFill="1" applyAlignment="1">
      <alignment vertical="center"/>
    </xf>
    <xf numFmtId="43" fontId="45" fillId="0" borderId="0" xfId="0" applyNumberFormat="1" applyFont="1" applyAlignment="1">
      <alignment vertical="center"/>
    </xf>
    <xf numFmtId="166" fontId="22" fillId="0" borderId="0" xfId="47" applyFont="1" applyAlignment="1">
      <alignment vertical="center"/>
    </xf>
    <xf numFmtId="0" fontId="47" fillId="35" borderId="10" xfId="0" applyFont="1" applyFill="1" applyBorder="1" applyAlignment="1">
      <alignment horizontal="center" vertical="center" wrapText="1"/>
    </xf>
    <xf numFmtId="0" fontId="47" fillId="35" borderId="10" xfId="0" applyFont="1" applyFill="1" applyBorder="1" applyAlignment="1">
      <alignment horizontal="center" vertical="center"/>
    </xf>
    <xf numFmtId="0" fontId="47" fillId="35" borderId="22" xfId="0" applyFont="1" applyFill="1" applyBorder="1" applyAlignment="1">
      <alignment horizontal="center" vertical="center"/>
    </xf>
    <xf numFmtId="166" fontId="24" fillId="35" borderId="14" xfId="47" applyFont="1" applyFill="1" applyBorder="1" applyAlignment="1">
      <alignment horizontal="right" vertical="center"/>
    </xf>
    <xf numFmtId="0" fontId="47" fillId="35" borderId="21" xfId="0" applyFont="1" applyFill="1" applyBorder="1" applyAlignment="1">
      <alignment horizontal="center" vertical="center" wrapText="1"/>
    </xf>
    <xf numFmtId="0" fontId="45" fillId="0" borderId="22" xfId="0" applyFont="1" applyBorder="1" applyAlignment="1">
      <alignment horizontal="center" vertical="center"/>
    </xf>
    <xf numFmtId="0" fontId="45" fillId="38" borderId="22"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24" fillId="38" borderId="22" xfId="0" applyFont="1" applyFill="1" applyBorder="1" applyAlignment="1">
      <alignment horizontal="center" vertical="center" wrapText="1"/>
    </xf>
    <xf numFmtId="0" fontId="22" fillId="0" borderId="0" xfId="54" applyFont="1" applyAlignment="1">
      <alignment vertical="center"/>
      <protection/>
    </xf>
    <xf numFmtId="0" fontId="95" fillId="39" borderId="0" xfId="0" applyFont="1" applyFill="1" applyAlignment="1">
      <alignment vertical="center"/>
    </xf>
    <xf numFmtId="0" fontId="23" fillId="0" borderId="23" xfId="0" applyFont="1" applyFill="1" applyBorder="1" applyAlignment="1">
      <alignment horizontal="center" vertical="center"/>
    </xf>
    <xf numFmtId="0" fontId="23" fillId="0" borderId="0" xfId="0" applyFont="1" applyFill="1" applyBorder="1" applyAlignment="1">
      <alignment horizontal="centerContinuous"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4" fontId="22" fillId="0" borderId="25" xfId="0" applyNumberFormat="1" applyFont="1" applyFill="1" applyBorder="1" applyAlignment="1">
      <alignment horizontal="right" vertical="center"/>
    </xf>
    <xf numFmtId="0" fontId="22" fillId="0" borderId="26" xfId="0" applyFont="1" applyFill="1" applyBorder="1" applyAlignment="1">
      <alignment vertical="center"/>
    </xf>
    <xf numFmtId="4" fontId="22" fillId="0" borderId="27" xfId="0" applyNumberFormat="1" applyFont="1" applyFill="1" applyBorder="1" applyAlignment="1">
      <alignment horizontal="right" vertical="center"/>
    </xf>
    <xf numFmtId="0" fontId="22" fillId="0" borderId="28" xfId="0" applyFont="1" applyFill="1" applyBorder="1" applyAlignment="1">
      <alignment horizontal="center" vertical="center"/>
    </xf>
    <xf numFmtId="0" fontId="22" fillId="0" borderId="26" xfId="0" applyFont="1" applyFill="1" applyBorder="1" applyAlignment="1">
      <alignment horizontal="center" vertical="center"/>
    </xf>
    <xf numFmtId="0" fontId="23" fillId="35" borderId="29" xfId="0" applyFont="1" applyFill="1" applyBorder="1" applyAlignment="1">
      <alignment vertical="center"/>
    </xf>
    <xf numFmtId="0" fontId="23" fillId="35" borderId="30" xfId="0" applyFont="1" applyFill="1" applyBorder="1" applyAlignment="1">
      <alignment vertical="center"/>
    </xf>
    <xf numFmtId="0" fontId="23" fillId="35" borderId="31" xfId="0" applyFont="1" applyFill="1" applyBorder="1" applyAlignment="1">
      <alignment vertical="center"/>
    </xf>
    <xf numFmtId="4" fontId="23" fillId="35" borderId="32" xfId="0" applyNumberFormat="1" applyFont="1" applyFill="1" applyBorder="1" applyAlignment="1">
      <alignment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horizontal="centerContinuous" vertical="center"/>
    </xf>
    <xf numFmtId="0" fontId="23" fillId="0" borderId="27" xfId="0" applyFont="1" applyFill="1" applyBorder="1" applyAlignment="1">
      <alignment horizontal="centerContinuous" vertical="center"/>
    </xf>
    <xf numFmtId="0" fontId="22" fillId="0" borderId="34" xfId="0" applyFont="1" applyFill="1" applyBorder="1" applyAlignment="1">
      <alignment horizontal="center" vertical="center"/>
    </xf>
    <xf numFmtId="0" fontId="22" fillId="0" borderId="35"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horizontal="center" vertical="center"/>
    </xf>
    <xf numFmtId="0" fontId="23" fillId="35" borderId="38" xfId="0" applyFont="1" applyFill="1" applyBorder="1" applyAlignment="1">
      <alignment vertical="center"/>
    </xf>
    <xf numFmtId="2" fontId="23" fillId="35" borderId="38" xfId="0" applyNumberFormat="1" applyFont="1" applyFill="1" applyBorder="1" applyAlignment="1">
      <alignment vertical="center"/>
    </xf>
    <xf numFmtId="0" fontId="22" fillId="0" borderId="28" xfId="0" applyFont="1" applyFill="1" applyBorder="1" applyAlignment="1">
      <alignment vertical="center"/>
    </xf>
    <xf numFmtId="4" fontId="22" fillId="0" borderId="39" xfId="0" applyNumberFormat="1" applyFont="1" applyFill="1" applyBorder="1" applyAlignment="1">
      <alignment vertical="center"/>
    </xf>
    <xf numFmtId="0" fontId="23" fillId="0" borderId="40" xfId="0" applyFont="1" applyFill="1" applyBorder="1" applyAlignment="1">
      <alignment horizontal="center" vertical="center"/>
    </xf>
    <xf numFmtId="10" fontId="23" fillId="0" borderId="26" xfId="0" applyNumberFormat="1" applyFont="1" applyFill="1" applyBorder="1" applyAlignment="1">
      <alignment horizontal="centerContinuous" vertical="center"/>
    </xf>
    <xf numFmtId="0" fontId="23" fillId="0" borderId="26" xfId="0" applyFont="1" applyFill="1" applyBorder="1" applyAlignment="1">
      <alignment vertical="center"/>
    </xf>
    <xf numFmtId="10" fontId="23" fillId="0" borderId="26" xfId="0" applyNumberFormat="1" applyFont="1" applyFill="1" applyBorder="1" applyAlignment="1">
      <alignment vertical="center"/>
    </xf>
    <xf numFmtId="4" fontId="22" fillId="0" borderId="41" xfId="0" applyNumberFormat="1" applyFont="1" applyFill="1" applyBorder="1" applyAlignment="1">
      <alignment vertical="center"/>
    </xf>
    <xf numFmtId="0" fontId="23" fillId="8" borderId="42" xfId="0" applyFont="1" applyFill="1" applyBorder="1" applyAlignment="1">
      <alignment vertical="center"/>
    </xf>
    <xf numFmtId="0" fontId="23" fillId="8" borderId="43" xfId="0" applyFont="1" applyFill="1" applyBorder="1" applyAlignment="1">
      <alignment vertical="center"/>
    </xf>
    <xf numFmtId="0" fontId="23" fillId="8" borderId="43" xfId="0" applyFont="1" applyFill="1" applyBorder="1" applyAlignment="1">
      <alignment horizontal="center" vertical="center"/>
    </xf>
    <xf numFmtId="2" fontId="23" fillId="8" borderId="43" xfId="0" applyNumberFormat="1" applyFont="1" applyFill="1" applyBorder="1" applyAlignment="1">
      <alignment vertical="center"/>
    </xf>
    <xf numFmtId="4" fontId="23" fillId="8" borderId="44" xfId="0" applyNumberFormat="1" applyFont="1" applyFill="1" applyBorder="1" applyAlignment="1">
      <alignment vertical="center"/>
    </xf>
    <xf numFmtId="0" fontId="45" fillId="38" borderId="11" xfId="0" applyFont="1" applyFill="1" applyBorder="1" applyAlignment="1">
      <alignment horizontal="center" vertical="center"/>
    </xf>
    <xf numFmtId="0" fontId="45" fillId="0" borderId="11" xfId="0" applyNumberFormat="1" applyFont="1" applyFill="1" applyBorder="1" applyAlignment="1">
      <alignment horizontal="center" vertical="center" wrapText="1"/>
    </xf>
    <xf numFmtId="0" fontId="93" fillId="37" borderId="0" xfId="0" applyFont="1" applyFill="1" applyBorder="1" applyAlignment="1">
      <alignment horizontal="center" vertical="center"/>
    </xf>
    <xf numFmtId="0" fontId="0" fillId="0" borderId="0" xfId="0" applyFont="1" applyAlignment="1">
      <alignment/>
    </xf>
    <xf numFmtId="0" fontId="93" fillId="0" borderId="0" xfId="0" applyFont="1" applyBorder="1" applyAlignment="1">
      <alignment vertical="center"/>
    </xf>
    <xf numFmtId="0" fontId="93" fillId="0" borderId="0" xfId="0" applyFont="1" applyBorder="1" applyAlignment="1">
      <alignment/>
    </xf>
    <xf numFmtId="0" fontId="23" fillId="0" borderId="10" xfId="0" applyFont="1" applyBorder="1" applyAlignment="1">
      <alignment horizontal="center"/>
    </xf>
    <xf numFmtId="0" fontId="23" fillId="0" borderId="14" xfId="0" applyFont="1" applyBorder="1" applyAlignment="1">
      <alignment horizontal="center"/>
    </xf>
    <xf numFmtId="0" fontId="23" fillId="0" borderId="22" xfId="0" applyFont="1" applyBorder="1" applyAlignment="1">
      <alignment horizontal="center"/>
    </xf>
    <xf numFmtId="10" fontId="22" fillId="0" borderId="10" xfId="68" applyNumberFormat="1" applyFont="1" applyFill="1" applyBorder="1" applyAlignment="1" applyProtection="1">
      <alignment horizontal="right" vertical="center"/>
      <protection/>
    </xf>
    <xf numFmtId="192" fontId="22" fillId="0" borderId="14" xfId="77" applyNumberFormat="1" applyFont="1" applyFill="1" applyBorder="1" applyAlignment="1" applyProtection="1">
      <alignment horizontal="right" vertical="center"/>
      <protection/>
    </xf>
    <xf numFmtId="10" fontId="22" fillId="0" borderId="22" xfId="68" applyNumberFormat="1" applyFont="1" applyFill="1" applyBorder="1" applyAlignment="1" applyProtection="1">
      <alignment horizontal="right" vertical="center"/>
      <protection/>
    </xf>
    <xf numFmtId="10" fontId="22" fillId="0" borderId="22" xfId="67" applyNumberFormat="1" applyFont="1" applyFill="1" applyBorder="1" applyAlignment="1" applyProtection="1">
      <alignment horizontal="right" vertical="center"/>
      <protection/>
    </xf>
    <xf numFmtId="10" fontId="22" fillId="0" borderId="10" xfId="68" applyNumberFormat="1" applyFont="1" applyFill="1" applyBorder="1" applyAlignment="1" applyProtection="1">
      <alignment horizontal="right"/>
      <protection/>
    </xf>
    <xf numFmtId="192" fontId="22" fillId="0" borderId="14" xfId="77" applyNumberFormat="1" applyFont="1" applyFill="1" applyBorder="1" applyAlignment="1" applyProtection="1">
      <alignment horizontal="right"/>
      <protection/>
    </xf>
    <xf numFmtId="10" fontId="22" fillId="0" borderId="22" xfId="67" applyNumberFormat="1" applyFont="1" applyFill="1" applyBorder="1" applyAlignment="1" applyProtection="1">
      <alignment horizontal="right"/>
      <protection/>
    </xf>
    <xf numFmtId="0" fontId="93" fillId="0" borderId="10" xfId="0" applyFont="1" applyBorder="1" applyAlignment="1">
      <alignment horizontal="center" vertical="center"/>
    </xf>
    <xf numFmtId="0" fontId="93" fillId="0" borderId="11" xfId="0" applyFont="1" applyBorder="1" applyAlignment="1">
      <alignment horizontal="center" vertical="center"/>
    </xf>
    <xf numFmtId="10" fontId="93" fillId="0" borderId="11" xfId="68" applyNumberFormat="1" applyFont="1" applyFill="1" applyBorder="1" applyAlignment="1" applyProtection="1">
      <alignment horizontal="center" vertical="center"/>
      <protection/>
    </xf>
    <xf numFmtId="191" fontId="93" fillId="0" borderId="14" xfId="77" applyFont="1" applyFill="1" applyBorder="1" applyAlignment="1" applyProtection="1">
      <alignment horizontal="center" vertical="center"/>
      <protection/>
    </xf>
    <xf numFmtId="0" fontId="22" fillId="0" borderId="14" xfId="0" applyFont="1" applyBorder="1" applyAlignment="1">
      <alignment horizontal="center"/>
    </xf>
    <xf numFmtId="0" fontId="22" fillId="0" borderId="22" xfId="0" applyFont="1" applyBorder="1" applyAlignment="1">
      <alignment horizontal="center"/>
    </xf>
    <xf numFmtId="10" fontId="23" fillId="0" borderId="10" xfId="68" applyNumberFormat="1" applyFont="1" applyFill="1" applyBorder="1" applyAlignment="1" applyProtection="1">
      <alignment horizontal="center" vertical="center"/>
      <protection/>
    </xf>
    <xf numFmtId="10" fontId="23" fillId="0" borderId="22" xfId="67" applyNumberFormat="1" applyFont="1" applyFill="1" applyBorder="1" applyAlignment="1" applyProtection="1">
      <alignment horizontal="center" vertical="center"/>
      <protection/>
    </xf>
    <xf numFmtId="0" fontId="23" fillId="0" borderId="45" xfId="0" applyFont="1" applyBorder="1" applyAlignment="1">
      <alignment horizontal="center" wrapText="1"/>
    </xf>
    <xf numFmtId="0" fontId="23" fillId="0" borderId="0" xfId="0" applyFont="1" applyBorder="1" applyAlignment="1">
      <alignment horizontal="center" wrapText="1"/>
    </xf>
    <xf numFmtId="0" fontId="23" fillId="0" borderId="46" xfId="0" applyFont="1" applyBorder="1" applyAlignment="1">
      <alignment horizontal="center" wrapText="1"/>
    </xf>
    <xf numFmtId="167" fontId="23" fillId="8" borderId="47" xfId="60" applyNumberFormat="1" applyFont="1" applyFill="1" applyBorder="1" applyAlignment="1">
      <alignment horizontal="center" vertical="center" wrapText="1"/>
      <protection/>
    </xf>
    <xf numFmtId="167" fontId="23" fillId="8" borderId="48" xfId="60" applyNumberFormat="1" applyFont="1" applyFill="1" applyBorder="1" applyAlignment="1">
      <alignment horizontal="center" vertical="center" wrapText="1"/>
      <protection/>
    </xf>
    <xf numFmtId="167" fontId="23" fillId="8" borderId="49" xfId="60" applyNumberFormat="1" applyFont="1" applyFill="1" applyBorder="1" applyAlignment="1">
      <alignment horizontal="center" vertical="center" wrapText="1"/>
      <protection/>
    </xf>
    <xf numFmtId="1" fontId="23" fillId="8" borderId="50" xfId="0" applyNumberFormat="1" applyFont="1" applyFill="1" applyBorder="1" applyAlignment="1">
      <alignment horizontal="center" vertical="center"/>
    </xf>
    <xf numFmtId="0" fontId="23" fillId="0" borderId="11" xfId="0" applyFont="1" applyBorder="1" applyAlignment="1">
      <alignment horizontal="center" vertical="center"/>
    </xf>
    <xf numFmtId="191" fontId="23" fillId="0" borderId="14" xfId="77" applyFont="1" applyFill="1" applyBorder="1" applyAlignment="1" applyProtection="1">
      <alignment horizontal="center" vertical="center"/>
      <protection/>
    </xf>
    <xf numFmtId="0" fontId="23" fillId="0" borderId="16" xfId="0" applyFont="1" applyBorder="1" applyAlignment="1">
      <alignment horizontal="center" vertical="center"/>
    </xf>
    <xf numFmtId="10" fontId="23" fillId="0" borderId="15" xfId="68" applyNumberFormat="1" applyFont="1" applyFill="1" applyBorder="1" applyAlignment="1" applyProtection="1">
      <alignment horizontal="center" vertical="center"/>
      <protection/>
    </xf>
    <xf numFmtId="191" fontId="23" fillId="0" borderId="17" xfId="77" applyFont="1" applyFill="1" applyBorder="1" applyAlignment="1" applyProtection="1">
      <alignment horizontal="center" vertical="center"/>
      <protection/>
    </xf>
    <xf numFmtId="10" fontId="23" fillId="0" borderId="51" xfId="67" applyNumberFormat="1" applyFont="1" applyFill="1" applyBorder="1" applyAlignment="1" applyProtection="1">
      <alignment horizontal="center" vertical="center"/>
      <protection/>
    </xf>
    <xf numFmtId="0" fontId="45" fillId="0" borderId="11" xfId="0" applyFont="1" applyFill="1" applyBorder="1" applyAlignment="1" quotePrefix="1">
      <alignment horizontal="left" vertical="center" wrapText="1"/>
    </xf>
    <xf numFmtId="0" fontId="45" fillId="0" borderId="11" xfId="0" applyFont="1" applyFill="1" applyBorder="1" applyAlignment="1">
      <alignment horizontal="left" vertical="center" wrapText="1"/>
    </xf>
    <xf numFmtId="0" fontId="43" fillId="40" borderId="0" xfId="0" applyFont="1" applyFill="1" applyBorder="1" applyAlignment="1">
      <alignment horizontal="center" vertical="center" wrapText="1"/>
    </xf>
    <xf numFmtId="2" fontId="43" fillId="0" borderId="0" xfId="0" applyNumberFormat="1" applyFont="1" applyAlignment="1">
      <alignment vertical="center"/>
    </xf>
    <xf numFmtId="0" fontId="45" fillId="0" borderId="12" xfId="0" applyFont="1" applyFill="1" applyBorder="1" applyAlignment="1">
      <alignment horizontal="left" vertical="center" wrapText="1"/>
    </xf>
    <xf numFmtId="0" fontId="24" fillId="40" borderId="0" xfId="0" applyFont="1" applyFill="1" applyBorder="1" applyAlignment="1">
      <alignment horizontal="center" vertical="center" wrapText="1"/>
    </xf>
    <xf numFmtId="2" fontId="24" fillId="0" borderId="0" xfId="0" applyNumberFormat="1" applyFont="1" applyAlignment="1">
      <alignment vertical="center"/>
    </xf>
    <xf numFmtId="0" fontId="47" fillId="35" borderId="12"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45" fillId="37" borderId="12" xfId="0" applyFont="1" applyFill="1" applyBorder="1" applyAlignment="1">
      <alignment horizontal="left" vertical="center" wrapText="1"/>
    </xf>
    <xf numFmtId="0" fontId="24" fillId="37"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47" fillId="35" borderId="11" xfId="0" applyFont="1" applyFill="1" applyBorder="1" applyAlignment="1">
      <alignment horizontal="center" vertical="center"/>
    </xf>
    <xf numFmtId="0" fontId="45" fillId="0" borderId="11" xfId="0" applyFont="1" applyFill="1" applyBorder="1" applyAlignment="1">
      <alignment horizontal="left" vertical="center"/>
    </xf>
    <xf numFmtId="191" fontId="23" fillId="0" borderId="14" xfId="77" applyFont="1" applyFill="1" applyBorder="1" applyAlignment="1" applyProtection="1">
      <alignment horizontal="center" vertical="center"/>
      <protection/>
    </xf>
    <xf numFmtId="191" fontId="23" fillId="0" borderId="17" xfId="77" applyFont="1" applyFill="1" applyBorder="1" applyAlignment="1" applyProtection="1">
      <alignment horizontal="center" vertical="center"/>
      <protection/>
    </xf>
    <xf numFmtId="0" fontId="23" fillId="0" borderId="33" xfId="0" applyFont="1" applyFill="1" applyBorder="1" applyAlignment="1">
      <alignment horizontal="left" vertical="center"/>
    </xf>
    <xf numFmtId="0" fontId="23" fillId="0" borderId="33" xfId="0" applyFont="1" applyFill="1" applyBorder="1" applyAlignment="1">
      <alignment horizontal="left" vertical="center" wrapText="1"/>
    </xf>
    <xf numFmtId="0" fontId="23" fillId="0" borderId="52" xfId="0" applyFont="1" applyFill="1" applyBorder="1" applyAlignment="1">
      <alignment horizontal="left" vertical="center"/>
    </xf>
    <xf numFmtId="0" fontId="22" fillId="0" borderId="33" xfId="0" applyFont="1" applyFill="1" applyBorder="1" applyAlignment="1">
      <alignment horizontal="left" vertical="center" wrapText="1"/>
    </xf>
    <xf numFmtId="0" fontId="22" fillId="0" borderId="11" xfId="0" applyFont="1" applyBorder="1" applyAlignment="1">
      <alignment horizontal="left" vertical="center"/>
    </xf>
    <xf numFmtId="2" fontId="22" fillId="0" borderId="11" xfId="0" applyNumberFormat="1" applyFont="1" applyBorder="1" applyAlignment="1">
      <alignment horizontal="center" vertical="center"/>
    </xf>
    <xf numFmtId="0" fontId="24" fillId="38" borderId="11" xfId="0" applyFont="1" applyFill="1" applyBorder="1" applyAlignment="1">
      <alignment horizontal="center" vertical="center"/>
    </xf>
    <xf numFmtId="49" fontId="24" fillId="0" borderId="11" xfId="0" applyNumberFormat="1" applyFont="1" applyFill="1" applyBorder="1" applyAlignment="1">
      <alignment horizontal="center" vertical="center" wrapText="1"/>
    </xf>
    <xf numFmtId="0" fontId="24" fillId="37" borderId="1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Continuous" vertical="center"/>
    </xf>
    <xf numFmtId="2" fontId="22" fillId="0" borderId="37" xfId="0" applyNumberFormat="1" applyFont="1" applyFill="1" applyBorder="1" applyAlignment="1">
      <alignment horizontal="right" vertical="center"/>
    </xf>
    <xf numFmtId="4" fontId="22" fillId="0" borderId="37" xfId="0" applyNumberFormat="1" applyFont="1" applyFill="1" applyBorder="1" applyAlignment="1">
      <alignment horizontal="right" vertical="center"/>
    </xf>
    <xf numFmtId="0" fontId="22" fillId="0" borderId="35" xfId="0" applyFont="1" applyFill="1" applyBorder="1" applyAlignment="1">
      <alignment vertical="top" wrapText="1"/>
    </xf>
    <xf numFmtId="192" fontId="22" fillId="41" borderId="10" xfId="77" applyNumberFormat="1" applyFont="1" applyFill="1" applyBorder="1" applyAlignment="1" applyProtection="1">
      <alignment horizontal="right" vertical="center"/>
      <protection/>
    </xf>
    <xf numFmtId="192" fontId="22" fillId="41" borderId="14" xfId="77" applyNumberFormat="1" applyFont="1" applyFill="1" applyBorder="1" applyAlignment="1" applyProtection="1">
      <alignment horizontal="right" vertical="center"/>
      <protection/>
    </xf>
    <xf numFmtId="10" fontId="22" fillId="41" borderId="22" xfId="67" applyNumberFormat="1" applyFont="1" applyFill="1" applyBorder="1" applyAlignment="1" applyProtection="1">
      <alignment horizontal="right" vertical="center"/>
      <protection/>
    </xf>
    <xf numFmtId="192" fontId="22" fillId="41" borderId="22" xfId="77" applyNumberFormat="1" applyFont="1" applyFill="1" applyBorder="1" applyAlignment="1" applyProtection="1">
      <alignment horizontal="right" vertical="center"/>
      <protection/>
    </xf>
    <xf numFmtId="10" fontId="22" fillId="42" borderId="22" xfId="67" applyNumberFormat="1" applyFont="1" applyFill="1" applyBorder="1" applyAlignment="1" applyProtection="1">
      <alignment horizontal="right"/>
      <protection/>
    </xf>
    <xf numFmtId="192" fontId="22" fillId="42" borderId="14" xfId="77" applyNumberFormat="1" applyFont="1" applyFill="1" applyBorder="1" applyAlignment="1" applyProtection="1">
      <alignment horizontal="right"/>
      <protection/>
    </xf>
    <xf numFmtId="0" fontId="43" fillId="40" borderId="0" xfId="0" applyFont="1" applyFill="1" applyBorder="1" applyAlignment="1">
      <alignment horizontal="center" vertical="center" wrapText="1"/>
    </xf>
    <xf numFmtId="2" fontId="43" fillId="0" borderId="0" xfId="0" applyNumberFormat="1" applyFont="1" applyAlignment="1">
      <alignment vertical="center"/>
    </xf>
    <xf numFmtId="167" fontId="23" fillId="8" borderId="48" xfId="60" applyNumberFormat="1" applyFont="1" applyFill="1" applyBorder="1" applyAlignment="1">
      <alignment horizontal="center" vertical="center" wrapText="1"/>
      <protection/>
    </xf>
    <xf numFmtId="167" fontId="93" fillId="0" borderId="12" xfId="60" applyNumberFormat="1" applyFont="1" applyFill="1" applyBorder="1" applyAlignment="1">
      <alignment horizontal="center" vertical="center"/>
      <protection/>
    </xf>
    <xf numFmtId="0" fontId="22" fillId="0" borderId="11" xfId="0" applyFont="1" applyBorder="1" applyAlignment="1">
      <alignment horizontal="center"/>
    </xf>
    <xf numFmtId="0" fontId="22" fillId="0" borderId="11" xfId="0" applyFont="1" applyBorder="1" applyAlignment="1">
      <alignment horizontal="center" vertical="center"/>
    </xf>
    <xf numFmtId="1" fontId="22" fillId="0" borderId="11" xfId="0" applyNumberFormat="1" applyFont="1" applyBorder="1" applyAlignment="1">
      <alignment horizontal="center" vertical="center"/>
    </xf>
    <xf numFmtId="0" fontId="95" fillId="0" borderId="11" xfId="0" applyFont="1" applyBorder="1" applyAlignment="1">
      <alignment horizontal="center" vertical="center"/>
    </xf>
    <xf numFmtId="167" fontId="22" fillId="8" borderId="10" xfId="60" applyNumberFormat="1" applyFont="1" applyFill="1" applyBorder="1" applyAlignment="1" quotePrefix="1">
      <alignment horizontal="center" vertical="center"/>
      <protection/>
    </xf>
    <xf numFmtId="167" fontId="23" fillId="8" borderId="14" xfId="61" applyNumberFormat="1" applyFont="1" applyFill="1" applyBorder="1" applyAlignment="1">
      <alignment horizontal="center" vertical="center"/>
      <protection/>
    </xf>
    <xf numFmtId="167" fontId="22" fillId="0" borderId="45" xfId="60" applyNumberFormat="1" applyFont="1" applyFill="1" applyBorder="1" applyAlignment="1" quotePrefix="1">
      <alignment horizontal="center" vertical="center"/>
      <protection/>
    </xf>
    <xf numFmtId="167" fontId="23" fillId="0" borderId="46" xfId="61" applyNumberFormat="1" applyFont="1" applyFill="1" applyBorder="1" applyAlignment="1">
      <alignment horizontal="center" vertical="center"/>
      <protection/>
    </xf>
    <xf numFmtId="0" fontId="93" fillId="0" borderId="45" xfId="0" applyFont="1" applyBorder="1" applyAlignment="1">
      <alignment/>
    </xf>
    <xf numFmtId="0" fontId="93" fillId="0" borderId="46" xfId="0" applyFont="1" applyBorder="1" applyAlignment="1">
      <alignment/>
    </xf>
    <xf numFmtId="0" fontId="95" fillId="0" borderId="14" xfId="0" applyFont="1" applyBorder="1" applyAlignment="1">
      <alignment horizontal="center" vertical="top"/>
    </xf>
    <xf numFmtId="0" fontId="95" fillId="0" borderId="14" xfId="0" applyFont="1" applyBorder="1" applyAlignment="1">
      <alignment horizontal="center" vertical="center"/>
    </xf>
    <xf numFmtId="1"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95" fillId="0" borderId="16" xfId="0" applyFont="1" applyBorder="1" applyAlignment="1">
      <alignment horizontal="center" vertical="center"/>
    </xf>
    <xf numFmtId="0" fontId="95" fillId="0" borderId="17" xfId="0" applyFont="1" applyBorder="1" applyAlignment="1">
      <alignment horizontal="center" vertical="center"/>
    </xf>
    <xf numFmtId="10" fontId="47" fillId="35" borderId="11" xfId="66" applyNumberFormat="1" applyFont="1" applyFill="1" applyBorder="1" applyAlignment="1">
      <alignment horizontal="center" vertical="center" wrapText="1"/>
    </xf>
    <xf numFmtId="0" fontId="48" fillId="37" borderId="45" xfId="0" applyFont="1" applyFill="1" applyBorder="1" applyAlignment="1" applyProtection="1">
      <alignment vertical="center"/>
      <protection locked="0"/>
    </xf>
    <xf numFmtId="0" fontId="48" fillId="37" borderId="46" xfId="0" applyFont="1" applyFill="1" applyBorder="1" applyAlignment="1" applyProtection="1">
      <alignment vertical="center"/>
      <protection locked="0"/>
    </xf>
    <xf numFmtId="194" fontId="49" fillId="37" borderId="53" xfId="64" applyNumberFormat="1" applyFont="1" applyFill="1" applyBorder="1" applyAlignment="1" applyProtection="1">
      <alignment horizontal="center" vertical="center"/>
      <protection locked="0"/>
    </xf>
    <xf numFmtId="0" fontId="22" fillId="0" borderId="0" xfId="57" applyFont="1">
      <alignment/>
      <protection/>
    </xf>
    <xf numFmtId="0" fontId="45" fillId="38" borderId="11" xfId="0" applyFont="1" applyFill="1" applyBorder="1" applyAlignment="1">
      <alignment horizontal="center" vertical="center" wrapText="1"/>
    </xf>
    <xf numFmtId="188" fontId="22" fillId="0" borderId="25" xfId="0" applyNumberFormat="1" applyFont="1" applyFill="1" applyBorder="1" applyAlignment="1">
      <alignment horizontal="right" vertical="center"/>
    </xf>
    <xf numFmtId="0" fontId="22" fillId="0" borderId="35" xfId="0" applyFont="1" applyFill="1" applyBorder="1" applyAlignment="1">
      <alignment vertical="center" wrapText="1"/>
    </xf>
    <xf numFmtId="168" fontId="22" fillId="0" borderId="37" xfId="0" applyNumberFormat="1" applyFont="1" applyFill="1" applyBorder="1" applyAlignment="1">
      <alignment horizontal="right" vertical="center"/>
    </xf>
    <xf numFmtId="0" fontId="96" fillId="0" borderId="0" xfId="0" applyFont="1" applyAlignment="1">
      <alignment vertical="center"/>
    </xf>
    <xf numFmtId="0" fontId="96" fillId="0" borderId="0" xfId="0" applyFont="1" applyAlignment="1">
      <alignment horizontal="center" vertical="center"/>
    </xf>
    <xf numFmtId="0" fontId="96" fillId="0" borderId="0" xfId="0" applyFont="1" applyAlignment="1">
      <alignment/>
    </xf>
    <xf numFmtId="0" fontId="97" fillId="43" borderId="11" xfId="0" applyFont="1" applyFill="1" applyBorder="1" applyAlignment="1">
      <alignment horizontal="center" vertical="center"/>
    </xf>
    <xf numFmtId="0" fontId="97" fillId="43" borderId="14" xfId="0" applyFont="1" applyFill="1" applyBorder="1" applyAlignment="1">
      <alignment horizontal="center" vertical="center"/>
    </xf>
    <xf numFmtId="0" fontId="96" fillId="0" borderId="0" xfId="0" applyFont="1" applyBorder="1" applyAlignment="1">
      <alignment vertical="center"/>
    </xf>
    <xf numFmtId="0" fontId="96" fillId="0" borderId="46" xfId="0" applyFont="1" applyBorder="1" applyAlignment="1">
      <alignment vertical="center"/>
    </xf>
    <xf numFmtId="0" fontId="96" fillId="0" borderId="10" xfId="0" applyFont="1" applyBorder="1" applyAlignment="1">
      <alignment horizontal="center" vertical="center"/>
    </xf>
    <xf numFmtId="0" fontId="96" fillId="0" borderId="11" xfId="0" applyFont="1" applyBorder="1" applyAlignment="1">
      <alignment vertical="center"/>
    </xf>
    <xf numFmtId="43" fontId="96" fillId="0" borderId="11" xfId="87" applyFont="1" applyBorder="1" applyAlignment="1">
      <alignment vertical="center"/>
    </xf>
    <xf numFmtId="43" fontId="96" fillId="0" borderId="14" xfId="87" applyFont="1" applyBorder="1" applyAlignment="1">
      <alignment vertical="center"/>
    </xf>
    <xf numFmtId="0" fontId="97" fillId="0" borderId="10" xfId="0" applyFont="1" applyBorder="1" applyAlignment="1">
      <alignment horizontal="center" vertical="center"/>
    </xf>
    <xf numFmtId="0" fontId="97" fillId="0" borderId="11" xfId="0" applyFont="1" applyBorder="1" applyAlignment="1">
      <alignment vertical="center"/>
    </xf>
    <xf numFmtId="167" fontId="97" fillId="0" borderId="11" xfId="0" applyNumberFormat="1" applyFont="1" applyBorder="1" applyAlignment="1">
      <alignment vertical="center"/>
    </xf>
    <xf numFmtId="167" fontId="97" fillId="0" borderId="14" xfId="0" applyNumberFormat="1" applyFont="1" applyBorder="1" applyAlignment="1">
      <alignment vertical="center"/>
    </xf>
    <xf numFmtId="0" fontId="96" fillId="0" borderId="11" xfId="0" applyFont="1" applyBorder="1" applyAlignment="1">
      <alignment vertical="center" wrapText="1"/>
    </xf>
    <xf numFmtId="167" fontId="96" fillId="0" borderId="11" xfId="0" applyNumberFormat="1" applyFont="1" applyBorder="1" applyAlignment="1">
      <alignment vertical="center"/>
    </xf>
    <xf numFmtId="167" fontId="96" fillId="0" borderId="14" xfId="0" applyNumberFormat="1" applyFont="1" applyBorder="1" applyAlignment="1">
      <alignment vertical="center"/>
    </xf>
    <xf numFmtId="0" fontId="97" fillId="0" borderId="15" xfId="0" applyFont="1" applyBorder="1" applyAlignment="1">
      <alignment horizontal="center" vertical="center"/>
    </xf>
    <xf numFmtId="0" fontId="97" fillId="0" borderId="16" xfId="0" applyFont="1" applyBorder="1" applyAlignment="1">
      <alignment vertical="center"/>
    </xf>
    <xf numFmtId="167" fontId="97" fillId="0" borderId="16" xfId="0" applyNumberFormat="1" applyFont="1" applyBorder="1" applyAlignment="1">
      <alignment vertical="center"/>
    </xf>
    <xf numFmtId="167" fontId="97" fillId="0" borderId="17" xfId="0" applyNumberFormat="1" applyFont="1" applyBorder="1" applyAlignment="1">
      <alignment vertical="center"/>
    </xf>
    <xf numFmtId="0" fontId="96" fillId="0" borderId="14" xfId="0" applyFont="1" applyBorder="1" applyAlignment="1">
      <alignment vertical="center"/>
    </xf>
    <xf numFmtId="167" fontId="97" fillId="35" borderId="16" xfId="0" applyNumberFormat="1" applyFont="1" applyFill="1" applyBorder="1" applyAlignment="1">
      <alignment vertical="center"/>
    </xf>
    <xf numFmtId="167" fontId="97" fillId="35" borderId="17" xfId="0" applyNumberFormat="1" applyFont="1" applyFill="1" applyBorder="1" applyAlignment="1">
      <alignment vertical="center"/>
    </xf>
    <xf numFmtId="167" fontId="23" fillId="8" borderId="48" xfId="60" applyNumberFormat="1" applyFont="1" applyFill="1" applyBorder="1" applyAlignment="1">
      <alignment horizontal="center" vertical="center" wrapText="1"/>
      <protection/>
    </xf>
    <xf numFmtId="0" fontId="48" fillId="0" borderId="0" xfId="0" applyFont="1" applyAlignment="1" applyProtection="1">
      <alignment horizontal="center" vertical="center"/>
      <protection locked="0"/>
    </xf>
    <xf numFmtId="0" fontId="48" fillId="37" borderId="0" xfId="0" applyFont="1" applyFill="1" applyAlignment="1" applyProtection="1">
      <alignment vertical="center"/>
      <protection locked="0"/>
    </xf>
    <xf numFmtId="0" fontId="48" fillId="0" borderId="0" xfId="0" applyFont="1" applyAlignment="1" applyProtection="1">
      <alignment vertical="center"/>
      <protection locked="0"/>
    </xf>
    <xf numFmtId="2" fontId="49" fillId="0" borderId="0" xfId="64" applyNumberFormat="1" applyFont="1" applyAlignment="1" applyProtection="1">
      <alignment horizontal="left" vertical="center" wrapText="1"/>
      <protection locked="0"/>
    </xf>
    <xf numFmtId="0" fontId="76" fillId="0" borderId="0" xfId="0" applyFont="1" applyAlignment="1">
      <alignment/>
    </xf>
    <xf numFmtId="2" fontId="49" fillId="0" borderId="0" xfId="64" applyNumberFormat="1" applyFont="1" applyAlignment="1" applyProtection="1">
      <alignment horizontal="left" vertical="center"/>
      <protection locked="0"/>
    </xf>
    <xf numFmtId="171" fontId="49" fillId="0" borderId="0" xfId="0" applyNumberFormat="1" applyFont="1" applyAlignment="1" applyProtection="1">
      <alignment horizontal="center" vertical="center"/>
      <protection locked="0"/>
    </xf>
    <xf numFmtId="0" fontId="22" fillId="0" borderId="0" xfId="57" applyFont="1" applyAlignment="1">
      <alignment vertical="center"/>
      <protection/>
    </xf>
    <xf numFmtId="0" fontId="14" fillId="0" borderId="54" xfId="0" applyFont="1" applyBorder="1" applyAlignment="1">
      <alignment vertical="center" wrapText="1"/>
    </xf>
    <xf numFmtId="0" fontId="14" fillId="0" borderId="55" xfId="0" applyFont="1" applyBorder="1" applyAlignment="1">
      <alignment vertical="center" wrapText="1"/>
    </xf>
    <xf numFmtId="0" fontId="14" fillId="0" borderId="56" xfId="0" applyFont="1" applyBorder="1" applyAlignment="1">
      <alignment vertical="center" wrapText="1"/>
    </xf>
    <xf numFmtId="0" fontId="50" fillId="44" borderId="57" xfId="0" applyFont="1" applyFill="1" applyBorder="1" applyAlignment="1">
      <alignment horizontal="center" vertical="center" wrapText="1"/>
    </xf>
    <xf numFmtId="0" fontId="15" fillId="0" borderId="58" xfId="0" applyFont="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0" borderId="61" xfId="0" applyFont="1" applyBorder="1" applyAlignment="1">
      <alignment vertical="center"/>
    </xf>
    <xf numFmtId="2" fontId="14" fillId="0" borderId="62" xfId="0" applyNumberFormat="1" applyFont="1" applyBorder="1" applyAlignment="1">
      <alignment horizontal="center" vertical="center"/>
    </xf>
    <xf numFmtId="0" fontId="14" fillId="0" borderId="10" xfId="0" applyFont="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2" fontId="14" fillId="0" borderId="14" xfId="0" applyNumberFormat="1" applyFont="1" applyBorder="1" applyAlignment="1">
      <alignment horizontal="center" vertical="center"/>
    </xf>
    <xf numFmtId="0" fontId="15" fillId="45" borderId="63" xfId="0" applyFont="1" applyFill="1" applyBorder="1" applyAlignment="1">
      <alignment vertical="center"/>
    </xf>
    <xf numFmtId="0" fontId="15" fillId="45" borderId="64" xfId="0" applyFont="1" applyFill="1" applyBorder="1" applyAlignment="1">
      <alignment vertical="center"/>
    </xf>
    <xf numFmtId="0" fontId="15" fillId="45" borderId="51" xfId="0" applyFont="1" applyFill="1" applyBorder="1" applyAlignment="1">
      <alignment vertical="center"/>
    </xf>
    <xf numFmtId="2" fontId="15" fillId="45" borderId="17" xfId="0" applyNumberFormat="1" applyFont="1" applyFill="1" applyBorder="1" applyAlignment="1">
      <alignment horizontal="center" vertical="center"/>
    </xf>
    <xf numFmtId="0" fontId="15" fillId="0" borderId="65" xfId="0" applyFont="1" applyBorder="1" applyAlignment="1">
      <alignment vertical="center"/>
    </xf>
    <xf numFmtId="0" fontId="15" fillId="0" borderId="10"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22" xfId="0" applyFont="1" applyBorder="1" applyAlignment="1">
      <alignment vertical="center"/>
    </xf>
    <xf numFmtId="0" fontId="15" fillId="45" borderId="21" xfId="0" applyFont="1" applyFill="1" applyBorder="1" applyAlignment="1">
      <alignment vertical="center"/>
    </xf>
    <xf numFmtId="0" fontId="15" fillId="45" borderId="13" xfId="0" applyFont="1" applyFill="1" applyBorder="1" applyAlignment="1">
      <alignment vertical="center"/>
    </xf>
    <xf numFmtId="0" fontId="15" fillId="45" borderId="22" xfId="0" applyFont="1" applyFill="1" applyBorder="1" applyAlignment="1">
      <alignment vertical="center"/>
    </xf>
    <xf numFmtId="2" fontId="15" fillId="45" borderId="14" xfId="0" applyNumberFormat="1" applyFont="1" applyFill="1" applyBorder="1" applyAlignment="1">
      <alignment horizontal="center" vertical="center"/>
    </xf>
    <xf numFmtId="0" fontId="14" fillId="0" borderId="21" xfId="0" applyFont="1" applyBorder="1" applyAlignment="1">
      <alignment vertical="center"/>
    </xf>
    <xf numFmtId="0" fontId="14" fillId="0" borderId="14" xfId="0" applyFont="1" applyBorder="1" applyAlignment="1">
      <alignment horizontal="center" vertical="center" wrapText="1"/>
    </xf>
    <xf numFmtId="0" fontId="15" fillId="45" borderId="10" xfId="0" applyFont="1" applyFill="1" applyBorder="1" applyAlignment="1">
      <alignment horizontal="center" vertical="center"/>
    </xf>
    <xf numFmtId="0" fontId="15" fillId="45" borderId="12" xfId="0" applyFont="1" applyFill="1" applyBorder="1" applyAlignment="1">
      <alignment vertical="center"/>
    </xf>
    <xf numFmtId="2" fontId="15" fillId="45" borderId="10" xfId="0" applyNumberFormat="1" applyFont="1" applyFill="1" applyBorder="1" applyAlignment="1">
      <alignment horizontal="center" vertical="center"/>
    </xf>
    <xf numFmtId="0" fontId="45" fillId="0" borderId="66" xfId="0" applyFont="1" applyBorder="1" applyAlignment="1">
      <alignment vertical="center"/>
    </xf>
    <xf numFmtId="0" fontId="45" fillId="0" borderId="67" xfId="0" applyFont="1" applyBorder="1" applyAlignment="1">
      <alignment vertical="center"/>
    </xf>
    <xf numFmtId="0" fontId="45" fillId="0" borderId="68" xfId="0" applyFont="1" applyBorder="1" applyAlignment="1">
      <alignment vertical="center"/>
    </xf>
    <xf numFmtId="0" fontId="45" fillId="0" borderId="45" xfId="0" applyFont="1" applyBorder="1" applyAlignment="1">
      <alignment vertical="center"/>
    </xf>
    <xf numFmtId="2" fontId="51" fillId="0" borderId="46" xfId="0" applyNumberFormat="1" applyFont="1" applyBorder="1" applyAlignment="1">
      <alignment vertical="center"/>
    </xf>
    <xf numFmtId="0" fontId="24" fillId="0" borderId="54" xfId="0" applyFont="1" applyBorder="1" applyAlignment="1">
      <alignment vertical="center"/>
    </xf>
    <xf numFmtId="0" fontId="24" fillId="0" borderId="55" xfId="0" applyFont="1" applyBorder="1" applyAlignment="1">
      <alignment vertical="center"/>
    </xf>
    <xf numFmtId="0" fontId="24" fillId="0" borderId="69" xfId="0" applyFont="1" applyBorder="1" applyAlignment="1">
      <alignment vertical="center"/>
    </xf>
    <xf numFmtId="2" fontId="15" fillId="0" borderId="62" xfId="0" applyNumberFormat="1" applyFont="1" applyBorder="1" applyAlignment="1">
      <alignment horizontal="center" vertical="center"/>
    </xf>
    <xf numFmtId="2" fontId="45" fillId="0" borderId="14" xfId="0" applyNumberFormat="1"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vertical="center"/>
    </xf>
    <xf numFmtId="0" fontId="14" fillId="0" borderId="64" xfId="0" applyFont="1" applyBorder="1" applyAlignment="1">
      <alignment vertical="center"/>
    </xf>
    <xf numFmtId="0" fontId="14" fillId="0" borderId="51" xfId="0" applyFont="1" applyBorder="1" applyAlignment="1">
      <alignment vertical="center"/>
    </xf>
    <xf numFmtId="2" fontId="45" fillId="0" borderId="72" xfId="0" applyNumberFormat="1" applyFont="1" applyBorder="1" applyAlignment="1">
      <alignment horizontal="center" vertical="center"/>
    </xf>
    <xf numFmtId="0" fontId="24" fillId="0" borderId="73" xfId="0" applyFont="1" applyBorder="1" applyAlignment="1">
      <alignment vertical="center"/>
    </xf>
    <xf numFmtId="0" fontId="24" fillId="0" borderId="74" xfId="0" applyFont="1" applyBorder="1" applyAlignment="1">
      <alignment vertical="center"/>
    </xf>
    <xf numFmtId="0" fontId="24" fillId="0" borderId="75" xfId="0" applyFont="1" applyBorder="1" applyAlignment="1">
      <alignment vertical="center"/>
    </xf>
    <xf numFmtId="0" fontId="14" fillId="0" borderId="15" xfId="0" applyFont="1" applyBorder="1" applyAlignment="1">
      <alignment horizontal="center" vertical="center"/>
    </xf>
    <xf numFmtId="2" fontId="14" fillId="0" borderId="17" xfId="0" applyNumberFormat="1" applyFont="1" applyBorder="1" applyAlignment="1">
      <alignment horizontal="center" vertical="center"/>
    </xf>
    <xf numFmtId="0" fontId="45" fillId="0" borderId="45" xfId="0" applyFont="1" applyBorder="1" applyAlignment="1">
      <alignment/>
    </xf>
    <xf numFmtId="0" fontId="45" fillId="0" borderId="0" xfId="0" applyFont="1" applyAlignment="1">
      <alignment/>
    </xf>
    <xf numFmtId="0" fontId="45" fillId="0" borderId="46" xfId="0" applyFont="1" applyBorder="1" applyAlignment="1">
      <alignment/>
    </xf>
    <xf numFmtId="0" fontId="24" fillId="0" borderId="45" xfId="0" applyFont="1" applyBorder="1" applyAlignment="1">
      <alignment vertical="center" wrapText="1"/>
    </xf>
    <xf numFmtId="0" fontId="24" fillId="0" borderId="0" xfId="0" applyFont="1" applyAlignment="1">
      <alignment vertical="center" wrapText="1"/>
    </xf>
    <xf numFmtId="0" fontId="24" fillId="0" borderId="46" xfId="0" applyFont="1" applyBorder="1" applyAlignment="1">
      <alignment vertical="center" wrapText="1"/>
    </xf>
    <xf numFmtId="10" fontId="45" fillId="0" borderId="0" xfId="68" applyNumberFormat="1" applyFont="1" applyBorder="1" applyAlignment="1">
      <alignment/>
    </xf>
    <xf numFmtId="10" fontId="45" fillId="0" borderId="46" xfId="68" applyNumberFormat="1" applyFont="1" applyBorder="1" applyAlignment="1">
      <alignment/>
    </xf>
    <xf numFmtId="10" fontId="24" fillId="0" borderId="0" xfId="0" applyNumberFormat="1" applyFont="1" applyAlignment="1">
      <alignment/>
    </xf>
    <xf numFmtId="10" fontId="24" fillId="0" borderId="46" xfId="0" applyNumberFormat="1" applyFont="1" applyBorder="1" applyAlignment="1">
      <alignment/>
    </xf>
    <xf numFmtId="0" fontId="24" fillId="8" borderId="21" xfId="0" applyFont="1" applyFill="1" applyBorder="1" applyAlignment="1">
      <alignment horizontal="right" vertical="center"/>
    </xf>
    <xf numFmtId="0" fontId="24" fillId="8" borderId="13" xfId="0" applyFont="1" applyFill="1" applyBorder="1" applyAlignment="1">
      <alignment vertical="center"/>
    </xf>
    <xf numFmtId="10" fontId="24" fillId="8" borderId="22" xfId="0" applyNumberFormat="1" applyFont="1" applyFill="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10" fontId="24" fillId="0" borderId="76" xfId="0" applyNumberFormat="1" applyFont="1" applyBorder="1" applyAlignment="1">
      <alignment vertical="center"/>
    </xf>
    <xf numFmtId="0" fontId="45" fillId="0" borderId="46" xfId="0" applyFont="1" applyBorder="1" applyAlignment="1">
      <alignment horizontal="right" vertical="center"/>
    </xf>
    <xf numFmtId="0" fontId="45" fillId="38" borderId="54" xfId="57" applyFont="1" applyFill="1" applyBorder="1">
      <alignment/>
      <protection/>
    </xf>
    <xf numFmtId="0" fontId="45" fillId="38" borderId="55" xfId="57" applyFont="1" applyFill="1" applyBorder="1">
      <alignment/>
      <protection/>
    </xf>
    <xf numFmtId="167" fontId="22" fillId="0" borderId="58" xfId="60" applyNumberFormat="1" applyFont="1" applyBorder="1" applyAlignment="1">
      <alignment horizontal="center" vertical="center"/>
      <protection/>
    </xf>
    <xf numFmtId="167" fontId="22" fillId="0" borderId="77" xfId="60" applyNumberFormat="1" applyFont="1" applyBorder="1" applyAlignment="1">
      <alignment horizontal="center" vertical="center"/>
      <protection/>
    </xf>
    <xf numFmtId="0" fontId="22" fillId="0" borderId="77" xfId="60" applyFont="1" applyBorder="1" applyAlignment="1">
      <alignment horizontal="center" vertical="center"/>
      <protection/>
    </xf>
    <xf numFmtId="0" fontId="93" fillId="0" borderId="77" xfId="60" applyFont="1" applyBorder="1" applyAlignment="1">
      <alignment horizontal="center" vertical="center"/>
      <protection/>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10" fontId="23" fillId="0" borderId="80" xfId="0" applyNumberFormat="1" applyFont="1" applyFill="1" applyBorder="1" applyAlignment="1">
      <alignment horizontal="center" vertical="center"/>
    </xf>
    <xf numFmtId="4" fontId="22" fillId="0" borderId="81" xfId="0" applyNumberFormat="1" applyFont="1" applyFill="1" applyBorder="1" applyAlignment="1">
      <alignment vertical="center"/>
    </xf>
    <xf numFmtId="0" fontId="95" fillId="39" borderId="82" xfId="0" applyFont="1" applyFill="1" applyBorder="1" applyAlignment="1">
      <alignment vertical="center"/>
    </xf>
    <xf numFmtId="0" fontId="23" fillId="2" borderId="74" xfId="0" applyFont="1" applyFill="1" applyBorder="1" applyAlignment="1">
      <alignment vertical="center"/>
    </xf>
    <xf numFmtId="0" fontId="23" fillId="2" borderId="74" xfId="0" applyFont="1" applyFill="1" applyBorder="1" applyAlignment="1">
      <alignment horizontal="center" vertical="center"/>
    </xf>
    <xf numFmtId="2" fontId="23" fillId="2" borderId="74" xfId="0" applyNumberFormat="1" applyFont="1" applyFill="1" applyBorder="1" applyAlignment="1">
      <alignment vertical="center"/>
    </xf>
    <xf numFmtId="4" fontId="23" fillId="2" borderId="83" xfId="0" applyNumberFormat="1" applyFont="1" applyFill="1" applyBorder="1" applyAlignment="1">
      <alignment vertical="center"/>
    </xf>
    <xf numFmtId="0" fontId="22" fillId="37" borderId="18" xfId="54" applyFont="1" applyFill="1" applyBorder="1" applyAlignment="1">
      <alignment vertical="center"/>
      <protection/>
    </xf>
    <xf numFmtId="0" fontId="22" fillId="37" borderId="53" xfId="54" applyFont="1" applyFill="1" applyBorder="1" applyAlignment="1">
      <alignment vertical="center"/>
      <protection/>
    </xf>
    <xf numFmtId="0" fontId="95" fillId="39" borderId="10" xfId="0" applyFont="1" applyFill="1" applyBorder="1" applyAlignment="1">
      <alignment horizontal="center" vertical="center"/>
    </xf>
    <xf numFmtId="0" fontId="95" fillId="39" borderId="10" xfId="0" applyFont="1" applyFill="1" applyBorder="1" applyAlignment="1">
      <alignment vertical="center"/>
    </xf>
    <xf numFmtId="0" fontId="95" fillId="39" borderId="70" xfId="0" applyFont="1" applyFill="1" applyBorder="1" applyAlignment="1">
      <alignment vertical="center"/>
    </xf>
    <xf numFmtId="190" fontId="22" fillId="0" borderId="25" xfId="0" applyNumberFormat="1" applyFont="1" applyFill="1" applyBorder="1" applyAlignment="1">
      <alignment horizontal="right" vertical="center"/>
    </xf>
    <xf numFmtId="190" fontId="22" fillId="0" borderId="37" xfId="0" applyNumberFormat="1" applyFont="1" applyFill="1" applyBorder="1" applyAlignment="1">
      <alignment horizontal="right" vertical="center"/>
    </xf>
    <xf numFmtId="167" fontId="23" fillId="8" borderId="48" xfId="60" applyNumberFormat="1" applyFont="1" applyFill="1" applyBorder="1" applyAlignment="1">
      <alignment horizontal="center" vertical="center" wrapText="1"/>
      <protection/>
    </xf>
    <xf numFmtId="0" fontId="22" fillId="0" borderId="70" xfId="60" applyNumberFormat="1" applyFont="1" applyFill="1" applyBorder="1" applyAlignment="1">
      <alignment horizontal="center" vertical="center"/>
      <protection/>
    </xf>
    <xf numFmtId="0" fontId="22" fillId="0" borderId="84" xfId="60" applyNumberFormat="1" applyFont="1" applyFill="1" applyBorder="1" applyAlignment="1" quotePrefix="1">
      <alignment horizontal="center" vertical="center"/>
      <protection/>
    </xf>
    <xf numFmtId="0" fontId="22" fillId="0" borderId="84" xfId="60" applyFont="1" applyFill="1" applyBorder="1" applyAlignment="1">
      <alignment horizontal="justify" vertical="center"/>
      <protection/>
    </xf>
    <xf numFmtId="167" fontId="22" fillId="0" borderId="84" xfId="60" applyNumberFormat="1" applyFont="1" applyFill="1" applyBorder="1" applyAlignment="1">
      <alignment horizontal="center" vertical="center"/>
      <protection/>
    </xf>
    <xf numFmtId="168" fontId="22" fillId="0" borderId="84" xfId="60" applyNumberFormat="1" applyFont="1" applyFill="1" applyBorder="1" applyAlignment="1">
      <alignment horizontal="center" vertical="center"/>
      <protection/>
    </xf>
    <xf numFmtId="167" fontId="93" fillId="0" borderId="84" xfId="76" applyNumberFormat="1" applyFont="1" applyFill="1" applyBorder="1" applyAlignment="1">
      <alignment horizontal="center" vertical="center"/>
    </xf>
    <xf numFmtId="167" fontId="93" fillId="0" borderId="72" xfId="76" applyNumberFormat="1" applyFont="1" applyFill="1" applyBorder="1" applyAlignment="1">
      <alignment horizontal="center" vertical="center"/>
    </xf>
    <xf numFmtId="0" fontId="22" fillId="0" borderId="84" xfId="60" applyFont="1" applyFill="1" applyBorder="1" applyAlignment="1">
      <alignment horizontal="justify" vertical="top" wrapText="1"/>
      <protection/>
    </xf>
    <xf numFmtId="0" fontId="22" fillId="0" borderId="70" xfId="60" applyNumberFormat="1" applyFont="1" applyBorder="1" applyAlignment="1">
      <alignment horizontal="center" vertical="center"/>
      <protection/>
    </xf>
    <xf numFmtId="0" fontId="22" fillId="0" borderId="84" xfId="60" applyNumberFormat="1" applyFont="1" applyBorder="1" applyAlignment="1">
      <alignment horizontal="center" vertical="center"/>
      <protection/>
    </xf>
    <xf numFmtId="0" fontId="22" fillId="0" borderId="84" xfId="60" applyFont="1" applyBorder="1" applyAlignment="1">
      <alignment horizontal="justify" vertical="center" wrapText="1"/>
      <protection/>
    </xf>
    <xf numFmtId="167" fontId="22" fillId="0" borderId="84" xfId="60" applyNumberFormat="1" applyFont="1" applyBorder="1" applyAlignment="1">
      <alignment horizontal="center" vertical="center"/>
      <protection/>
    </xf>
    <xf numFmtId="167" fontId="93" fillId="0" borderId="84" xfId="76" applyNumberFormat="1" applyFont="1" applyBorder="1" applyAlignment="1">
      <alignment horizontal="center" vertical="center"/>
    </xf>
    <xf numFmtId="10" fontId="22" fillId="0" borderId="11" xfId="66" applyNumberFormat="1" applyFont="1" applyFill="1" applyBorder="1" applyAlignment="1">
      <alignment vertical="center"/>
    </xf>
    <xf numFmtId="0" fontId="47" fillId="35" borderId="13" xfId="0" applyFont="1" applyFill="1" applyBorder="1" applyAlignment="1">
      <alignment horizontal="center" vertical="center" wrapText="1"/>
    </xf>
    <xf numFmtId="0" fontId="47" fillId="35" borderId="13" xfId="0" applyFont="1" applyFill="1" applyBorder="1" applyAlignment="1">
      <alignment horizontal="center" vertical="center"/>
    </xf>
    <xf numFmtId="0" fontId="47" fillId="35" borderId="11" xfId="0" applyFont="1" applyFill="1" applyBorder="1" applyAlignment="1">
      <alignment horizontal="center" vertical="center" wrapText="1"/>
    </xf>
    <xf numFmtId="0" fontId="45" fillId="0" borderId="11" xfId="0" applyFont="1" applyBorder="1" applyAlignment="1">
      <alignment horizontal="center" vertical="center"/>
    </xf>
    <xf numFmtId="4" fontId="45" fillId="0" borderId="11" xfId="47" applyNumberFormat="1" applyFont="1" applyFill="1" applyBorder="1" applyAlignment="1">
      <alignment horizontal="right" vertical="center" wrapText="1"/>
    </xf>
    <xf numFmtId="0" fontId="45" fillId="0" borderId="0" xfId="0" applyFont="1" applyAlignment="1">
      <alignment horizontal="center" vertical="center"/>
    </xf>
    <xf numFmtId="0" fontId="22" fillId="0" borderId="0" xfId="0" applyFont="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3" fillId="37" borderId="18" xfId="0" applyFont="1" applyFill="1" applyBorder="1" applyAlignment="1">
      <alignment/>
    </xf>
    <xf numFmtId="0" fontId="53" fillId="37" borderId="19" xfId="0" applyFont="1" applyFill="1" applyBorder="1" applyAlignment="1">
      <alignment/>
    </xf>
    <xf numFmtId="0" fontId="53" fillId="37" borderId="19" xfId="0" applyFont="1" applyFill="1" applyBorder="1" applyAlignment="1">
      <alignment horizontal="center"/>
    </xf>
    <xf numFmtId="0" fontId="53" fillId="37" borderId="20" xfId="0" applyFont="1" applyFill="1" applyBorder="1" applyAlignment="1">
      <alignment/>
    </xf>
    <xf numFmtId="0" fontId="53" fillId="0" borderId="0" xfId="0" applyFont="1" applyAlignment="1">
      <alignment/>
    </xf>
    <xf numFmtId="0" fontId="52" fillId="0" borderId="0" xfId="0" applyFont="1" applyAlignment="1">
      <alignment/>
    </xf>
    <xf numFmtId="0" fontId="52" fillId="5" borderId="11" xfId="0" applyFont="1" applyFill="1" applyBorder="1" applyAlignment="1">
      <alignment horizontal="center" vertical="center"/>
    </xf>
    <xf numFmtId="0" fontId="54" fillId="5" borderId="11" xfId="0" applyFont="1" applyFill="1" applyBorder="1" applyAlignment="1">
      <alignment horizontal="center" vertical="center"/>
    </xf>
    <xf numFmtId="0" fontId="54" fillId="5" borderId="14" xfId="0" applyFont="1" applyFill="1" applyBorder="1" applyAlignment="1">
      <alignment horizontal="center" vertical="center"/>
    </xf>
    <xf numFmtId="0" fontId="54" fillId="5" borderId="16" xfId="0" applyFont="1" applyFill="1" applyBorder="1" applyAlignment="1">
      <alignment horizontal="center" vertical="center"/>
    </xf>
    <xf numFmtId="2" fontId="54" fillId="5" borderId="17" xfId="0" applyNumberFormat="1" applyFont="1" applyFill="1" applyBorder="1" applyAlignment="1">
      <alignment horizontal="center" vertical="center"/>
    </xf>
    <xf numFmtId="0" fontId="52" fillId="0" borderId="85" xfId="0" applyFont="1" applyFill="1" applyBorder="1" applyAlignment="1">
      <alignment horizontal="center" vertical="center" wrapText="1"/>
    </xf>
    <xf numFmtId="0" fontId="52" fillId="0" borderId="77" xfId="0" applyFont="1" applyFill="1" applyBorder="1" applyAlignment="1">
      <alignment horizontal="center" vertical="center"/>
    </xf>
    <xf numFmtId="4" fontId="52" fillId="0" borderId="86" xfId="0" applyNumberFormat="1" applyFont="1" applyBorder="1" applyAlignment="1">
      <alignment horizontal="center" vertical="center"/>
    </xf>
    <xf numFmtId="4" fontId="52" fillId="0" borderId="86" xfId="0" applyNumberFormat="1" applyFont="1" applyFill="1" applyBorder="1" applyAlignment="1">
      <alignment horizontal="center" vertical="center"/>
    </xf>
    <xf numFmtId="4" fontId="52" fillId="0" borderId="77" xfId="0" applyNumberFormat="1" applyFont="1" applyFill="1" applyBorder="1" applyAlignment="1">
      <alignment horizontal="center" vertical="center"/>
    </xf>
    <xf numFmtId="4" fontId="52" fillId="0" borderId="77" xfId="0" applyNumberFormat="1" applyFont="1" applyBorder="1" applyAlignment="1">
      <alignment horizontal="center" vertical="center"/>
    </xf>
    <xf numFmtId="4" fontId="52" fillId="0" borderId="11" xfId="0" applyNumberFormat="1" applyFont="1" applyBorder="1" applyAlignment="1">
      <alignment horizontal="center" vertical="center"/>
    </xf>
    <xf numFmtId="171" fontId="52" fillId="0" borderId="11" xfId="0" applyNumberFormat="1" applyFont="1" applyBorder="1" applyAlignment="1">
      <alignment horizontal="center" vertical="center"/>
    </xf>
    <xf numFmtId="4" fontId="52" fillId="0" borderId="11" xfId="0" applyNumberFormat="1" applyFont="1" applyFill="1" applyBorder="1" applyAlignment="1">
      <alignment horizontal="center" vertical="center"/>
    </xf>
    <xf numFmtId="167" fontId="54" fillId="0" borderId="87" xfId="0" applyNumberFormat="1" applyFont="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0" fontId="54" fillId="0" borderId="0" xfId="0" applyNumberFormat="1" applyFont="1" applyFill="1" applyBorder="1" applyAlignment="1">
      <alignment horizontal="center" vertical="center"/>
    </xf>
    <xf numFmtId="0" fontId="52" fillId="0" borderId="0" xfId="0" applyFont="1" applyFill="1" applyAlignment="1">
      <alignment/>
    </xf>
    <xf numFmtId="0" fontId="52" fillId="0" borderId="0" xfId="0" applyFont="1" applyAlignment="1">
      <alignment horizontal="center"/>
    </xf>
    <xf numFmtId="0" fontId="22" fillId="0" borderId="0" xfId="0" applyFont="1" applyAlignment="1">
      <alignment horizontal="center"/>
    </xf>
    <xf numFmtId="0" fontId="52" fillId="0" borderId="0" xfId="0" applyFont="1" applyAlignment="1">
      <alignment horizontal="center" vertical="center"/>
    </xf>
    <xf numFmtId="0" fontId="53" fillId="37" borderId="0" xfId="0" applyFont="1" applyFill="1" applyBorder="1" applyAlignment="1">
      <alignment/>
    </xf>
    <xf numFmtId="0" fontId="54" fillId="37" borderId="0" xfId="0" applyFont="1" applyFill="1" applyBorder="1" applyAlignment="1">
      <alignment horizontal="center"/>
    </xf>
    <xf numFmtId="0" fontId="52" fillId="37" borderId="0" xfId="0" applyFont="1" applyFill="1" applyBorder="1" applyAlignment="1">
      <alignment horizontal="center"/>
    </xf>
    <xf numFmtId="167" fontId="54" fillId="2" borderId="0" xfId="60" applyNumberFormat="1" applyFont="1" applyFill="1" applyBorder="1" applyAlignment="1">
      <alignment horizontal="center" vertical="center" wrapText="1"/>
      <protection/>
    </xf>
    <xf numFmtId="0" fontId="55" fillId="0" borderId="0" xfId="0" applyFont="1" applyBorder="1" applyAlignment="1">
      <alignment horizontal="center" vertical="top"/>
    </xf>
    <xf numFmtId="0" fontId="54" fillId="5" borderId="0" xfId="0" applyFont="1" applyFill="1" applyBorder="1" applyAlignment="1">
      <alignment horizontal="center" vertical="center"/>
    </xf>
    <xf numFmtId="2" fontId="54" fillId="5" borderId="0" xfId="0" applyNumberFormat="1" applyFont="1" applyFill="1" applyBorder="1" applyAlignment="1">
      <alignment horizontal="center" vertical="center"/>
    </xf>
    <xf numFmtId="167" fontId="54" fillId="0" borderId="0" xfId="0" applyNumberFormat="1" applyFont="1" applyBorder="1" applyAlignment="1">
      <alignment horizontal="center" vertical="center"/>
    </xf>
    <xf numFmtId="4" fontId="52" fillId="0" borderId="0" xfId="0" applyNumberFormat="1" applyFont="1" applyBorder="1" applyAlignment="1">
      <alignment horizontal="center" vertical="center"/>
    </xf>
    <xf numFmtId="0" fontId="54" fillId="5" borderId="12" xfId="0" applyFont="1" applyFill="1" applyBorder="1" applyAlignment="1">
      <alignment horizontal="center" vertical="center"/>
    </xf>
    <xf numFmtId="2" fontId="54" fillId="5" borderId="71" xfId="0" applyNumberFormat="1" applyFont="1" applyFill="1" applyBorder="1" applyAlignment="1">
      <alignment horizontal="center" vertical="center"/>
    </xf>
    <xf numFmtId="4" fontId="52" fillId="0" borderId="88" xfId="0" applyNumberFormat="1" applyFont="1" applyBorder="1" applyAlignment="1">
      <alignment horizontal="center" vertical="center"/>
    </xf>
    <xf numFmtId="4" fontId="52" fillId="0" borderId="22" xfId="0" applyNumberFormat="1" applyFont="1" applyBorder="1" applyAlignment="1">
      <alignment horizontal="center" vertical="center"/>
    </xf>
    <xf numFmtId="0" fontId="52" fillId="0" borderId="77" xfId="0" applyFont="1" applyBorder="1" applyAlignment="1">
      <alignment horizontal="center" vertical="center"/>
    </xf>
    <xf numFmtId="0" fontId="52" fillId="0" borderId="0" xfId="0" applyFont="1" applyBorder="1" applyAlignment="1">
      <alignment/>
    </xf>
    <xf numFmtId="0" fontId="52" fillId="0" borderId="89" xfId="0" applyFont="1" applyBorder="1" applyAlignment="1">
      <alignment/>
    </xf>
    <xf numFmtId="0" fontId="56" fillId="0" borderId="0" xfId="0" applyFont="1" applyAlignment="1">
      <alignment horizontal="center" vertical="center"/>
    </xf>
    <xf numFmtId="0" fontId="56" fillId="0" borderId="11" xfId="0" applyFont="1" applyBorder="1" applyAlignment="1">
      <alignment horizontal="center" vertical="center"/>
    </xf>
    <xf numFmtId="171" fontId="56" fillId="0" borderId="11" xfId="0" applyNumberFormat="1" applyFont="1" applyBorder="1" applyAlignment="1">
      <alignment horizontal="center" vertical="center"/>
    </xf>
    <xf numFmtId="0" fontId="56" fillId="0" borderId="0" xfId="0" applyFont="1" applyBorder="1" applyAlignment="1">
      <alignment horizontal="center" vertical="center"/>
    </xf>
    <xf numFmtId="171" fontId="56" fillId="0" borderId="0" xfId="0" applyNumberFormat="1" applyFont="1" applyBorder="1" applyAlignment="1">
      <alignment horizontal="center" vertical="center"/>
    </xf>
    <xf numFmtId="0" fontId="52" fillId="37" borderId="53" xfId="0" applyFont="1" applyFill="1" applyBorder="1" applyAlignment="1">
      <alignment horizontal="center"/>
    </xf>
    <xf numFmtId="0" fontId="52" fillId="37" borderId="90" xfId="0" applyFont="1" applyFill="1" applyBorder="1" applyAlignment="1">
      <alignment horizontal="center"/>
    </xf>
    <xf numFmtId="0" fontId="52" fillId="37" borderId="91" xfId="0" applyFont="1" applyFill="1" applyBorder="1" applyAlignment="1">
      <alignment horizontal="center"/>
    </xf>
    <xf numFmtId="2" fontId="22" fillId="0" borderId="12" xfId="0" applyNumberFormat="1" applyFont="1" applyBorder="1" applyAlignment="1">
      <alignment horizontal="center" vertical="center"/>
    </xf>
    <xf numFmtId="171" fontId="22" fillId="0" borderId="12" xfId="0" applyNumberFormat="1" applyFont="1" applyBorder="1" applyAlignment="1">
      <alignment horizontal="center" vertical="center"/>
    </xf>
    <xf numFmtId="171" fontId="22" fillId="0" borderId="14" xfId="0" applyNumberFormat="1" applyFont="1" applyBorder="1" applyAlignment="1">
      <alignment horizontal="center" vertical="center"/>
    </xf>
    <xf numFmtId="0" fontId="52" fillId="0" borderId="45" xfId="0" applyFont="1" applyFill="1" applyBorder="1" applyAlignment="1">
      <alignment horizontal="center" vertical="center" wrapText="1"/>
    </xf>
    <xf numFmtId="4" fontId="52" fillId="0" borderId="92" xfId="0" applyNumberFormat="1" applyFont="1" applyBorder="1" applyAlignment="1">
      <alignment horizontal="center" vertical="center"/>
    </xf>
    <xf numFmtId="4" fontId="52" fillId="0" borderId="62" xfId="0" applyNumberFormat="1" applyFont="1" applyBorder="1" applyAlignment="1">
      <alignment horizontal="center" vertical="center"/>
    </xf>
    <xf numFmtId="0" fontId="49" fillId="0" borderId="0" xfId="0" applyFont="1" applyAlignment="1">
      <alignment vertical="center"/>
    </xf>
    <xf numFmtId="0" fontId="22" fillId="0" borderId="84" xfId="0" applyFont="1" applyBorder="1" applyAlignment="1">
      <alignment horizontal="left" vertical="center"/>
    </xf>
    <xf numFmtId="2" fontId="22" fillId="0" borderId="84" xfId="0" applyNumberFormat="1" applyFont="1" applyBorder="1" applyAlignment="1">
      <alignment horizontal="center" vertical="center"/>
    </xf>
    <xf numFmtId="2" fontId="22" fillId="0" borderId="93" xfId="0" applyNumberFormat="1" applyFont="1" applyBorder="1" applyAlignment="1">
      <alignment horizontal="center" vertical="center"/>
    </xf>
    <xf numFmtId="171" fontId="22" fillId="0" borderId="93" xfId="0" applyNumberFormat="1" applyFont="1" applyBorder="1" applyAlignment="1">
      <alignment horizontal="center" vertical="center"/>
    </xf>
    <xf numFmtId="171" fontId="22" fillId="0" borderId="72" xfId="0" applyNumberFormat="1" applyFont="1" applyBorder="1" applyAlignment="1">
      <alignment horizontal="center" vertical="center"/>
    </xf>
    <xf numFmtId="171" fontId="57" fillId="11" borderId="87" xfId="0" applyNumberFormat="1" applyFont="1" applyFill="1" applyBorder="1" applyAlignment="1">
      <alignment vertical="center"/>
    </xf>
    <xf numFmtId="0" fontId="52" fillId="0" borderId="0" xfId="0" applyFont="1" applyFill="1" applyBorder="1" applyAlignment="1">
      <alignment/>
    </xf>
    <xf numFmtId="0" fontId="52" fillId="0" borderId="18" xfId="0" applyFont="1" applyFill="1" applyBorder="1" applyAlignment="1">
      <alignment/>
    </xf>
    <xf numFmtId="0" fontId="54" fillId="37" borderId="19" xfId="53" applyFont="1" applyFill="1" applyBorder="1" applyAlignment="1">
      <alignment vertical="center"/>
      <protection/>
    </xf>
    <xf numFmtId="0" fontId="54" fillId="37" borderId="20" xfId="53" applyFont="1" applyFill="1" applyBorder="1" applyAlignment="1">
      <alignment vertical="center"/>
      <protection/>
    </xf>
    <xf numFmtId="0" fontId="52" fillId="0" borderId="54" xfId="0" applyFont="1" applyFill="1" applyBorder="1" applyAlignment="1">
      <alignment/>
    </xf>
    <xf numFmtId="0" fontId="54" fillId="37" borderId="55" xfId="53" applyFont="1" applyFill="1" applyBorder="1" applyAlignment="1">
      <alignment vertical="center"/>
      <protection/>
    </xf>
    <xf numFmtId="0" fontId="54" fillId="37" borderId="69" xfId="53" applyFont="1" applyFill="1" applyBorder="1" applyAlignment="1">
      <alignment vertical="center"/>
      <protection/>
    </xf>
    <xf numFmtId="0" fontId="52" fillId="0" borderId="10" xfId="0" applyFont="1" applyFill="1" applyBorder="1" applyAlignment="1">
      <alignment horizontal="center" vertical="center"/>
    </xf>
    <xf numFmtId="0" fontId="52" fillId="0" borderId="22" xfId="53" applyFont="1" applyFill="1" applyBorder="1" applyAlignment="1">
      <alignment horizontal="left" vertical="center" wrapText="1"/>
      <protection/>
    </xf>
    <xf numFmtId="2" fontId="52" fillId="0" borderId="22" xfId="53" applyNumberFormat="1" applyFont="1" applyFill="1" applyBorder="1" applyAlignment="1">
      <alignment horizontal="center" vertical="center" wrapText="1"/>
      <protection/>
    </xf>
    <xf numFmtId="4" fontId="52" fillId="0" borderId="11" xfId="53" applyNumberFormat="1" applyFont="1" applyFill="1" applyBorder="1" applyAlignment="1">
      <alignment horizontal="center" vertical="center"/>
      <protection/>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4" fontId="52" fillId="0" borderId="92" xfId="53" applyNumberFormat="1" applyFont="1" applyFill="1" applyBorder="1" applyAlignment="1">
      <alignment horizontal="center" vertical="center"/>
      <protection/>
    </xf>
    <xf numFmtId="0" fontId="52" fillId="0" borderId="0" xfId="53" applyFont="1" applyFill="1" applyAlignment="1">
      <alignment horizontal="center" vertical="center"/>
      <protection/>
    </xf>
    <xf numFmtId="4" fontId="52" fillId="0" borderId="77" xfId="53" applyNumberFormat="1" applyFont="1" applyFill="1" applyBorder="1" applyAlignment="1">
      <alignment horizontal="center" vertical="center"/>
      <protection/>
    </xf>
    <xf numFmtId="4" fontId="52" fillId="0" borderId="62" xfId="53" applyNumberFormat="1" applyFont="1" applyFill="1" applyBorder="1" applyAlignment="1">
      <alignment horizontal="center" vertical="center"/>
      <protection/>
    </xf>
    <xf numFmtId="167" fontId="13" fillId="5" borderId="11" xfId="73" applyNumberFormat="1" applyFont="1" applyFill="1" applyBorder="1" applyAlignment="1">
      <alignment horizontal="center" vertical="center" wrapText="1"/>
    </xf>
    <xf numFmtId="167" fontId="13" fillId="5" borderId="14" xfId="73" applyNumberFormat="1" applyFont="1" applyFill="1" applyBorder="1" applyAlignment="1">
      <alignment horizontal="center" vertical="center" wrapText="1"/>
    </xf>
    <xf numFmtId="0" fontId="13" fillId="5" borderId="10" xfId="53" applyFont="1" applyFill="1" applyBorder="1" applyAlignment="1">
      <alignment horizontal="center" vertical="center"/>
      <protection/>
    </xf>
    <xf numFmtId="0" fontId="13" fillId="5" borderId="11" xfId="53" applyFont="1" applyFill="1" applyBorder="1" applyAlignment="1">
      <alignment horizontal="center" vertical="center"/>
      <protection/>
    </xf>
    <xf numFmtId="2" fontId="13" fillId="5" borderId="11" xfId="53" applyNumberFormat="1" applyFont="1" applyFill="1" applyBorder="1" applyAlignment="1">
      <alignment horizontal="center" vertical="center"/>
      <protection/>
    </xf>
    <xf numFmtId="2" fontId="13" fillId="5" borderId="14" xfId="53" applyNumberFormat="1" applyFont="1" applyFill="1" applyBorder="1" applyAlignment="1">
      <alignment horizontal="center" vertical="center"/>
      <protection/>
    </xf>
    <xf numFmtId="167" fontId="13" fillId="5" borderId="22" xfId="73" applyNumberFormat="1" applyFont="1" applyFill="1" applyBorder="1" applyAlignment="1">
      <alignment horizontal="center" vertical="center" wrapText="1"/>
    </xf>
    <xf numFmtId="0" fontId="13" fillId="5" borderId="22" xfId="53" applyFont="1" applyFill="1" applyBorder="1" applyAlignment="1">
      <alignment horizontal="center" vertical="center"/>
      <protection/>
    </xf>
    <xf numFmtId="2" fontId="13" fillId="5" borderId="22" xfId="53" applyNumberFormat="1" applyFont="1" applyFill="1" applyBorder="1" applyAlignment="1">
      <alignment horizontal="center" vertical="center"/>
      <protection/>
    </xf>
    <xf numFmtId="0" fontId="13" fillId="5" borderId="11" xfId="53" applyFont="1" applyFill="1" applyBorder="1" applyAlignment="1">
      <alignment horizontal="center" vertical="center" wrapText="1"/>
      <protection/>
    </xf>
    <xf numFmtId="0" fontId="13" fillId="5" borderId="10" xfId="53" applyFont="1" applyFill="1" applyBorder="1" applyAlignment="1">
      <alignment horizontal="center" vertical="center" wrapText="1"/>
      <protection/>
    </xf>
    <xf numFmtId="0" fontId="13" fillId="5" borderId="14" xfId="53" applyFont="1" applyFill="1" applyBorder="1" applyAlignment="1">
      <alignment horizontal="center" vertical="center" wrapText="1"/>
      <protection/>
    </xf>
    <xf numFmtId="0" fontId="13" fillId="5" borderId="14" xfId="53" applyFont="1" applyFill="1" applyBorder="1" applyAlignment="1">
      <alignment horizontal="center" vertical="center"/>
      <protection/>
    </xf>
    <xf numFmtId="0" fontId="13" fillId="5" borderId="22" xfId="53" applyFont="1" applyFill="1" applyBorder="1" applyAlignment="1">
      <alignment horizontal="center" vertical="center" wrapText="1"/>
      <protection/>
    </xf>
    <xf numFmtId="0" fontId="52" fillId="0" borderId="58" xfId="0" applyFont="1" applyFill="1" applyBorder="1" applyAlignment="1">
      <alignment horizontal="center" vertical="center"/>
    </xf>
    <xf numFmtId="0" fontId="52" fillId="0" borderId="94" xfId="53" applyFont="1" applyFill="1" applyBorder="1" applyAlignment="1">
      <alignment horizontal="left" vertical="center" wrapText="1"/>
      <protection/>
    </xf>
    <xf numFmtId="2" fontId="52" fillId="0" borderId="94" xfId="53" applyNumberFormat="1" applyFont="1" applyFill="1" applyBorder="1" applyAlignment="1">
      <alignment horizontal="center" vertical="center" wrapText="1"/>
      <protection/>
    </xf>
    <xf numFmtId="0" fontId="13" fillId="0" borderId="95" xfId="53" applyFont="1" applyFill="1" applyBorder="1" applyAlignment="1">
      <alignment horizontal="center" vertical="center"/>
      <protection/>
    </xf>
    <xf numFmtId="0" fontId="13" fillId="0" borderId="96" xfId="53" applyFont="1" applyFill="1" applyBorder="1" applyAlignment="1">
      <alignment horizontal="center" vertical="center"/>
      <protection/>
    </xf>
    <xf numFmtId="0" fontId="13" fillId="5" borderId="97" xfId="53" applyFont="1" applyFill="1" applyBorder="1" applyAlignment="1" quotePrefix="1">
      <alignment horizontal="center" vertical="center"/>
      <protection/>
    </xf>
    <xf numFmtId="0" fontId="13" fillId="5" borderId="95" xfId="53" applyFont="1" applyFill="1" applyBorder="1" applyAlignment="1" quotePrefix="1">
      <alignment horizontal="center" vertical="center"/>
      <protection/>
    </xf>
    <xf numFmtId="0" fontId="13" fillId="5" borderId="98" xfId="53" applyFont="1" applyFill="1" applyBorder="1" applyAlignment="1">
      <alignment horizontal="center" vertical="center"/>
      <protection/>
    </xf>
    <xf numFmtId="0" fontId="13" fillId="5" borderId="99" xfId="53" applyFont="1" applyFill="1" applyBorder="1" applyAlignment="1" quotePrefix="1">
      <alignment horizontal="center" vertical="center"/>
      <protection/>
    </xf>
    <xf numFmtId="0" fontId="13" fillId="5" borderId="99" xfId="53" applyFont="1" applyFill="1" applyBorder="1" applyAlignment="1">
      <alignment horizontal="center" vertical="center"/>
      <protection/>
    </xf>
    <xf numFmtId="0" fontId="13" fillId="5" borderId="95" xfId="53" applyFont="1" applyFill="1" applyBorder="1" applyAlignment="1">
      <alignment horizontal="center" vertical="center"/>
      <protection/>
    </xf>
    <xf numFmtId="167" fontId="13" fillId="5" borderId="98" xfId="73" applyNumberFormat="1" applyFont="1" applyFill="1" applyBorder="1" applyAlignment="1">
      <alignment horizontal="center" vertical="center"/>
    </xf>
    <xf numFmtId="0" fontId="56" fillId="0" borderId="0" xfId="0" applyFont="1" applyFill="1" applyAlignment="1">
      <alignment/>
    </xf>
    <xf numFmtId="0" fontId="52" fillId="0" borderId="70" xfId="0" applyFont="1" applyFill="1" applyBorder="1" applyAlignment="1">
      <alignment horizontal="center" vertical="center"/>
    </xf>
    <xf numFmtId="0" fontId="52" fillId="0" borderId="100" xfId="53" applyFont="1" applyFill="1" applyBorder="1" applyAlignment="1">
      <alignment horizontal="left" vertical="center" wrapText="1"/>
      <protection/>
    </xf>
    <xf numFmtId="2" fontId="52" fillId="0" borderId="100" xfId="53" applyNumberFormat="1" applyFont="1" applyFill="1" applyBorder="1" applyAlignment="1">
      <alignment horizontal="center" vertical="center" wrapText="1"/>
      <protection/>
    </xf>
    <xf numFmtId="4" fontId="52" fillId="0" borderId="84" xfId="53" applyNumberFormat="1" applyFont="1" applyFill="1" applyBorder="1" applyAlignment="1">
      <alignment horizontal="center" vertical="center"/>
      <protection/>
    </xf>
    <xf numFmtId="4" fontId="54" fillId="2" borderId="101" xfId="90" applyNumberFormat="1" applyFont="1" applyFill="1" applyBorder="1" applyAlignment="1">
      <alignment horizontal="center" vertical="center"/>
    </xf>
    <xf numFmtId="0" fontId="56" fillId="0" borderId="0" xfId="0" applyFont="1" applyFill="1" applyAlignment="1">
      <alignment horizontal="center" vertical="center"/>
    </xf>
    <xf numFmtId="0" fontId="56" fillId="0" borderId="11" xfId="0" applyFont="1" applyFill="1" applyBorder="1" applyAlignment="1">
      <alignment horizontal="center" vertical="center"/>
    </xf>
    <xf numFmtId="4" fontId="56" fillId="0" borderId="77" xfId="0" applyNumberFormat="1" applyFont="1" applyFill="1" applyBorder="1" applyAlignment="1">
      <alignment horizontal="center" vertical="center"/>
    </xf>
    <xf numFmtId="0" fontId="56" fillId="0" borderId="77" xfId="0" applyFont="1" applyFill="1" applyBorder="1" applyAlignment="1">
      <alignment horizontal="center" vertical="center"/>
    </xf>
    <xf numFmtId="0" fontId="56" fillId="0" borderId="82" xfId="0" applyFont="1" applyFill="1" applyBorder="1" applyAlignment="1">
      <alignment horizontal="center" vertical="center" wrapText="1"/>
    </xf>
    <xf numFmtId="0" fontId="56" fillId="0" borderId="101" xfId="0" applyFont="1" applyFill="1" applyBorder="1" applyAlignment="1">
      <alignment horizontal="center" vertical="center" wrapText="1"/>
    </xf>
    <xf numFmtId="0" fontId="56" fillId="0" borderId="87" xfId="0" applyFont="1" applyFill="1" applyBorder="1" applyAlignment="1">
      <alignment horizontal="center" vertical="center" wrapText="1"/>
    </xf>
    <xf numFmtId="171" fontId="52" fillId="0" borderId="77" xfId="0" applyNumberFormat="1" applyFont="1" applyFill="1" applyBorder="1" applyAlignment="1">
      <alignment horizontal="center" vertical="center"/>
    </xf>
    <xf numFmtId="0" fontId="52" fillId="0" borderId="77" xfId="0" applyFont="1" applyFill="1" applyBorder="1" applyAlignment="1">
      <alignment horizontal="center" vertical="center" wrapText="1"/>
    </xf>
    <xf numFmtId="170" fontId="52" fillId="0" borderId="77" xfId="53" applyNumberFormat="1" applyFont="1" applyFill="1" applyBorder="1" applyAlignment="1">
      <alignment horizontal="center" vertical="center"/>
      <protection/>
    </xf>
    <xf numFmtId="0" fontId="43" fillId="40" borderId="0" xfId="0" applyFont="1" applyFill="1" applyBorder="1" applyAlignment="1">
      <alignment horizontal="center" vertical="center" wrapText="1"/>
    </xf>
    <xf numFmtId="2" fontId="43" fillId="0" borderId="0" xfId="0" applyNumberFormat="1" applyFont="1" applyAlignment="1">
      <alignment vertical="center"/>
    </xf>
    <xf numFmtId="10" fontId="22" fillId="46" borderId="10" xfId="68" applyNumberFormat="1" applyFont="1" applyFill="1" applyBorder="1" applyAlignment="1" applyProtection="1">
      <alignment horizontal="right" vertical="center"/>
      <protection/>
    </xf>
    <xf numFmtId="192" fontId="22" fillId="46" borderId="14" xfId="77" applyNumberFormat="1" applyFont="1" applyFill="1" applyBorder="1" applyAlignment="1" applyProtection="1">
      <alignment horizontal="right" vertical="center"/>
      <protection/>
    </xf>
    <xf numFmtId="10" fontId="22" fillId="46" borderId="22" xfId="67" applyNumberFormat="1" applyFont="1" applyFill="1" applyBorder="1" applyAlignment="1" applyProtection="1">
      <alignment horizontal="right" vertical="center"/>
      <protection/>
    </xf>
    <xf numFmtId="10" fontId="22" fillId="46" borderId="22" xfId="67" applyNumberFormat="1" applyFont="1" applyFill="1" applyBorder="1" applyAlignment="1" applyProtection="1">
      <alignment horizontal="right"/>
      <protection/>
    </xf>
    <xf numFmtId="192" fontId="22" fillId="46" borderId="14" xfId="77" applyNumberFormat="1" applyFont="1" applyFill="1" applyBorder="1" applyAlignment="1" applyProtection="1">
      <alignment horizontal="right"/>
      <protection/>
    </xf>
    <xf numFmtId="10" fontId="22" fillId="47" borderId="22" xfId="67" applyNumberFormat="1" applyFont="1" applyFill="1" applyBorder="1" applyAlignment="1" applyProtection="1">
      <alignment horizontal="right" vertical="center"/>
      <protection/>
    </xf>
    <xf numFmtId="192" fontId="22" fillId="47" borderId="14" xfId="77" applyNumberFormat="1" applyFont="1" applyFill="1" applyBorder="1" applyAlignment="1" applyProtection="1">
      <alignment horizontal="right" vertical="center"/>
      <protection/>
    </xf>
    <xf numFmtId="192" fontId="22" fillId="47" borderId="22" xfId="77" applyNumberFormat="1" applyFont="1" applyFill="1" applyBorder="1" applyAlignment="1" applyProtection="1">
      <alignment horizontal="right" vertical="center"/>
      <protection/>
    </xf>
    <xf numFmtId="43" fontId="14" fillId="0" borderId="102" xfId="0" applyNumberFormat="1" applyFont="1" applyFill="1" applyBorder="1" applyAlignment="1" applyProtection="1">
      <alignment vertical="center"/>
      <protection/>
    </xf>
    <xf numFmtId="167" fontId="15" fillId="0" borderId="102" xfId="0" applyNumberFormat="1" applyFont="1" applyFill="1" applyBorder="1" applyAlignment="1" applyProtection="1">
      <alignment vertical="center"/>
      <protection/>
    </xf>
    <xf numFmtId="0" fontId="45" fillId="0" borderId="11" xfId="0" applyFont="1" applyFill="1" applyBorder="1" applyAlignment="1">
      <alignment horizontal="justify" vertical="center" wrapText="1"/>
    </xf>
    <xf numFmtId="1" fontId="23" fillId="2" borderId="50" xfId="0" applyNumberFormat="1" applyFont="1" applyFill="1" applyBorder="1" applyAlignment="1">
      <alignment horizontal="center" vertical="center"/>
    </xf>
    <xf numFmtId="0" fontId="23" fillId="2" borderId="103" xfId="0" applyFont="1" applyFill="1" applyBorder="1" applyAlignment="1">
      <alignment vertical="center"/>
    </xf>
    <xf numFmtId="0" fontId="23" fillId="2" borderId="104" xfId="0" applyFont="1" applyFill="1" applyBorder="1" applyAlignment="1">
      <alignment horizontal="left" vertical="center"/>
    </xf>
    <xf numFmtId="0" fontId="23" fillId="2" borderId="104" xfId="0" applyFont="1" applyFill="1" applyBorder="1" applyAlignment="1">
      <alignment horizontal="centerContinuous" vertical="center"/>
    </xf>
    <xf numFmtId="0" fontId="23" fillId="2" borderId="104" xfId="0" applyFont="1" applyFill="1" applyBorder="1" applyAlignment="1">
      <alignment horizontal="center" vertical="center"/>
    </xf>
    <xf numFmtId="0" fontId="23" fillId="43" borderId="45" xfId="0" applyFont="1" applyFill="1" applyBorder="1" applyAlignment="1">
      <alignment horizontal="center" vertical="center" wrapText="1"/>
    </xf>
    <xf numFmtId="0" fontId="23" fillId="43" borderId="23" xfId="0" applyFont="1" applyFill="1" applyBorder="1" applyAlignment="1">
      <alignment horizontal="center" vertical="center"/>
    </xf>
    <xf numFmtId="0" fontId="23" fillId="43" borderId="0" xfId="0" applyFont="1" applyFill="1" applyBorder="1" applyAlignment="1">
      <alignment horizontal="centerContinuous" vertical="center"/>
    </xf>
    <xf numFmtId="0" fontId="23" fillId="43" borderId="46" xfId="0" applyFont="1" applyFill="1" applyBorder="1" applyAlignment="1">
      <alignment horizontal="centerContinuous" vertical="center"/>
    </xf>
    <xf numFmtId="2" fontId="22" fillId="0" borderId="25" xfId="0" applyNumberFormat="1" applyFont="1" applyFill="1" applyBorder="1" applyAlignment="1">
      <alignment horizontal="right" vertical="center"/>
    </xf>
    <xf numFmtId="2" fontId="22" fillId="0" borderId="37" xfId="0" applyNumberFormat="1" applyFont="1" applyFill="1" applyBorder="1" applyAlignment="1">
      <alignment vertical="center"/>
    </xf>
    <xf numFmtId="4" fontId="22" fillId="0" borderId="37" xfId="0" applyNumberFormat="1" applyFont="1" applyFill="1" applyBorder="1" applyAlignment="1">
      <alignment vertical="center"/>
    </xf>
    <xf numFmtId="10" fontId="23" fillId="0" borderId="26" xfId="0" applyNumberFormat="1" applyFont="1" applyFill="1" applyBorder="1" applyAlignment="1">
      <alignment horizontal="center" vertical="center"/>
    </xf>
    <xf numFmtId="0" fontId="23" fillId="2" borderId="42" xfId="0" applyFont="1" applyFill="1" applyBorder="1" applyAlignment="1">
      <alignment vertical="center"/>
    </xf>
    <xf numFmtId="0" fontId="23" fillId="2" borderId="43" xfId="0" applyFont="1" applyFill="1" applyBorder="1" applyAlignment="1">
      <alignment vertical="center"/>
    </xf>
    <xf numFmtId="0" fontId="23" fillId="2" borderId="43" xfId="0" applyFont="1" applyFill="1" applyBorder="1" applyAlignment="1">
      <alignment horizontal="center" vertical="center"/>
    </xf>
    <xf numFmtId="2" fontId="23" fillId="2" borderId="43" xfId="0" applyNumberFormat="1" applyFont="1" applyFill="1" applyBorder="1" applyAlignment="1">
      <alignment vertical="center"/>
    </xf>
    <xf numFmtId="4" fontId="23" fillId="2" borderId="44" xfId="0" applyNumberFormat="1" applyFont="1" applyFill="1" applyBorder="1" applyAlignment="1">
      <alignment vertical="center"/>
    </xf>
    <xf numFmtId="0" fontId="49" fillId="0" borderId="11" xfId="0" applyFont="1" applyBorder="1" applyAlignment="1">
      <alignment horizontal="center"/>
    </xf>
    <xf numFmtId="0" fontId="49" fillId="0" borderId="11" xfId="0" applyFont="1" applyBorder="1" applyAlignment="1">
      <alignment horizontal="center" vertical="center"/>
    </xf>
    <xf numFmtId="0" fontId="98" fillId="0" borderId="11" xfId="0" applyFont="1" applyBorder="1" applyAlignment="1">
      <alignment horizontal="center" vertical="top"/>
    </xf>
    <xf numFmtId="1" fontId="49" fillId="0" borderId="11" xfId="0" applyNumberFormat="1" applyFont="1" applyBorder="1" applyAlignment="1">
      <alignment horizontal="center"/>
    </xf>
    <xf numFmtId="0" fontId="0" fillId="37" borderId="19" xfId="54" applyFont="1" applyFill="1" applyBorder="1" applyAlignment="1">
      <alignment vertical="center"/>
      <protection/>
    </xf>
    <xf numFmtId="0" fontId="0" fillId="37" borderId="20" xfId="54" applyFont="1" applyFill="1" applyBorder="1" applyAlignment="1">
      <alignment vertical="center"/>
      <protection/>
    </xf>
    <xf numFmtId="0" fontId="0" fillId="0" borderId="0" xfId="54" applyFont="1" applyAlignment="1">
      <alignment vertical="center"/>
      <protection/>
    </xf>
    <xf numFmtId="0" fontId="0" fillId="37" borderId="0" xfId="54" applyFont="1" applyFill="1" applyBorder="1" applyAlignment="1">
      <alignment vertical="center"/>
      <protection/>
    </xf>
    <xf numFmtId="0" fontId="0" fillId="37" borderId="46" xfId="54" applyFont="1" applyFill="1" applyBorder="1" applyAlignment="1">
      <alignment vertical="center"/>
      <protection/>
    </xf>
    <xf numFmtId="0" fontId="99" fillId="2" borderId="21" xfId="0" applyFont="1" applyFill="1" applyBorder="1" applyAlignment="1">
      <alignment horizontal="center" vertical="center"/>
    </xf>
    <xf numFmtId="2" fontId="0" fillId="48" borderId="0" xfId="0" applyNumberFormat="1" applyFill="1" applyBorder="1" applyAlignment="1">
      <alignment horizontal="left" vertical="top"/>
    </xf>
    <xf numFmtId="0" fontId="0" fillId="48" borderId="0" xfId="0" applyFill="1" applyBorder="1" applyAlignment="1">
      <alignment horizontal="left" vertical="top"/>
    </xf>
    <xf numFmtId="2" fontId="0" fillId="0" borderId="0" xfId="0" applyNumberFormat="1" applyFill="1" applyBorder="1" applyAlignment="1">
      <alignment horizontal="left" vertical="top"/>
    </xf>
    <xf numFmtId="0" fontId="0" fillId="0" borderId="0" xfId="0" applyFill="1" applyBorder="1" applyAlignment="1">
      <alignment horizontal="left" vertical="top"/>
    </xf>
    <xf numFmtId="0" fontId="100" fillId="43" borderId="11" xfId="0" applyFont="1" applyFill="1" applyBorder="1" applyAlignment="1">
      <alignment horizontal="center" vertical="center" wrapText="1"/>
    </xf>
    <xf numFmtId="0" fontId="19" fillId="43" borderId="11" xfId="0" applyFont="1" applyFill="1" applyBorder="1" applyAlignment="1">
      <alignment horizontal="center" vertical="center" wrapText="1"/>
    </xf>
    <xf numFmtId="0" fontId="100" fillId="43" borderId="14" xfId="0" applyFont="1" applyFill="1" applyBorder="1" applyAlignment="1">
      <alignment horizontal="center" vertical="center" wrapText="1"/>
    </xf>
    <xf numFmtId="0" fontId="101" fillId="0" borderId="0" xfId="0" applyFont="1" applyFill="1" applyBorder="1" applyAlignment="1">
      <alignment horizontal="left" vertical="top"/>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0" fontId="102" fillId="0" borderId="11" xfId="0" applyFont="1" applyFill="1" applyBorder="1" applyAlignment="1">
      <alignment vertical="center" wrapText="1"/>
    </xf>
    <xf numFmtId="0" fontId="20" fillId="0" borderId="11" xfId="0" applyFont="1" applyFill="1" applyBorder="1" applyAlignment="1">
      <alignment horizontal="center" vertical="center"/>
    </xf>
    <xf numFmtId="2" fontId="103" fillId="35" borderId="0" xfId="0" applyNumberFormat="1" applyFont="1" applyFill="1" applyBorder="1" applyAlignment="1">
      <alignment horizontal="left" vertical="top"/>
    </xf>
    <xf numFmtId="0" fontId="103" fillId="35" borderId="0" xfId="0" applyFont="1" applyFill="1" applyBorder="1" applyAlignment="1">
      <alignment horizontal="left" vertical="top"/>
    </xf>
    <xf numFmtId="49" fontId="20" fillId="0" borderId="11" xfId="53" applyNumberFormat="1" applyFont="1" applyFill="1" applyBorder="1" applyAlignment="1">
      <alignment horizontal="center" vertical="center" wrapText="1"/>
      <protection/>
    </xf>
    <xf numFmtId="0" fontId="20" fillId="0" borderId="11" xfId="0" applyFont="1" applyFill="1" applyBorder="1" applyAlignment="1">
      <alignment horizontal="left" vertical="center" wrapText="1"/>
    </xf>
    <xf numFmtId="2" fontId="102" fillId="0" borderId="11" xfId="0" applyNumberFormat="1" applyFont="1" applyBorder="1" applyAlignment="1">
      <alignment horizontal="center" vertical="center"/>
    </xf>
    <xf numFmtId="2" fontId="102" fillId="0" borderId="11" xfId="0" applyNumberFormat="1" applyFont="1" applyFill="1" applyBorder="1" applyAlignment="1">
      <alignment horizontal="center" vertical="center"/>
    </xf>
    <xf numFmtId="0" fontId="102" fillId="0" borderId="11" xfId="0" applyFont="1" applyFill="1" applyBorder="1" applyAlignment="1">
      <alignment horizontal="center" vertical="center"/>
    </xf>
    <xf numFmtId="0" fontId="20" fillId="0" borderId="11" xfId="53" applyFont="1" applyFill="1" applyBorder="1" applyAlignment="1">
      <alignment horizontal="center" vertical="center"/>
      <protection/>
    </xf>
    <xf numFmtId="0" fontId="102" fillId="0" borderId="14" xfId="0" applyFont="1" applyFill="1" applyBorder="1" applyAlignment="1">
      <alignment horizontal="left" vertical="center" wrapText="1"/>
    </xf>
    <xf numFmtId="0" fontId="21" fillId="0" borderId="0" xfId="0" applyFont="1" applyFill="1" applyBorder="1" applyAlignment="1">
      <alignment horizontal="left" vertical="top"/>
    </xf>
    <xf numFmtId="0" fontId="20" fillId="0" borderId="11" xfId="53" applyFont="1" applyFill="1" applyBorder="1" applyAlignment="1">
      <alignment horizontal="center" vertical="center" wrapText="1"/>
      <protection/>
    </xf>
    <xf numFmtId="0" fontId="20" fillId="0" borderId="0" xfId="0" applyFont="1" applyFill="1" applyBorder="1" applyAlignment="1">
      <alignment horizontal="left" vertical="top"/>
    </xf>
    <xf numFmtId="0" fontId="20" fillId="0" borderId="11" xfId="0" applyFont="1" applyFill="1" applyBorder="1" applyAlignment="1">
      <alignment horizontal="center" vertical="center" wrapText="1"/>
    </xf>
    <xf numFmtId="0" fontId="103" fillId="0" borderId="0" xfId="0" applyFont="1" applyFill="1" applyBorder="1" applyAlignment="1">
      <alignment horizontal="left" vertical="top"/>
    </xf>
    <xf numFmtId="0" fontId="20" fillId="0" borderId="11" xfId="0" applyFont="1" applyFill="1" applyBorder="1" applyAlignment="1">
      <alignment vertical="center" wrapText="1"/>
    </xf>
    <xf numFmtId="2" fontId="20" fillId="0" borderId="11" xfId="0" applyNumberFormat="1" applyFont="1" applyBorder="1" applyAlignment="1">
      <alignment horizontal="center" vertical="center"/>
    </xf>
    <xf numFmtId="2" fontId="20" fillId="0" borderId="11" xfId="0" applyNumberFormat="1" applyFont="1" applyFill="1" applyBorder="1" applyAlignment="1">
      <alignment horizontal="center" vertical="center"/>
    </xf>
    <xf numFmtId="0" fontId="20" fillId="0" borderId="14" xfId="0" applyFont="1" applyFill="1" applyBorder="1" applyAlignment="1">
      <alignment horizontal="left" vertical="center" wrapText="1"/>
    </xf>
    <xf numFmtId="0" fontId="20" fillId="0" borderId="11" xfId="53" applyNumberFormat="1" applyFont="1" applyFill="1" applyBorder="1" applyAlignment="1">
      <alignment horizontal="center" vertical="center" wrapText="1"/>
      <protection/>
    </xf>
    <xf numFmtId="49" fontId="102" fillId="0" borderId="11" xfId="0" applyNumberFormat="1" applyFont="1" applyFill="1" applyBorder="1" applyAlignment="1">
      <alignment horizontal="center" vertical="center"/>
    </xf>
    <xf numFmtId="2" fontId="100" fillId="43" borderId="12" xfId="47" applyNumberFormat="1" applyFont="1" applyFill="1" applyBorder="1" applyAlignment="1">
      <alignment horizontal="center" vertical="center"/>
    </xf>
    <xf numFmtId="2" fontId="100" fillId="43" borderId="13" xfId="47" applyNumberFormat="1" applyFont="1" applyFill="1" applyBorder="1" applyAlignment="1">
      <alignment vertical="center"/>
    </xf>
    <xf numFmtId="2" fontId="100" fillId="43" borderId="76" xfId="47" applyNumberFormat="1" applyFont="1" applyFill="1" applyBorder="1" applyAlignment="1">
      <alignment vertical="center"/>
    </xf>
    <xf numFmtId="0" fontId="20" fillId="37" borderId="0" xfId="0" applyFont="1" applyFill="1" applyBorder="1" applyAlignment="1">
      <alignment horizontal="left" vertical="top"/>
    </xf>
    <xf numFmtId="0" fontId="20" fillId="0" borderId="45" xfId="0" applyFont="1" applyFill="1" applyBorder="1" applyAlignment="1">
      <alignment horizontal="left" vertical="top"/>
    </xf>
    <xf numFmtId="0" fontId="20" fillId="0" borderId="46" xfId="0" applyFont="1" applyFill="1" applyBorder="1" applyAlignment="1">
      <alignment horizontal="left" vertical="top"/>
    </xf>
    <xf numFmtId="0" fontId="102" fillId="0" borderId="0" xfId="0" applyFont="1" applyFill="1" applyBorder="1" applyAlignment="1">
      <alignment horizontal="left" vertical="top"/>
    </xf>
    <xf numFmtId="0" fontId="20" fillId="0" borderId="11" xfId="62" applyFont="1" applyFill="1" applyBorder="1" applyAlignment="1">
      <alignment horizontal="left" vertical="center" wrapText="1"/>
      <protection/>
    </xf>
    <xf numFmtId="0" fontId="104" fillId="0" borderId="0" xfId="0" applyFont="1" applyAlignment="1">
      <alignment/>
    </xf>
    <xf numFmtId="0" fontId="105" fillId="0" borderId="0" xfId="0" applyFont="1" applyAlignment="1">
      <alignment/>
    </xf>
    <xf numFmtId="44" fontId="105" fillId="0" borderId="0" xfId="0" applyNumberFormat="1" applyFont="1" applyAlignment="1">
      <alignment/>
    </xf>
    <xf numFmtId="0" fontId="63" fillId="37" borderId="19" xfId="54" applyFont="1" applyFill="1" applyBorder="1" applyAlignment="1">
      <alignment vertical="center"/>
      <protection/>
    </xf>
    <xf numFmtId="0" fontId="63" fillId="37" borderId="20" xfId="54" applyFont="1" applyFill="1" applyBorder="1" applyAlignment="1">
      <alignment vertical="center"/>
      <protection/>
    </xf>
    <xf numFmtId="0" fontId="63" fillId="0" borderId="0" xfId="54" applyFont="1" applyAlignment="1">
      <alignment vertical="center"/>
      <protection/>
    </xf>
    <xf numFmtId="0" fontId="63" fillId="37" borderId="90" xfId="54" applyFont="1" applyFill="1" applyBorder="1" applyAlignment="1">
      <alignment vertical="center"/>
      <protection/>
    </xf>
    <xf numFmtId="0" fontId="63" fillId="37" borderId="91" xfId="54" applyFont="1" applyFill="1" applyBorder="1" applyAlignment="1">
      <alignment vertical="center"/>
      <protection/>
    </xf>
    <xf numFmtId="1" fontId="43" fillId="2" borderId="105" xfId="0" applyNumberFormat="1" applyFont="1" applyFill="1" applyBorder="1" applyAlignment="1">
      <alignment horizontal="center" vertical="center" wrapText="1"/>
    </xf>
    <xf numFmtId="0" fontId="63" fillId="0" borderId="0" xfId="0" applyFont="1" applyFill="1" applyBorder="1" applyAlignment="1">
      <alignment horizontal="left" vertical="top"/>
    </xf>
    <xf numFmtId="0" fontId="106" fillId="43" borderId="10" xfId="0" applyFont="1" applyFill="1" applyBorder="1" applyAlignment="1">
      <alignment horizontal="center" vertical="center" wrapText="1"/>
    </xf>
    <xf numFmtId="0" fontId="24" fillId="43" borderId="11" xfId="0" applyFont="1" applyFill="1" applyBorder="1" applyAlignment="1">
      <alignment horizontal="center" vertical="center" wrapText="1"/>
    </xf>
    <xf numFmtId="0" fontId="106" fillId="43" borderId="11" xfId="0" applyFont="1" applyFill="1" applyBorder="1" applyAlignment="1">
      <alignment horizontal="center" vertical="center"/>
    </xf>
    <xf numFmtId="0" fontId="106" fillId="43" borderId="11" xfId="0" applyFont="1" applyFill="1" applyBorder="1" applyAlignment="1">
      <alignment horizontal="center" vertical="center" wrapText="1"/>
    </xf>
    <xf numFmtId="0" fontId="106" fillId="43" borderId="12" xfId="0" applyFont="1" applyFill="1" applyBorder="1" applyAlignment="1">
      <alignment horizontal="center" vertical="center" wrapText="1"/>
    </xf>
    <xf numFmtId="0" fontId="106" fillId="43" borderId="14" xfId="0" applyFont="1" applyFill="1" applyBorder="1" applyAlignment="1">
      <alignment horizontal="center" vertical="center" wrapText="1"/>
    </xf>
    <xf numFmtId="0" fontId="107" fillId="0" borderId="10" xfId="0" applyFont="1" applyFill="1" applyBorder="1" applyAlignment="1">
      <alignment horizontal="center" vertical="center"/>
    </xf>
    <xf numFmtId="0" fontId="107" fillId="0" borderId="11" xfId="0" applyFont="1" applyFill="1" applyBorder="1" applyAlignment="1">
      <alignment horizontal="center" vertical="center"/>
    </xf>
    <xf numFmtId="0" fontId="107" fillId="0" borderId="11" xfId="0" applyFont="1" applyFill="1" applyBorder="1" applyAlignment="1">
      <alignment horizontal="center" vertical="center" wrapText="1"/>
    </xf>
    <xf numFmtId="2" fontId="107" fillId="0" borderId="11" xfId="0" applyNumberFormat="1" applyFont="1" applyFill="1" applyBorder="1" applyAlignment="1">
      <alignment horizontal="center" vertical="center"/>
    </xf>
    <xf numFmtId="2" fontId="45" fillId="0" borderId="11" xfId="0" applyNumberFormat="1" applyFont="1" applyFill="1" applyBorder="1" applyAlignment="1">
      <alignment horizontal="center" vertical="center"/>
    </xf>
    <xf numFmtId="2" fontId="45" fillId="0" borderId="12" xfId="0" applyNumberFormat="1" applyFont="1" applyFill="1" applyBorder="1" applyAlignment="1">
      <alignment horizontal="center" vertical="center"/>
    </xf>
    <xf numFmtId="171" fontId="45" fillId="0" borderId="11" xfId="0" applyNumberFormat="1" applyFont="1" applyFill="1" applyBorder="1" applyAlignment="1">
      <alignment horizontal="center" vertical="center"/>
    </xf>
    <xf numFmtId="171" fontId="107" fillId="0" borderId="14" xfId="0" applyNumberFormat="1" applyFont="1" applyFill="1" applyBorder="1" applyAlignment="1">
      <alignment horizontal="center" vertical="center"/>
    </xf>
    <xf numFmtId="0" fontId="108" fillId="0" borderId="0" xfId="0" applyFont="1" applyFill="1" applyBorder="1" applyAlignment="1">
      <alignment horizontal="left" vertical="top"/>
    </xf>
    <xf numFmtId="0" fontId="108" fillId="35" borderId="0" xfId="0" applyFont="1" applyFill="1" applyBorder="1" applyAlignment="1">
      <alignment horizontal="left" vertical="top"/>
    </xf>
    <xf numFmtId="0" fontId="107" fillId="0" borderId="11" xfId="0" applyFont="1" applyFill="1" applyBorder="1" applyAlignment="1">
      <alignment horizontal="left" vertical="center" wrapText="1"/>
    </xf>
    <xf numFmtId="0" fontId="45" fillId="0" borderId="11" xfId="53" applyFont="1" applyFill="1" applyBorder="1" applyAlignment="1">
      <alignment horizontal="center" vertical="center"/>
      <protection/>
    </xf>
    <xf numFmtId="0" fontId="63" fillId="0" borderId="0" xfId="0" applyFont="1" applyFill="1" applyBorder="1" applyAlignment="1">
      <alignment horizontal="left" vertical="top" wrapText="1"/>
    </xf>
    <xf numFmtId="16" fontId="63" fillId="0" borderId="0" xfId="0" applyNumberFormat="1" applyFont="1" applyFill="1" applyBorder="1" applyAlignment="1">
      <alignment horizontal="left" vertical="top" wrapText="1"/>
    </xf>
    <xf numFmtId="0" fontId="109" fillId="0" borderId="0" xfId="0" applyFont="1" applyAlignment="1">
      <alignment/>
    </xf>
    <xf numFmtId="171" fontId="110" fillId="2" borderId="17" xfId="47" applyNumberFormat="1" applyFont="1" applyFill="1" applyBorder="1" applyAlignment="1">
      <alignment horizontal="center" vertical="center"/>
    </xf>
    <xf numFmtId="0" fontId="111" fillId="0" borderId="0" xfId="0" applyFont="1" applyAlignment="1">
      <alignment/>
    </xf>
    <xf numFmtId="166" fontId="109" fillId="0" borderId="0" xfId="47" applyFont="1" applyAlignment="1">
      <alignment/>
    </xf>
    <xf numFmtId="44" fontId="109" fillId="0" borderId="0" xfId="0" applyNumberFormat="1" applyFont="1" applyAlignment="1">
      <alignment/>
    </xf>
    <xf numFmtId="0" fontId="92" fillId="35" borderId="11" xfId="0" applyFont="1" applyFill="1" applyBorder="1" applyAlignment="1">
      <alignment horizontal="center" vertical="center" wrapText="1"/>
    </xf>
    <xf numFmtId="0" fontId="92" fillId="0" borderId="14" xfId="0" applyFont="1" applyBorder="1" applyAlignment="1">
      <alignment vertical="center" wrapText="1"/>
    </xf>
    <xf numFmtId="0" fontId="0" fillId="11" borderId="11" xfId="0" applyFill="1" applyBorder="1" applyAlignment="1">
      <alignment horizontal="center" vertical="center" wrapText="1"/>
    </xf>
    <xf numFmtId="0" fontId="22" fillId="0" borderId="11" xfId="0" applyFont="1" applyBorder="1" applyAlignment="1">
      <alignment vertical="center" wrapText="1"/>
    </xf>
    <xf numFmtId="0" fontId="92" fillId="11" borderId="14" xfId="0" applyFont="1" applyFill="1" applyBorder="1" applyAlignment="1">
      <alignment horizontal="center" vertical="center" wrapText="1"/>
    </xf>
    <xf numFmtId="44" fontId="0" fillId="0" borderId="11" xfId="0" applyNumberFormat="1" applyBorder="1" applyAlignment="1">
      <alignment horizontal="center" vertical="center" wrapText="1"/>
    </xf>
    <xf numFmtId="0" fontId="0" fillId="0" borderId="14" xfId="0" applyBorder="1" applyAlignment="1">
      <alignment vertical="center" wrapText="1"/>
    </xf>
    <xf numFmtId="44" fontId="0" fillId="37" borderId="11" xfId="0" applyNumberFormat="1" applyFill="1" applyBorder="1" applyAlignment="1">
      <alignment horizontal="center" vertical="center" wrapText="1"/>
    </xf>
    <xf numFmtId="44" fontId="0" fillId="37" borderId="14" xfId="0" applyNumberFormat="1" applyFill="1" applyBorder="1" applyAlignment="1">
      <alignment horizontal="center" vertical="center" wrapText="1"/>
    </xf>
    <xf numFmtId="0" fontId="0" fillId="37" borderId="11" xfId="0" applyFill="1" applyBorder="1" applyAlignment="1">
      <alignment horizontal="center" vertical="center" wrapText="1"/>
    </xf>
    <xf numFmtId="0" fontId="0" fillId="37" borderId="14" xfId="0" applyFill="1" applyBorder="1" applyAlignment="1">
      <alignment horizontal="center" vertical="center" wrapText="1"/>
    </xf>
    <xf numFmtId="44" fontId="92" fillId="49" borderId="11" xfId="0" applyNumberFormat="1" applyFont="1" applyFill="1" applyBorder="1" applyAlignment="1">
      <alignment vertical="center" wrapText="1"/>
    </xf>
    <xf numFmtId="44" fontId="92" fillId="37" borderId="14" xfId="0" applyNumberFormat="1" applyFont="1" applyFill="1" applyBorder="1" applyAlignment="1">
      <alignment horizontal="center" vertical="center" wrapText="1"/>
    </xf>
    <xf numFmtId="44" fontId="92" fillId="4" borderId="11" xfId="0" applyNumberFormat="1" applyFont="1" applyFill="1" applyBorder="1" applyAlignment="1">
      <alignment vertical="center" wrapText="1"/>
    </xf>
    <xf numFmtId="44" fontId="92" fillId="0" borderId="11" xfId="0" applyNumberFormat="1" applyFont="1" applyBorder="1" applyAlignment="1">
      <alignment vertical="center" wrapText="1"/>
    </xf>
    <xf numFmtId="0" fontId="92" fillId="10" borderId="11" xfId="0" applyFont="1" applyFill="1" applyBorder="1" applyAlignment="1">
      <alignment vertical="center" wrapText="1"/>
    </xf>
    <xf numFmtId="0" fontId="92" fillId="37" borderId="14" xfId="0" applyFont="1" applyFill="1" applyBorder="1" applyAlignment="1">
      <alignment horizontal="center" vertical="center" wrapText="1"/>
    </xf>
    <xf numFmtId="44" fontId="92" fillId="8" borderId="14" xfId="0" applyNumberFormat="1" applyFont="1" applyFill="1" applyBorder="1" applyAlignment="1">
      <alignment horizontal="center" vertical="center" wrapText="1"/>
    </xf>
    <xf numFmtId="44" fontId="0" fillId="4" borderId="11" xfId="0" applyNumberFormat="1" applyFill="1" applyBorder="1" applyAlignment="1">
      <alignment vertical="center" wrapText="1"/>
    </xf>
    <xf numFmtId="0" fontId="92" fillId="37" borderId="14" xfId="0" applyFont="1" applyFill="1" applyBorder="1" applyAlignment="1">
      <alignment vertical="center" wrapText="1"/>
    </xf>
    <xf numFmtId="44" fontId="92" fillId="37" borderId="11" xfId="0" applyNumberFormat="1" applyFont="1" applyFill="1" applyBorder="1" applyAlignment="1">
      <alignment vertical="center" wrapText="1"/>
    </xf>
    <xf numFmtId="44" fontId="92" fillId="7" borderId="11" xfId="0" applyNumberFormat="1" applyFont="1" applyFill="1" applyBorder="1" applyAlignment="1">
      <alignment vertical="center" wrapText="1"/>
    </xf>
    <xf numFmtId="44" fontId="92" fillId="0" borderId="16" xfId="0" applyNumberFormat="1" applyFont="1" applyBorder="1" applyAlignment="1">
      <alignment vertical="center" wrapText="1"/>
    </xf>
    <xf numFmtId="44" fontId="92" fillId="37" borderId="17" xfId="0" applyNumberFormat="1" applyFont="1" applyFill="1" applyBorder="1" applyAlignment="1">
      <alignment horizontal="center" vertical="center" wrapText="1"/>
    </xf>
    <xf numFmtId="191" fontId="23" fillId="0" borderId="14" xfId="77" applyFont="1" applyFill="1" applyBorder="1" applyAlignment="1" applyProtection="1">
      <alignment horizontal="center" vertical="center"/>
      <protection/>
    </xf>
    <xf numFmtId="191" fontId="23" fillId="0" borderId="17" xfId="77" applyFont="1" applyFill="1" applyBorder="1" applyAlignment="1" applyProtection="1">
      <alignment horizontal="center" vertical="center"/>
      <protection/>
    </xf>
    <xf numFmtId="0" fontId="22" fillId="0" borderId="22" xfId="0" applyFont="1" applyBorder="1" applyAlignment="1">
      <alignment horizontal="center"/>
    </xf>
    <xf numFmtId="0" fontId="23" fillId="0" borderId="106" xfId="0" applyFont="1" applyBorder="1" applyAlignment="1">
      <alignment horizontal="center" wrapText="1"/>
    </xf>
    <xf numFmtId="0" fontId="23" fillId="0" borderId="107" xfId="0" applyFont="1" applyBorder="1" applyAlignment="1">
      <alignment horizontal="center" wrapText="1"/>
    </xf>
    <xf numFmtId="0" fontId="23" fillId="0" borderId="69" xfId="0" applyFont="1" applyBorder="1" applyAlignment="1">
      <alignment horizontal="center" wrapText="1"/>
    </xf>
    <xf numFmtId="0" fontId="23" fillId="0" borderId="55" xfId="0" applyFont="1" applyBorder="1" applyAlignment="1">
      <alignment horizontal="center" wrapText="1"/>
    </xf>
    <xf numFmtId="0" fontId="23" fillId="0" borderId="12" xfId="0" applyFont="1" applyBorder="1" applyAlignment="1">
      <alignment horizontal="center"/>
    </xf>
    <xf numFmtId="10" fontId="22" fillId="0" borderId="94" xfId="68" applyNumberFormat="1" applyFont="1" applyFill="1" applyBorder="1" applyAlignment="1" applyProtection="1">
      <alignment horizontal="right" vertical="center"/>
      <protection/>
    </xf>
    <xf numFmtId="192" fontId="22" fillId="0" borderId="62" xfId="77" applyNumberFormat="1" applyFont="1" applyFill="1" applyBorder="1" applyAlignment="1" applyProtection="1">
      <alignment horizontal="right" vertical="center"/>
      <protection/>
    </xf>
    <xf numFmtId="10" fontId="22" fillId="37" borderId="22" xfId="67" applyNumberFormat="1" applyFont="1" applyFill="1" applyBorder="1" applyAlignment="1" applyProtection="1">
      <alignment horizontal="right"/>
      <protection/>
    </xf>
    <xf numFmtId="192" fontId="22" fillId="37" borderId="14" xfId="77" applyNumberFormat="1" applyFont="1" applyFill="1" applyBorder="1" applyAlignment="1" applyProtection="1">
      <alignment horizontal="right"/>
      <protection/>
    </xf>
    <xf numFmtId="192" fontId="22" fillId="50" borderId="22" xfId="77" applyNumberFormat="1" applyFont="1" applyFill="1" applyBorder="1" applyAlignment="1" applyProtection="1">
      <alignment horizontal="right" vertical="center"/>
      <protection/>
    </xf>
    <xf numFmtId="192" fontId="22" fillId="50" borderId="14" xfId="77" applyNumberFormat="1" applyFont="1" applyFill="1" applyBorder="1" applyAlignment="1" applyProtection="1">
      <alignment horizontal="right" vertical="center"/>
      <protection/>
    </xf>
    <xf numFmtId="10" fontId="22" fillId="37" borderId="10" xfId="68" applyNumberFormat="1" applyFont="1" applyFill="1" applyBorder="1" applyAlignment="1" applyProtection="1">
      <alignment horizontal="right" vertical="center"/>
      <protection/>
    </xf>
    <xf numFmtId="192" fontId="22" fillId="37" borderId="14" xfId="77" applyNumberFormat="1" applyFont="1" applyFill="1" applyBorder="1" applyAlignment="1" applyProtection="1">
      <alignment horizontal="right" vertical="center"/>
      <protection/>
    </xf>
    <xf numFmtId="10" fontId="22" fillId="37" borderId="22" xfId="67" applyNumberFormat="1" applyFont="1" applyFill="1" applyBorder="1" applyAlignment="1" applyProtection="1">
      <alignment horizontal="right" vertical="center"/>
      <protection/>
    </xf>
    <xf numFmtId="0" fontId="22" fillId="0" borderId="0" xfId="0" applyFont="1" applyAlignment="1">
      <alignment horizontal="center" vertical="center"/>
    </xf>
    <xf numFmtId="0" fontId="44" fillId="37" borderId="54" xfId="0" applyFont="1" applyFill="1" applyBorder="1" applyAlignment="1">
      <alignment horizontal="center" vertical="center" wrapText="1"/>
    </xf>
    <xf numFmtId="0" fontId="44" fillId="37" borderId="55" xfId="0" applyFont="1" applyFill="1" applyBorder="1" applyAlignment="1">
      <alignment horizontal="center" vertical="center" wrapText="1"/>
    </xf>
    <xf numFmtId="0" fontId="44" fillId="37" borderId="69" xfId="0" applyFont="1" applyFill="1" applyBorder="1" applyAlignment="1">
      <alignment horizontal="center" vertical="center" wrapText="1"/>
    </xf>
    <xf numFmtId="0" fontId="112" fillId="0" borderId="0" xfId="0" applyFont="1" applyAlignment="1">
      <alignment horizontal="center" vertical="center"/>
    </xf>
    <xf numFmtId="0" fontId="22" fillId="0" borderId="0" xfId="0" applyFont="1" applyAlignment="1">
      <alignment horizontal="center" vertical="center"/>
    </xf>
    <xf numFmtId="0" fontId="0" fillId="0" borderId="108" xfId="0" applyFill="1" applyBorder="1" applyAlignment="1">
      <alignment horizontal="left" vertical="top" wrapText="1"/>
    </xf>
    <xf numFmtId="0" fontId="22" fillId="0" borderId="108" xfId="0" applyFont="1" applyFill="1" applyBorder="1" applyAlignment="1">
      <alignment horizontal="center" vertical="top" wrapText="1"/>
    </xf>
    <xf numFmtId="2" fontId="95" fillId="0" borderId="108" xfId="0" applyNumberFormat="1" applyFont="1" applyFill="1" applyBorder="1" applyAlignment="1">
      <alignment horizontal="center" vertical="top" shrinkToFit="1"/>
    </xf>
    <xf numFmtId="177" fontId="95" fillId="0" borderId="108" xfId="0" applyNumberFormat="1" applyFont="1" applyFill="1" applyBorder="1" applyAlignment="1">
      <alignment horizontal="center" vertical="top" shrinkToFit="1"/>
    </xf>
    <xf numFmtId="4" fontId="95" fillId="0" borderId="108" xfId="0" applyNumberFormat="1" applyFont="1" applyFill="1" applyBorder="1" applyAlignment="1">
      <alignment horizontal="right" vertical="top" shrinkToFit="1"/>
    </xf>
    <xf numFmtId="2" fontId="95" fillId="0" borderId="108" xfId="0" applyNumberFormat="1" applyFont="1" applyFill="1" applyBorder="1" applyAlignment="1">
      <alignment horizontal="left" vertical="top" indent="6" shrinkToFit="1"/>
    </xf>
    <xf numFmtId="0" fontId="0" fillId="0" borderId="109" xfId="0" applyFont="1" applyFill="1" applyBorder="1" applyAlignment="1">
      <alignment horizontal="left" textRotation="90" wrapText="1"/>
    </xf>
    <xf numFmtId="0" fontId="0" fillId="0" borderId="110" xfId="0" applyFont="1" applyFill="1" applyBorder="1" applyAlignment="1">
      <alignment horizontal="left" vertical="center" wrapText="1"/>
    </xf>
    <xf numFmtId="0" fontId="0" fillId="0" borderId="86" xfId="0" applyBorder="1" applyAlignment="1">
      <alignment horizontal="center"/>
    </xf>
    <xf numFmtId="0" fontId="0" fillId="0" borderId="111" xfId="0" applyBorder="1" applyAlignment="1">
      <alignment horizontal="center"/>
    </xf>
    <xf numFmtId="2" fontId="0" fillId="0" borderId="11" xfId="0" applyNumberFormat="1" applyBorder="1" applyAlignment="1">
      <alignment horizontal="center"/>
    </xf>
    <xf numFmtId="0" fontId="0" fillId="0" borderId="84" xfId="0" applyBorder="1" applyAlignment="1">
      <alignment horizontal="center"/>
    </xf>
    <xf numFmtId="2" fontId="0" fillId="0" borderId="84" xfId="0" applyNumberFormat="1" applyBorder="1" applyAlignment="1">
      <alignment horizontal="center"/>
    </xf>
    <xf numFmtId="167" fontId="0" fillId="0" borderId="84" xfId="86" applyFont="1" applyBorder="1" applyAlignment="1">
      <alignment horizontal="center"/>
    </xf>
    <xf numFmtId="196" fontId="113" fillId="0" borderId="84" xfId="0" applyNumberFormat="1" applyFont="1" applyBorder="1" applyAlignment="1">
      <alignment horizontal="center" vertical="center"/>
    </xf>
    <xf numFmtId="1" fontId="114" fillId="0" borderId="108" xfId="0" applyNumberFormat="1" applyFont="1" applyFill="1" applyBorder="1" applyAlignment="1">
      <alignment horizontal="center" vertical="center" shrinkToFit="1"/>
    </xf>
    <xf numFmtId="0" fontId="22" fillId="0" borderId="112" xfId="0" applyFont="1" applyFill="1" applyBorder="1" applyAlignment="1">
      <alignment horizontal="center" vertical="center" wrapText="1"/>
    </xf>
    <xf numFmtId="0" fontId="0" fillId="0" borderId="93" xfId="0" applyFill="1" applyBorder="1" applyAlignment="1">
      <alignment horizontal="left" vertical="center" wrapText="1"/>
    </xf>
    <xf numFmtId="0" fontId="0" fillId="0" borderId="67" xfId="0" applyFill="1" applyBorder="1" applyAlignment="1">
      <alignment horizontal="left" vertical="center" wrapText="1"/>
    </xf>
    <xf numFmtId="0" fontId="47" fillId="35" borderId="11" xfId="0" applyFont="1" applyFill="1" applyBorder="1" applyAlignment="1">
      <alignment horizontal="center" vertical="center" wrapText="1"/>
    </xf>
    <xf numFmtId="0" fontId="47" fillId="35" borderId="14" xfId="0" applyFont="1" applyFill="1" applyBorder="1" applyAlignment="1">
      <alignment horizontal="center" vertical="center" wrapText="1"/>
    </xf>
    <xf numFmtId="2" fontId="43" fillId="0" borderId="0" xfId="0" applyNumberFormat="1" applyFont="1" applyAlignment="1">
      <alignment vertical="center"/>
    </xf>
    <xf numFmtId="0" fontId="43" fillId="40" borderId="0" xfId="0" applyFont="1" applyFill="1" applyBorder="1" applyAlignment="1">
      <alignment horizontal="center" vertical="center" wrapText="1"/>
    </xf>
    <xf numFmtId="0" fontId="47" fillId="35" borderId="21" xfId="0" applyFont="1" applyFill="1" applyBorder="1" applyAlignment="1">
      <alignment horizontal="right" vertical="center" wrapText="1"/>
    </xf>
    <xf numFmtId="0" fontId="47" fillId="35" borderId="13" xfId="0" applyFont="1" applyFill="1" applyBorder="1" applyAlignment="1">
      <alignment horizontal="right" vertical="center" wrapText="1"/>
    </xf>
    <xf numFmtId="0" fontId="47" fillId="35" borderId="22" xfId="0" applyFont="1" applyFill="1" applyBorder="1" applyAlignment="1">
      <alignment horizontal="right" vertical="center" wrapText="1"/>
    </xf>
    <xf numFmtId="0" fontId="47" fillId="35" borderId="13" xfId="0" applyFont="1" applyFill="1" applyBorder="1" applyAlignment="1">
      <alignment horizontal="center" vertical="center" wrapText="1"/>
    </xf>
    <xf numFmtId="0" fontId="47" fillId="35" borderId="76" xfId="0" applyFont="1" applyFill="1" applyBorder="1" applyAlignment="1">
      <alignment horizontal="center" vertical="center" wrapText="1"/>
    </xf>
    <xf numFmtId="0" fontId="47" fillId="35" borderId="12" xfId="0" applyFont="1" applyFill="1" applyBorder="1" applyAlignment="1">
      <alignment horizontal="center" vertical="center" wrapText="1"/>
    </xf>
    <xf numFmtId="0" fontId="47" fillId="35" borderId="21" xfId="0" applyFont="1" applyFill="1" applyBorder="1" applyAlignment="1">
      <alignment horizontal="right" vertical="center"/>
    </xf>
    <xf numFmtId="0" fontId="47" fillId="35" borderId="13" xfId="0" applyFont="1" applyFill="1" applyBorder="1" applyAlignment="1">
      <alignment horizontal="right" vertical="center"/>
    </xf>
    <xf numFmtId="0" fontId="47" fillId="35" borderId="22" xfId="0" applyFont="1" applyFill="1" applyBorder="1" applyAlignment="1">
      <alignment horizontal="right" vertical="center"/>
    </xf>
    <xf numFmtId="0" fontId="54" fillId="37" borderId="18" xfId="0" applyFont="1" applyFill="1" applyBorder="1" applyAlignment="1">
      <alignment horizontal="center" vertical="center" wrapText="1"/>
    </xf>
    <xf numFmtId="0" fontId="54" fillId="37" borderId="19" xfId="0" applyFont="1" applyFill="1" applyBorder="1" applyAlignment="1">
      <alignment horizontal="center" vertical="center" wrapText="1"/>
    </xf>
    <xf numFmtId="0" fontId="54" fillId="37" borderId="20" xfId="0" applyFont="1" applyFill="1" applyBorder="1" applyAlignment="1">
      <alignment horizontal="center" vertical="center" wrapText="1"/>
    </xf>
    <xf numFmtId="0" fontId="45" fillId="37" borderId="45"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46" xfId="0" applyFont="1" applyFill="1" applyBorder="1" applyAlignment="1">
      <alignment horizontal="center" vertical="center" wrapText="1"/>
    </xf>
    <xf numFmtId="0" fontId="43" fillId="8" borderId="53" xfId="0" applyFont="1" applyFill="1" applyBorder="1" applyAlignment="1">
      <alignment horizontal="center" vertical="center" wrapText="1"/>
    </xf>
    <xf numFmtId="0" fontId="43" fillId="8" borderId="90" xfId="0" applyFont="1" applyFill="1" applyBorder="1" applyAlignment="1">
      <alignment horizontal="center" vertical="center" wrapText="1"/>
    </xf>
    <xf numFmtId="0" fontId="43" fillId="8" borderId="91" xfId="0" applyFont="1" applyFill="1" applyBorder="1" applyAlignment="1">
      <alignment horizontal="center" vertical="center" wrapText="1"/>
    </xf>
    <xf numFmtId="0" fontId="47" fillId="35" borderId="13" xfId="0" applyFont="1" applyFill="1" applyBorder="1" applyAlignment="1">
      <alignment horizontal="center" vertical="center"/>
    </xf>
    <xf numFmtId="0" fontId="47" fillId="35" borderId="76" xfId="0" applyFont="1" applyFill="1" applyBorder="1" applyAlignment="1">
      <alignment horizontal="center" vertical="center"/>
    </xf>
    <xf numFmtId="0" fontId="24" fillId="8" borderId="85" xfId="0" applyFont="1" applyFill="1" applyBorder="1" applyAlignment="1">
      <alignment horizontal="center" vertical="center" wrapText="1"/>
    </xf>
    <xf numFmtId="0" fontId="24" fillId="8" borderId="89" xfId="0" applyFont="1" applyFill="1" applyBorder="1" applyAlignment="1">
      <alignment horizontal="center" vertical="center" wrapText="1"/>
    </xf>
    <xf numFmtId="0" fontId="24" fillId="8" borderId="113" xfId="0" applyFont="1" applyFill="1" applyBorder="1" applyAlignment="1">
      <alignment horizontal="center" vertical="center" wrapText="1"/>
    </xf>
    <xf numFmtId="0" fontId="47" fillId="35" borderId="70" xfId="0" applyFont="1" applyFill="1" applyBorder="1" applyAlignment="1">
      <alignment horizontal="center" vertical="center" wrapText="1"/>
    </xf>
    <xf numFmtId="0" fontId="47" fillId="35" borderId="58" xfId="0" applyFont="1" applyFill="1" applyBorder="1" applyAlignment="1">
      <alignment horizontal="center" vertical="center" wrapText="1"/>
    </xf>
    <xf numFmtId="0" fontId="47" fillId="35" borderId="84" xfId="0" applyFont="1" applyFill="1" applyBorder="1" applyAlignment="1">
      <alignment horizontal="center" vertical="center" wrapText="1"/>
    </xf>
    <xf numFmtId="0" fontId="47" fillId="35" borderId="77" xfId="0" applyFont="1" applyFill="1" applyBorder="1" applyAlignment="1">
      <alignment horizontal="center" vertical="center" wrapText="1"/>
    </xf>
    <xf numFmtId="0" fontId="115" fillId="37" borderId="53" xfId="0" applyFont="1" applyFill="1" applyBorder="1" applyAlignment="1">
      <alignment horizontal="center" vertical="center" wrapText="1"/>
    </xf>
    <xf numFmtId="0" fontId="115" fillId="37" borderId="90" xfId="0" applyFont="1" applyFill="1" applyBorder="1" applyAlignment="1">
      <alignment horizontal="center" vertical="center" wrapText="1"/>
    </xf>
    <xf numFmtId="0" fontId="115" fillId="37" borderId="91" xfId="0" applyFont="1" applyFill="1" applyBorder="1" applyAlignment="1">
      <alignment horizontal="center" vertical="center" wrapText="1"/>
    </xf>
    <xf numFmtId="0" fontId="22" fillId="0" borderId="0" xfId="0" applyFont="1" applyAlignment="1">
      <alignment horizontal="center" vertical="center"/>
    </xf>
    <xf numFmtId="0" fontId="43" fillId="8" borderId="63" xfId="0" applyFont="1" applyFill="1" applyBorder="1" applyAlignment="1">
      <alignment horizontal="right" vertical="center"/>
    </xf>
    <xf numFmtId="0" fontId="43" fillId="8" borderId="64" xfId="0" applyFont="1" applyFill="1" applyBorder="1" applyAlignment="1">
      <alignment horizontal="right" vertical="center"/>
    </xf>
    <xf numFmtId="0" fontId="43" fillId="8" borderId="51" xfId="0" applyFont="1" applyFill="1" applyBorder="1" applyAlignment="1">
      <alignment horizontal="right" vertical="center"/>
    </xf>
    <xf numFmtId="0" fontId="113" fillId="0" borderId="114" xfId="0" applyFont="1" applyBorder="1" applyAlignment="1">
      <alignment horizontal="center" vertical="center"/>
    </xf>
    <xf numFmtId="196" fontId="116" fillId="36" borderId="114" xfId="0" applyNumberFormat="1" applyFont="1" applyFill="1" applyBorder="1" applyAlignment="1">
      <alignment horizontal="center" vertical="center"/>
    </xf>
    <xf numFmtId="0" fontId="116" fillId="36" borderId="115" xfId="0" applyFont="1" applyFill="1" applyBorder="1" applyAlignment="1">
      <alignment horizontal="center" vertical="center"/>
    </xf>
    <xf numFmtId="0" fontId="0" fillId="0" borderId="116" xfId="0" applyFont="1" applyFill="1" applyBorder="1" applyAlignment="1">
      <alignment horizontal="center" vertical="center" textRotation="90" wrapText="1"/>
    </xf>
    <xf numFmtId="0" fontId="0" fillId="0" borderId="117" xfId="0" applyFont="1" applyFill="1" applyBorder="1" applyAlignment="1">
      <alignment horizontal="center" vertical="center" textRotation="90" wrapText="1"/>
    </xf>
    <xf numFmtId="0" fontId="25" fillId="0" borderId="88" xfId="0" applyFont="1" applyFill="1" applyBorder="1" applyAlignment="1">
      <alignment horizontal="center" vertical="top" wrapText="1"/>
    </xf>
    <xf numFmtId="0" fontId="25" fillId="0" borderId="89" xfId="0" applyFont="1" applyFill="1" applyBorder="1" applyAlignment="1">
      <alignment horizontal="center" vertical="top" wrapText="1"/>
    </xf>
    <xf numFmtId="0" fontId="25" fillId="0" borderId="94" xfId="0" applyFont="1" applyFill="1" applyBorder="1" applyAlignment="1">
      <alignment horizontal="center" vertical="top" wrapText="1"/>
    </xf>
    <xf numFmtId="0" fontId="24" fillId="0" borderId="67" xfId="0" applyFont="1" applyFill="1" applyBorder="1" applyAlignment="1">
      <alignment horizontal="center" vertical="top" wrapText="1"/>
    </xf>
    <xf numFmtId="0" fontId="24" fillId="0" borderId="100" xfId="0" applyFont="1" applyFill="1" applyBorder="1" applyAlignment="1">
      <alignment horizontal="center" vertical="top" wrapText="1"/>
    </xf>
    <xf numFmtId="0" fontId="0" fillId="0" borderId="14" xfId="0" applyBorder="1" applyAlignment="1">
      <alignment horizontal="center" vertical="center"/>
    </xf>
    <xf numFmtId="0" fontId="0" fillId="0" borderId="72" xfId="0" applyBorder="1" applyAlignment="1">
      <alignment horizontal="center" vertical="center"/>
    </xf>
    <xf numFmtId="0" fontId="117" fillId="0" borderId="11" xfId="0" applyFont="1" applyBorder="1" applyAlignment="1">
      <alignment horizontal="center" vertical="center" textRotation="90"/>
    </xf>
    <xf numFmtId="0" fontId="117" fillId="0" borderId="84" xfId="0" applyFont="1" applyBorder="1" applyAlignment="1">
      <alignment horizontal="center" vertical="center" textRotation="90"/>
    </xf>
    <xf numFmtId="0" fontId="117" fillId="0" borderId="11" xfId="0" applyFont="1" applyBorder="1" applyAlignment="1">
      <alignment horizontal="center" vertical="center" textRotation="90" wrapText="1"/>
    </xf>
    <xf numFmtId="0" fontId="117" fillId="0" borderId="84" xfId="0" applyFont="1" applyBorder="1" applyAlignment="1">
      <alignment horizontal="center" vertical="center" textRotation="90" wrapText="1"/>
    </xf>
    <xf numFmtId="0" fontId="0" fillId="0" borderId="11" xfId="0" applyBorder="1" applyAlignment="1">
      <alignment horizontal="center"/>
    </xf>
    <xf numFmtId="0" fontId="0" fillId="0" borderId="84" xfId="0" applyBorder="1" applyAlignment="1">
      <alignment horizontal="center"/>
    </xf>
    <xf numFmtId="0" fontId="117" fillId="36" borderId="11" xfId="0" applyFont="1" applyFill="1" applyBorder="1" applyAlignment="1">
      <alignment horizontal="center" vertical="center" textRotation="90"/>
    </xf>
    <xf numFmtId="0" fontId="117" fillId="36" borderId="84" xfId="0" applyFont="1" applyFill="1" applyBorder="1" applyAlignment="1">
      <alignment horizontal="center" vertical="center" textRotation="90"/>
    </xf>
    <xf numFmtId="0" fontId="117" fillId="0" borderId="92" xfId="0" applyFont="1" applyBorder="1" applyAlignment="1">
      <alignment horizontal="center" vertical="center" textRotation="90" wrapText="1"/>
    </xf>
    <xf numFmtId="0" fontId="117" fillId="0" borderId="118" xfId="0" applyFont="1" applyBorder="1" applyAlignment="1">
      <alignment horizontal="center" vertical="center" textRotation="90" wrapText="1"/>
    </xf>
    <xf numFmtId="0" fontId="118" fillId="0" borderId="73" xfId="0" applyFont="1" applyBorder="1" applyAlignment="1">
      <alignment horizontal="center"/>
    </xf>
    <xf numFmtId="0" fontId="118" fillId="0" borderId="74" xfId="0" applyFont="1" applyBorder="1" applyAlignment="1">
      <alignment horizontal="center"/>
    </xf>
    <xf numFmtId="0" fontId="118" fillId="0" borderId="75" xfId="0" applyFont="1" applyBorder="1" applyAlignment="1">
      <alignment horizontal="center"/>
    </xf>
    <xf numFmtId="0" fontId="23" fillId="0" borderId="119" xfId="0" applyFont="1" applyFill="1" applyBorder="1" applyAlignment="1">
      <alignment horizontal="center" vertical="top" wrapText="1"/>
    </xf>
    <xf numFmtId="0" fontId="23" fillId="0" borderId="120" xfId="0" applyFont="1" applyFill="1" applyBorder="1" applyAlignment="1">
      <alignment horizontal="center" vertical="top" wrapText="1"/>
    </xf>
    <xf numFmtId="0" fontId="23" fillId="0" borderId="121" xfId="0" applyFont="1" applyFill="1" applyBorder="1" applyAlignment="1">
      <alignment horizontal="center" vertical="top" wrapText="1"/>
    </xf>
    <xf numFmtId="187" fontId="119" fillId="51" borderId="119" xfId="0" applyNumberFormat="1" applyFont="1" applyFill="1" applyBorder="1" applyAlignment="1">
      <alignment horizontal="center" vertical="top" shrinkToFit="1"/>
    </xf>
    <xf numFmtId="187" fontId="119" fillId="51" borderId="121" xfId="0" applyNumberFormat="1" applyFont="1" applyFill="1" applyBorder="1" applyAlignment="1">
      <alignment horizontal="center" vertical="top" shrinkToFit="1"/>
    </xf>
    <xf numFmtId="0" fontId="22" fillId="0" borderId="122" xfId="0" applyFont="1" applyFill="1" applyBorder="1" applyAlignment="1">
      <alignment horizontal="left" vertical="center" wrapText="1" indent="1"/>
    </xf>
    <xf numFmtId="0" fontId="22" fillId="0" borderId="112" xfId="0" applyFont="1" applyFill="1" applyBorder="1" applyAlignment="1">
      <alignment horizontal="left" vertical="center" wrapText="1" indent="1"/>
    </xf>
    <xf numFmtId="0" fontId="22" fillId="0" borderId="122" xfId="0" applyFont="1" applyFill="1" applyBorder="1" applyAlignment="1">
      <alignment horizontal="left" vertical="center" wrapText="1"/>
    </xf>
    <xf numFmtId="0" fontId="22" fillId="0" borderId="112" xfId="0" applyFont="1" applyFill="1" applyBorder="1" applyAlignment="1">
      <alignment horizontal="left" vertical="center" wrapText="1"/>
    </xf>
    <xf numFmtId="0" fontId="0" fillId="51" borderId="116" xfId="0" applyFont="1" applyFill="1" applyBorder="1" applyAlignment="1">
      <alignment horizontal="left" vertical="top" wrapText="1"/>
    </xf>
    <xf numFmtId="0" fontId="0" fillId="51" borderId="117" xfId="0" applyFont="1" applyFill="1" applyBorder="1" applyAlignment="1">
      <alignment horizontal="left" vertical="top" wrapText="1"/>
    </xf>
    <xf numFmtId="0" fontId="0" fillId="0" borderId="123" xfId="0" applyFont="1" applyFill="1" applyBorder="1" applyAlignment="1">
      <alignment horizontal="center" vertical="center" textRotation="90" wrapText="1"/>
    </xf>
    <xf numFmtId="0" fontId="0" fillId="0" borderId="124" xfId="0" applyFont="1" applyFill="1" applyBorder="1" applyAlignment="1">
      <alignment horizontal="center" vertical="center" textRotation="90" wrapText="1"/>
    </xf>
    <xf numFmtId="0" fontId="57" fillId="11" borderId="82" xfId="0" applyFont="1" applyFill="1" applyBorder="1" applyAlignment="1">
      <alignment horizontal="center" vertical="center"/>
    </xf>
    <xf numFmtId="0" fontId="57" fillId="11" borderId="101" xfId="0" applyFont="1" applyFill="1" applyBorder="1" applyAlignment="1">
      <alignment horizontal="center" vertical="center"/>
    </xf>
    <xf numFmtId="0" fontId="44" fillId="0" borderId="18" xfId="0" applyFont="1" applyBorder="1" applyAlignment="1">
      <alignment horizontal="center"/>
    </xf>
    <xf numFmtId="0" fontId="44" fillId="0" borderId="19" xfId="0" applyFont="1" applyBorder="1" applyAlignment="1">
      <alignment horizontal="center"/>
    </xf>
    <xf numFmtId="0" fontId="44" fillId="0" borderId="20" xfId="0" applyFont="1" applyBorder="1" applyAlignment="1">
      <alignment horizontal="center"/>
    </xf>
    <xf numFmtId="0" fontId="70" fillId="37" borderId="45" xfId="0" applyFont="1" applyFill="1" applyBorder="1" applyAlignment="1">
      <alignment horizontal="center" vertical="center" wrapText="1"/>
    </xf>
    <xf numFmtId="0" fontId="70" fillId="37" borderId="0" xfId="0" applyFont="1" applyFill="1" applyBorder="1" applyAlignment="1">
      <alignment horizontal="center" vertical="center" wrapText="1"/>
    </xf>
    <xf numFmtId="0" fontId="70" fillId="37" borderId="46" xfId="0" applyFont="1" applyFill="1" applyBorder="1" applyAlignment="1">
      <alignment horizontal="center" vertical="center" wrapText="1"/>
    </xf>
    <xf numFmtId="0" fontId="44" fillId="37" borderId="45"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46" xfId="0" applyFont="1" applyFill="1" applyBorder="1" applyAlignment="1">
      <alignment horizontal="center" vertical="center" wrapText="1"/>
    </xf>
    <xf numFmtId="0" fontId="57" fillId="2" borderId="53" xfId="0" applyFont="1" applyFill="1" applyBorder="1" applyAlignment="1">
      <alignment horizontal="center" vertical="center" wrapText="1"/>
    </xf>
    <xf numFmtId="0" fontId="57" fillId="2" borderId="90" xfId="0" applyFont="1" applyFill="1" applyBorder="1" applyAlignment="1">
      <alignment horizontal="center" vertical="center" wrapText="1"/>
    </xf>
    <xf numFmtId="0" fontId="57" fillId="2" borderId="125" xfId="0" applyFont="1" applyFill="1" applyBorder="1" applyAlignment="1">
      <alignment horizontal="center" vertical="center" wrapText="1"/>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9"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52" fillId="0" borderId="86" xfId="0" applyFont="1" applyBorder="1" applyAlignment="1">
      <alignment horizontal="center" vertical="center"/>
    </xf>
    <xf numFmtId="0" fontId="52" fillId="0" borderId="11" xfId="0" applyFont="1" applyBorder="1" applyAlignment="1">
      <alignment horizontal="center" vertical="center"/>
    </xf>
    <xf numFmtId="0" fontId="52" fillId="0" borderId="94" xfId="0" applyFont="1" applyBorder="1" applyAlignment="1">
      <alignment horizontal="center" vertical="center" wrapText="1"/>
    </xf>
    <xf numFmtId="0" fontId="52" fillId="0" borderId="22" xfId="0" applyFont="1" applyBorder="1" applyAlignment="1">
      <alignment horizontal="center" vertical="center" wrapText="1"/>
    </xf>
    <xf numFmtId="0" fontId="54" fillId="0" borderId="11" xfId="0" applyFont="1" applyBorder="1" applyAlignment="1">
      <alignment horizontal="center" vertical="center"/>
    </xf>
    <xf numFmtId="2" fontId="54" fillId="0" borderId="11" xfId="0" applyNumberFormat="1" applyFont="1" applyBorder="1" applyAlignment="1">
      <alignment horizontal="center" vertical="center" wrapText="1"/>
    </xf>
    <xf numFmtId="0" fontId="54" fillId="11" borderId="11" xfId="0" applyFont="1" applyFill="1" applyBorder="1" applyAlignment="1">
      <alignment horizontal="center" vertical="center"/>
    </xf>
    <xf numFmtId="0" fontId="54" fillId="0" borderId="73" xfId="0" applyFont="1" applyFill="1" applyBorder="1" applyAlignment="1">
      <alignment horizontal="center" vertical="center"/>
    </xf>
    <xf numFmtId="0" fontId="54" fillId="0" borderId="74" xfId="0" applyFont="1" applyFill="1" applyBorder="1" applyAlignment="1">
      <alignment horizontal="center" vertical="center"/>
    </xf>
    <xf numFmtId="0" fontId="54" fillId="5" borderId="86" xfId="0" applyFont="1" applyFill="1" applyBorder="1" applyAlignment="1">
      <alignment horizontal="center" vertical="center"/>
    </xf>
    <xf numFmtId="0" fontId="54" fillId="5" borderId="11" xfId="0" applyFont="1" applyFill="1" applyBorder="1" applyAlignment="1">
      <alignment horizontal="center" vertical="center"/>
    </xf>
    <xf numFmtId="0" fontId="54" fillId="5" borderId="86"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74" fillId="5" borderId="126" xfId="0" applyFont="1" applyFill="1" applyBorder="1" applyAlignment="1">
      <alignment horizontal="center" vertical="center"/>
    </xf>
    <xf numFmtId="0" fontId="74" fillId="5" borderId="10" xfId="0" applyFont="1" applyFill="1" applyBorder="1" applyAlignment="1">
      <alignment horizontal="center" vertical="center"/>
    </xf>
    <xf numFmtId="0" fontId="74" fillId="5" borderId="15" xfId="0" applyFont="1" applyFill="1" applyBorder="1" applyAlignment="1">
      <alignment horizontal="center" vertical="center"/>
    </xf>
    <xf numFmtId="0" fontId="55" fillId="0" borderId="45" xfId="0" applyFont="1" applyBorder="1" applyAlignment="1">
      <alignment horizontal="center" vertical="top"/>
    </xf>
    <xf numFmtId="0" fontId="55" fillId="0" borderId="0" xfId="0" applyFont="1" applyBorder="1" applyAlignment="1">
      <alignment horizontal="center" vertical="top"/>
    </xf>
    <xf numFmtId="0" fontId="55" fillId="0" borderId="46" xfId="0" applyFont="1" applyBorder="1" applyAlignment="1">
      <alignment horizontal="center" vertical="top"/>
    </xf>
    <xf numFmtId="0" fontId="54" fillId="5" borderId="111" xfId="0" applyFont="1" applyFill="1" applyBorder="1" applyAlignment="1">
      <alignment horizontal="center" vertical="center"/>
    </xf>
    <xf numFmtId="0" fontId="54" fillId="5" borderId="14" xfId="0" applyFont="1" applyFill="1" applyBorder="1" applyAlignment="1">
      <alignment horizontal="center" vertical="center"/>
    </xf>
    <xf numFmtId="0" fontId="74" fillId="5" borderId="86" xfId="0" applyFont="1" applyFill="1" applyBorder="1" applyAlignment="1">
      <alignment horizontal="center" vertical="center"/>
    </xf>
    <xf numFmtId="0" fontId="74" fillId="5" borderId="11" xfId="0" applyFont="1" applyFill="1" applyBorder="1" applyAlignment="1">
      <alignment horizontal="center" vertical="center"/>
    </xf>
    <xf numFmtId="0" fontId="74" fillId="5" borderId="16" xfId="0" applyFont="1" applyFill="1" applyBorder="1" applyAlignment="1">
      <alignment horizontal="center" vertical="center"/>
    </xf>
    <xf numFmtId="0" fontId="54" fillId="5" borderId="18" xfId="0" applyFont="1" applyFill="1" applyBorder="1" applyAlignment="1">
      <alignment horizontal="center" vertical="center"/>
    </xf>
    <xf numFmtId="0" fontId="54" fillId="5" borderId="19" xfId="0" applyFont="1" applyFill="1" applyBorder="1" applyAlignment="1">
      <alignment horizontal="center" vertical="center"/>
    </xf>
    <xf numFmtId="0" fontId="54" fillId="5" borderId="20" xfId="0" applyFont="1" applyFill="1" applyBorder="1" applyAlignment="1">
      <alignment horizontal="center" vertical="center"/>
    </xf>
    <xf numFmtId="0" fontId="54" fillId="5" borderId="59" xfId="0" applyFont="1" applyFill="1" applyBorder="1" applyAlignment="1">
      <alignment horizontal="center" vertical="center"/>
    </xf>
    <xf numFmtId="0" fontId="54" fillId="5" borderId="12" xfId="0" applyFont="1" applyFill="1" applyBorder="1" applyAlignment="1">
      <alignment horizontal="center" vertical="center"/>
    </xf>
    <xf numFmtId="0" fontId="54" fillId="37" borderId="45" xfId="0" applyFont="1" applyFill="1" applyBorder="1" applyAlignment="1">
      <alignment horizontal="center"/>
    </xf>
    <xf numFmtId="0" fontId="54" fillId="37" borderId="0" xfId="0" applyFont="1" applyFill="1" applyBorder="1" applyAlignment="1">
      <alignment horizontal="center"/>
    </xf>
    <xf numFmtId="0" fontId="54" fillId="37" borderId="46" xfId="0" applyFont="1" applyFill="1" applyBorder="1" applyAlignment="1">
      <alignment horizontal="center"/>
    </xf>
    <xf numFmtId="167" fontId="54" fillId="2" borderId="53" xfId="60" applyNumberFormat="1" applyFont="1" applyFill="1" applyBorder="1" applyAlignment="1">
      <alignment horizontal="center" vertical="center" wrapText="1"/>
      <protection/>
    </xf>
    <xf numFmtId="167" fontId="54" fillId="2" borderId="90" xfId="60" applyNumberFormat="1" applyFont="1" applyFill="1" applyBorder="1" applyAlignment="1">
      <alignment horizontal="center" vertical="center" wrapText="1"/>
      <protection/>
    </xf>
    <xf numFmtId="167" fontId="54" fillId="2" borderId="91" xfId="60" applyNumberFormat="1" applyFont="1" applyFill="1" applyBorder="1" applyAlignment="1">
      <alignment horizontal="center" vertical="center" wrapText="1"/>
      <protection/>
    </xf>
    <xf numFmtId="14" fontId="54" fillId="2" borderId="73" xfId="53" applyNumberFormat="1" applyFont="1" applyFill="1" applyBorder="1" applyAlignment="1">
      <alignment horizontal="center" vertical="center"/>
      <protection/>
    </xf>
    <xf numFmtId="14" fontId="54" fillId="2" borderId="74" xfId="53" applyNumberFormat="1" applyFont="1" applyFill="1" applyBorder="1" applyAlignment="1">
      <alignment horizontal="center" vertical="center"/>
      <protection/>
    </xf>
    <xf numFmtId="0" fontId="13" fillId="5" borderId="126" xfId="53" applyFont="1" applyFill="1" applyBorder="1" applyAlignment="1">
      <alignment horizontal="center" vertical="center"/>
      <protection/>
    </xf>
    <xf numFmtId="0" fontId="13" fillId="5" borderId="86" xfId="53" applyFont="1" applyFill="1" applyBorder="1" applyAlignment="1">
      <alignment horizontal="center" vertical="center"/>
      <protection/>
    </xf>
    <xf numFmtId="0" fontId="13" fillId="5" borderId="111" xfId="53" applyFont="1" applyFill="1" applyBorder="1" applyAlignment="1">
      <alignment horizontal="center" vertical="center"/>
      <protection/>
    </xf>
    <xf numFmtId="0" fontId="13" fillId="0" borderId="127" xfId="53" applyFont="1" applyFill="1" applyBorder="1" applyAlignment="1">
      <alignment horizontal="center" vertical="center"/>
      <protection/>
    </xf>
    <xf numFmtId="0" fontId="13" fillId="0" borderId="92" xfId="53" applyFont="1" applyFill="1" applyBorder="1" applyAlignment="1">
      <alignment horizontal="center" vertical="center"/>
      <protection/>
    </xf>
    <xf numFmtId="0" fontId="13" fillId="0" borderId="77" xfId="53" applyFont="1" applyFill="1" applyBorder="1" applyAlignment="1">
      <alignment horizontal="center" vertical="center"/>
      <protection/>
    </xf>
    <xf numFmtId="0" fontId="13" fillId="0" borderId="128" xfId="53" applyFont="1" applyFill="1" applyBorder="1" applyAlignment="1">
      <alignment horizontal="center" vertical="center" wrapText="1"/>
      <protection/>
    </xf>
    <xf numFmtId="0" fontId="13" fillId="0" borderId="129" xfId="53" applyFont="1" applyFill="1" applyBorder="1" applyAlignment="1">
      <alignment horizontal="center" vertical="center" wrapText="1"/>
      <protection/>
    </xf>
    <xf numFmtId="0" fontId="13" fillId="0" borderId="88" xfId="53" applyFont="1" applyFill="1" applyBorder="1" applyAlignment="1">
      <alignment horizontal="center" vertical="center" wrapText="1"/>
      <protection/>
    </xf>
    <xf numFmtId="0" fontId="54" fillId="0" borderId="53" xfId="53" applyFont="1" applyFill="1" applyBorder="1" applyAlignment="1">
      <alignment horizontal="center" vertical="center"/>
      <protection/>
    </xf>
    <xf numFmtId="0" fontId="54" fillId="0" borderId="90" xfId="53" applyFont="1" applyFill="1" applyBorder="1" applyAlignment="1">
      <alignment horizontal="center" vertical="center"/>
      <protection/>
    </xf>
    <xf numFmtId="0" fontId="54" fillId="0" borderId="91" xfId="53" applyFont="1" applyFill="1" applyBorder="1" applyAlignment="1">
      <alignment horizontal="center" vertical="center"/>
      <protection/>
    </xf>
    <xf numFmtId="0" fontId="54" fillId="0" borderId="70" xfId="53" applyFont="1" applyFill="1" applyBorder="1" applyAlignment="1">
      <alignment horizontal="center" vertical="center"/>
      <protection/>
    </xf>
    <xf numFmtId="0" fontId="54" fillId="0" borderId="47" xfId="53" applyFont="1" applyFill="1" applyBorder="1" applyAlignment="1">
      <alignment horizontal="center" vertical="center"/>
      <protection/>
    </xf>
    <xf numFmtId="0" fontId="54" fillId="0" borderId="84" xfId="53" applyFont="1" applyFill="1" applyBorder="1" applyAlignment="1">
      <alignment horizontal="center" vertical="center"/>
      <protection/>
    </xf>
    <xf numFmtId="0" fontId="54" fillId="0" borderId="48" xfId="53" applyFont="1" applyFill="1" applyBorder="1" applyAlignment="1">
      <alignment horizontal="center" vertical="center"/>
      <protection/>
    </xf>
    <xf numFmtId="0" fontId="75" fillId="37" borderId="45" xfId="0" applyFont="1" applyFill="1" applyBorder="1" applyAlignment="1">
      <alignment horizontal="center" vertical="center" wrapText="1"/>
    </xf>
    <xf numFmtId="0" fontId="75" fillId="37" borderId="0" xfId="0" applyFont="1" applyFill="1" applyBorder="1" applyAlignment="1">
      <alignment horizontal="center" vertical="center" wrapText="1"/>
    </xf>
    <xf numFmtId="0" fontId="75" fillId="37" borderId="46" xfId="0" applyFont="1" applyFill="1" applyBorder="1" applyAlignment="1">
      <alignment horizontal="center" vertical="center" wrapText="1"/>
    </xf>
    <xf numFmtId="0" fontId="56" fillId="37" borderId="45" xfId="0" applyFont="1" applyFill="1" applyBorder="1" applyAlignment="1">
      <alignment horizontal="center" vertical="center" wrapText="1"/>
    </xf>
    <xf numFmtId="0" fontId="56" fillId="37" borderId="0" xfId="0" applyFont="1" applyFill="1" applyBorder="1" applyAlignment="1">
      <alignment horizontal="center" vertical="center" wrapText="1"/>
    </xf>
    <xf numFmtId="0" fontId="56" fillId="37" borderId="46" xfId="0" applyFont="1" applyFill="1" applyBorder="1" applyAlignment="1">
      <alignment horizontal="center" vertical="center" wrapText="1"/>
    </xf>
    <xf numFmtId="0" fontId="75" fillId="2" borderId="73" xfId="0" applyFont="1" applyFill="1" applyBorder="1" applyAlignment="1">
      <alignment horizontal="center" vertical="center"/>
    </xf>
    <xf numFmtId="0" fontId="75" fillId="2" borderId="74" xfId="0" applyFont="1" applyFill="1" applyBorder="1" applyAlignment="1">
      <alignment horizontal="center" vertical="center"/>
    </xf>
    <xf numFmtId="0" fontId="75" fillId="2" borderId="75"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46" xfId="0" applyFont="1" applyFill="1" applyBorder="1" applyAlignment="1">
      <alignment horizontal="center" vertical="center"/>
    </xf>
    <xf numFmtId="0" fontId="13" fillId="0" borderId="18" xfId="53" applyFont="1" applyFill="1" applyBorder="1" applyAlignment="1">
      <alignment horizontal="center" vertical="center" wrapText="1"/>
      <protection/>
    </xf>
    <xf numFmtId="0" fontId="13" fillId="0" borderId="19" xfId="53" applyFont="1" applyFill="1" applyBorder="1" applyAlignment="1">
      <alignment horizontal="center" vertical="center" wrapText="1"/>
      <protection/>
    </xf>
    <xf numFmtId="0" fontId="13" fillId="0" borderId="45" xfId="53" applyFont="1" applyFill="1" applyBorder="1" applyAlignment="1">
      <alignment horizontal="center" vertical="center" wrapText="1"/>
      <protection/>
    </xf>
    <xf numFmtId="0" fontId="13" fillId="0" borderId="0" xfId="53" applyFont="1" applyFill="1" applyBorder="1" applyAlignment="1">
      <alignment horizontal="center" vertical="center" wrapText="1"/>
      <protection/>
    </xf>
    <xf numFmtId="0" fontId="13" fillId="5" borderId="61" xfId="53" applyFont="1" applyFill="1" applyBorder="1" applyAlignment="1">
      <alignment horizontal="center" vertical="center"/>
      <protection/>
    </xf>
    <xf numFmtId="0" fontId="23" fillId="0" borderId="10" xfId="0" applyFont="1" applyBorder="1" applyAlignment="1">
      <alignment horizontal="center" vertical="center"/>
    </xf>
    <xf numFmtId="0" fontId="23" fillId="0" borderId="11" xfId="0" applyFont="1" applyBorder="1" applyAlignment="1">
      <alignment horizontal="justify" vertical="center" wrapText="1"/>
    </xf>
    <xf numFmtId="10" fontId="23" fillId="0" borderId="11" xfId="68" applyNumberFormat="1" applyFont="1" applyFill="1" applyBorder="1" applyAlignment="1" applyProtection="1">
      <alignment horizontal="center" vertical="center"/>
      <protection/>
    </xf>
    <xf numFmtId="191" fontId="23" fillId="0" borderId="14" xfId="77" applyFont="1" applyFill="1" applyBorder="1" applyAlignment="1" applyProtection="1">
      <alignment horizontal="center" vertical="center"/>
      <protection/>
    </xf>
    <xf numFmtId="0" fontId="23" fillId="2" borderId="22" xfId="0" applyFont="1" applyFill="1" applyBorder="1" applyAlignment="1">
      <alignment horizontal="center"/>
    </xf>
    <xf numFmtId="0" fontId="23" fillId="2" borderId="14" xfId="0" applyFont="1" applyFill="1" applyBorder="1" applyAlignment="1">
      <alignment horizontal="center"/>
    </xf>
    <xf numFmtId="0" fontId="23" fillId="0" borderId="126" xfId="0" applyFont="1" applyBorder="1" applyAlignment="1">
      <alignment horizontal="center" vertical="center"/>
    </xf>
    <xf numFmtId="0" fontId="23" fillId="0" borderId="86" xfId="0" applyFont="1" applyBorder="1" applyAlignment="1">
      <alignment horizontal="center" vertical="center"/>
    </xf>
    <xf numFmtId="0" fontId="23" fillId="0" borderId="11" xfId="0" applyFont="1" applyBorder="1" applyAlignment="1">
      <alignment horizontal="center" vertical="center"/>
    </xf>
    <xf numFmtId="0" fontId="23" fillId="0" borderId="111" xfId="0" applyFont="1" applyBorder="1" applyAlignment="1">
      <alignment horizontal="center" vertical="justify"/>
    </xf>
    <xf numFmtId="0" fontId="23" fillId="0" borderId="14" xfId="0" applyFont="1" applyBorder="1" applyAlignment="1">
      <alignment horizontal="center" vertical="justify"/>
    </xf>
    <xf numFmtId="0" fontId="23" fillId="2" borderId="10" xfId="0" applyFont="1" applyFill="1" applyBorder="1" applyAlignment="1">
      <alignment horizontal="center"/>
    </xf>
    <xf numFmtId="0" fontId="23" fillId="2" borderId="12" xfId="0" applyFont="1" applyFill="1" applyBorder="1" applyAlignment="1">
      <alignment horizontal="center"/>
    </xf>
    <xf numFmtId="0" fontId="47" fillId="37" borderId="45" xfId="0" applyFont="1" applyFill="1" applyBorder="1" applyAlignment="1">
      <alignment horizontal="center" vertical="center"/>
    </xf>
    <xf numFmtId="0" fontId="47" fillId="37" borderId="0" xfId="0" applyFont="1" applyFill="1" applyBorder="1" applyAlignment="1">
      <alignment horizontal="center" vertical="center"/>
    </xf>
    <xf numFmtId="0" fontId="47" fillId="37" borderId="46" xfId="0" applyFont="1" applyFill="1" applyBorder="1" applyAlignment="1">
      <alignment horizontal="center" vertical="center"/>
    </xf>
    <xf numFmtId="0" fontId="47" fillId="37" borderId="53" xfId="0" applyFont="1" applyFill="1" applyBorder="1" applyAlignment="1">
      <alignment horizontal="center" vertical="center"/>
    </xf>
    <xf numFmtId="0" fontId="47" fillId="37" borderId="90" xfId="0" applyFont="1" applyFill="1" applyBorder="1" applyAlignment="1">
      <alignment horizontal="center" vertical="center"/>
    </xf>
    <xf numFmtId="0" fontId="47" fillId="37" borderId="91" xfId="0" applyFont="1" applyFill="1" applyBorder="1" applyAlignment="1">
      <alignment horizontal="center" vertical="center"/>
    </xf>
    <xf numFmtId="49" fontId="24" fillId="8" borderId="130" xfId="0" applyNumberFormat="1" applyFont="1" applyFill="1" applyBorder="1" applyAlignment="1">
      <alignment horizontal="center" vertical="center"/>
    </xf>
    <xf numFmtId="49" fontId="24" fillId="8" borderId="131" xfId="0" applyNumberFormat="1" applyFont="1" applyFill="1" applyBorder="1" applyAlignment="1">
      <alignment horizontal="center" vertical="center"/>
    </xf>
    <xf numFmtId="49" fontId="24" fillId="8" borderId="132" xfId="0" applyNumberFormat="1" applyFont="1" applyFill="1" applyBorder="1" applyAlignment="1">
      <alignment horizontal="center" vertical="center"/>
    </xf>
    <xf numFmtId="0" fontId="23" fillId="0" borderId="133" xfId="0" applyFont="1" applyBorder="1" applyAlignment="1">
      <alignment horizontal="center" vertical="center" wrapText="1"/>
    </xf>
    <xf numFmtId="0" fontId="23" fillId="0" borderId="134" xfId="0" applyFont="1" applyBorder="1" applyAlignment="1">
      <alignment horizontal="center" vertical="center" wrapText="1"/>
    </xf>
    <xf numFmtId="0" fontId="23" fillId="0" borderId="135" xfId="0" applyFont="1" applyBorder="1" applyAlignment="1">
      <alignment horizontal="center" vertical="center" wrapText="1"/>
    </xf>
    <xf numFmtId="0" fontId="23" fillId="2" borderId="65" xfId="0" applyFont="1" applyFill="1" applyBorder="1" applyAlignment="1">
      <alignment horizontal="center" vertical="center"/>
    </xf>
    <xf numFmtId="0" fontId="23" fillId="2" borderId="60" xfId="0" applyFont="1" applyFill="1" applyBorder="1" applyAlignment="1">
      <alignment horizontal="center" vertical="center"/>
    </xf>
    <xf numFmtId="0" fontId="23" fillId="2" borderId="19" xfId="0" applyFont="1" applyFill="1" applyBorder="1" applyAlignment="1">
      <alignment horizontal="center" vertical="center"/>
    </xf>
    <xf numFmtId="0" fontId="23" fillId="0" borderId="15" xfId="0" applyFont="1" applyBorder="1" applyAlignment="1">
      <alignment horizontal="center" vertical="center"/>
    </xf>
    <xf numFmtId="10" fontId="23" fillId="0" borderId="16" xfId="68" applyNumberFormat="1" applyFont="1" applyFill="1" applyBorder="1" applyAlignment="1" applyProtection="1">
      <alignment horizontal="center" vertical="center"/>
      <protection/>
    </xf>
    <xf numFmtId="191" fontId="23" fillId="0" borderId="17" xfId="77" applyFont="1" applyFill="1" applyBorder="1" applyAlignment="1" applyProtection="1">
      <alignment horizontal="center" vertical="center"/>
      <protection/>
    </xf>
    <xf numFmtId="0" fontId="120" fillId="2" borderId="10" xfId="0" applyFont="1" applyFill="1" applyBorder="1" applyAlignment="1">
      <alignment horizontal="center"/>
    </xf>
    <xf numFmtId="0" fontId="120" fillId="2" borderId="11" xfId="0" applyFont="1" applyFill="1" applyBorder="1" applyAlignment="1">
      <alignment horizontal="center"/>
    </xf>
    <xf numFmtId="0" fontId="120" fillId="2" borderId="14" xfId="0" applyFont="1" applyFill="1" applyBorder="1" applyAlignment="1">
      <alignment horizont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2" xfId="0" applyFont="1" applyBorder="1" applyAlignment="1">
      <alignment horizontal="center"/>
    </xf>
    <xf numFmtId="0" fontId="22" fillId="0" borderId="22" xfId="0" applyFont="1" applyBorder="1" applyAlignment="1">
      <alignment horizontal="center"/>
    </xf>
    <xf numFmtId="0" fontId="95" fillId="0" borderId="10" xfId="0" applyFont="1" applyBorder="1" applyAlignment="1">
      <alignment horizontal="left" vertical="center"/>
    </xf>
    <xf numFmtId="0" fontId="95" fillId="0" borderId="11" xfId="0" applyFont="1" applyBorder="1" applyAlignment="1">
      <alignment horizontal="left" vertical="center"/>
    </xf>
    <xf numFmtId="0" fontId="95" fillId="0" borderId="15" xfId="0" applyFont="1" applyBorder="1" applyAlignment="1">
      <alignment horizontal="left" vertical="center" wrapText="1"/>
    </xf>
    <xf numFmtId="0" fontId="95" fillId="0" borderId="16" xfId="0" applyFont="1" applyBorder="1" applyAlignment="1">
      <alignment horizontal="left" vertical="center" wrapText="1"/>
    </xf>
    <xf numFmtId="167" fontId="23" fillId="0" borderId="10" xfId="60" applyNumberFormat="1" applyFont="1" applyBorder="1" applyAlignment="1">
      <alignment horizontal="center" vertical="center"/>
      <protection/>
    </xf>
    <xf numFmtId="167" fontId="23" fillId="0" borderId="11" xfId="60" applyNumberFormat="1" applyFont="1" applyBorder="1" applyAlignment="1">
      <alignment horizontal="center" vertical="center"/>
      <protection/>
    </xf>
    <xf numFmtId="167" fontId="23" fillId="0" borderId="14" xfId="60" applyNumberFormat="1" applyFont="1" applyBorder="1" applyAlignment="1">
      <alignment horizontal="center" vertical="center"/>
      <protection/>
    </xf>
    <xf numFmtId="167" fontId="22" fillId="0" borderId="11" xfId="60" applyNumberFormat="1" applyFont="1" applyBorder="1" applyAlignment="1">
      <alignment horizontal="left" vertical="center"/>
      <protection/>
    </xf>
    <xf numFmtId="167" fontId="23" fillId="0" borderId="11" xfId="60" applyNumberFormat="1" applyFont="1" applyBorder="1" applyAlignment="1">
      <alignment horizontal="left" vertical="center"/>
      <protection/>
    </xf>
    <xf numFmtId="167" fontId="23" fillId="8" borderId="11" xfId="60" applyNumberFormat="1" applyFont="1" applyFill="1" applyBorder="1" applyAlignment="1">
      <alignment horizontal="left" vertical="center"/>
      <protection/>
    </xf>
    <xf numFmtId="0" fontId="23" fillId="2" borderId="85" xfId="54" applyFont="1" applyFill="1" applyBorder="1" applyAlignment="1">
      <alignment horizontal="center" vertical="center"/>
      <protection/>
    </xf>
    <xf numFmtId="0" fontId="23" fillId="2" borderId="89" xfId="54" applyFont="1" applyFill="1" applyBorder="1" applyAlignment="1">
      <alignment horizontal="center" vertical="center"/>
      <protection/>
    </xf>
    <xf numFmtId="0" fontId="23" fillId="2" borderId="113" xfId="54" applyFont="1" applyFill="1" applyBorder="1" applyAlignment="1">
      <alignment horizontal="center" vertical="center"/>
      <protection/>
    </xf>
    <xf numFmtId="0" fontId="22" fillId="0" borderId="12" xfId="60" applyFont="1" applyBorder="1" applyAlignment="1">
      <alignment horizontal="center" vertical="center"/>
      <protection/>
    </xf>
    <xf numFmtId="0" fontId="22" fillId="0" borderId="22" xfId="60" applyFont="1" applyBorder="1" applyAlignment="1">
      <alignment horizontal="center" vertical="center"/>
      <protection/>
    </xf>
    <xf numFmtId="0" fontId="22" fillId="0" borderId="12" xfId="60" applyFont="1" applyFill="1" applyBorder="1" applyAlignment="1">
      <alignment horizontal="center" vertical="center"/>
      <protection/>
    </xf>
    <xf numFmtId="0" fontId="22" fillId="0" borderId="22" xfId="60" applyFont="1" applyFill="1" applyBorder="1" applyAlignment="1">
      <alignment horizontal="center" vertical="center"/>
      <protection/>
    </xf>
    <xf numFmtId="167" fontId="22" fillId="35" borderId="21" xfId="60" applyNumberFormat="1" applyFont="1" applyFill="1" applyBorder="1" applyAlignment="1">
      <alignment horizontal="right" vertical="center"/>
      <protection/>
    </xf>
    <xf numFmtId="167" fontId="22" fillId="35" borderId="13" xfId="60" applyNumberFormat="1" applyFont="1" applyFill="1" applyBorder="1" applyAlignment="1">
      <alignment horizontal="right" vertical="center"/>
      <protection/>
    </xf>
    <xf numFmtId="167" fontId="22" fillId="35" borderId="22" xfId="60" applyNumberFormat="1" applyFont="1" applyFill="1" applyBorder="1" applyAlignment="1">
      <alignment horizontal="right" vertical="center"/>
      <protection/>
    </xf>
    <xf numFmtId="167" fontId="22" fillId="35" borderId="11" xfId="60" applyNumberFormat="1" applyFont="1" applyFill="1" applyBorder="1" applyAlignment="1">
      <alignment horizontal="center" vertical="center"/>
      <protection/>
    </xf>
    <xf numFmtId="167" fontId="22" fillId="35" borderId="14" xfId="60" applyNumberFormat="1" applyFont="1" applyFill="1" applyBorder="1" applyAlignment="1">
      <alignment horizontal="center" vertical="center"/>
      <protection/>
    </xf>
    <xf numFmtId="167" fontId="22" fillId="35" borderId="10" xfId="60" applyNumberFormat="1" applyFont="1" applyFill="1" applyBorder="1" applyAlignment="1">
      <alignment horizontal="right" vertical="center"/>
      <protection/>
    </xf>
    <xf numFmtId="167" fontId="22" fillId="35" borderId="11" xfId="60" applyNumberFormat="1" applyFont="1" applyFill="1" applyBorder="1" applyAlignment="1">
      <alignment horizontal="right" vertical="center"/>
      <protection/>
    </xf>
    <xf numFmtId="0" fontId="23" fillId="2" borderId="21" xfId="54" applyFont="1" applyFill="1" applyBorder="1" applyAlignment="1">
      <alignment horizontal="center" vertical="center"/>
      <protection/>
    </xf>
    <xf numFmtId="0" fontId="23" fillId="2" borderId="13" xfId="54" applyFont="1" applyFill="1" applyBorder="1" applyAlignment="1">
      <alignment horizontal="center" vertical="center"/>
      <protection/>
    </xf>
    <xf numFmtId="0" fontId="23" fillId="2" borderId="76" xfId="54" applyFont="1" applyFill="1" applyBorder="1" applyAlignment="1">
      <alignment horizontal="center" vertical="center"/>
      <protection/>
    </xf>
    <xf numFmtId="0" fontId="22" fillId="0" borderId="12" xfId="60" applyFont="1" applyFill="1" applyBorder="1" applyAlignment="1">
      <alignment horizontal="center" vertical="center" wrapText="1"/>
      <protection/>
    </xf>
    <xf numFmtId="0" fontId="22" fillId="0" borderId="22" xfId="60" applyFont="1" applyFill="1" applyBorder="1" applyAlignment="1">
      <alignment horizontal="center" vertical="center" wrapText="1"/>
      <protection/>
    </xf>
    <xf numFmtId="0" fontId="94" fillId="37" borderId="45" xfId="0" applyFont="1" applyFill="1" applyBorder="1" applyAlignment="1">
      <alignment horizontal="center"/>
    </xf>
    <xf numFmtId="0" fontId="94" fillId="37" borderId="0" xfId="0" applyFont="1" applyFill="1" applyBorder="1" applyAlignment="1">
      <alignment horizontal="center"/>
    </xf>
    <xf numFmtId="0" fontId="94" fillId="37" borderId="46" xfId="0" applyFont="1" applyFill="1" applyBorder="1" applyAlignment="1">
      <alignment horizontal="center"/>
    </xf>
    <xf numFmtId="0" fontId="93" fillId="37" borderId="45" xfId="0" applyFont="1" applyFill="1" applyBorder="1" applyAlignment="1">
      <alignment horizontal="center"/>
    </xf>
    <xf numFmtId="0" fontId="93" fillId="37" borderId="0" xfId="0" applyFont="1" applyFill="1" applyBorder="1" applyAlignment="1">
      <alignment horizontal="center"/>
    </xf>
    <xf numFmtId="0" fontId="93" fillId="37" borderId="46" xfId="0" applyFont="1" applyFill="1" applyBorder="1" applyAlignment="1">
      <alignment horizontal="center"/>
    </xf>
    <xf numFmtId="0" fontId="93" fillId="37" borderId="45" xfId="0" applyFont="1" applyFill="1" applyBorder="1" applyAlignment="1">
      <alignment horizontal="center" vertical="center"/>
    </xf>
    <xf numFmtId="0" fontId="93" fillId="37" borderId="0" xfId="0" applyFont="1" applyFill="1" applyBorder="1" applyAlignment="1">
      <alignment horizontal="center" vertical="center"/>
    </xf>
    <xf numFmtId="0" fontId="93" fillId="37" borderId="46" xfId="0" applyFont="1" applyFill="1" applyBorder="1" applyAlignment="1">
      <alignment horizontal="center" vertical="center"/>
    </xf>
    <xf numFmtId="0" fontId="94" fillId="37" borderId="53" xfId="0" applyFont="1" applyFill="1" applyBorder="1" applyAlignment="1">
      <alignment horizontal="center" vertical="center"/>
    </xf>
    <xf numFmtId="0" fontId="94" fillId="37" borderId="90" xfId="0" applyFont="1" applyFill="1" applyBorder="1" applyAlignment="1">
      <alignment horizontal="center" vertical="center"/>
    </xf>
    <xf numFmtId="0" fontId="94" fillId="37" borderId="91" xfId="0" applyFont="1" applyFill="1" applyBorder="1" applyAlignment="1">
      <alignment horizontal="center" vertical="center"/>
    </xf>
    <xf numFmtId="167" fontId="23" fillId="8" borderId="48" xfId="60" applyNumberFormat="1" applyFont="1" applyFill="1" applyBorder="1" applyAlignment="1">
      <alignment horizontal="center" vertical="center" wrapText="1"/>
      <protection/>
    </xf>
    <xf numFmtId="167" fontId="23" fillId="0" borderId="136" xfId="60" applyNumberFormat="1" applyFont="1" applyFill="1" applyBorder="1" applyAlignment="1">
      <alignment horizontal="center" vertical="center" wrapText="1"/>
      <protection/>
    </xf>
    <xf numFmtId="167" fontId="23" fillId="0" borderId="137" xfId="60" applyNumberFormat="1" applyFont="1" applyFill="1" applyBorder="1" applyAlignment="1">
      <alignment horizontal="center" vertical="center" wrapText="1"/>
      <protection/>
    </xf>
    <xf numFmtId="167" fontId="23" fillId="0" borderId="138" xfId="60" applyNumberFormat="1" applyFont="1" applyFill="1" applyBorder="1" applyAlignment="1">
      <alignment horizontal="center" vertical="center" wrapText="1"/>
      <protection/>
    </xf>
    <xf numFmtId="0" fontId="22" fillId="0" borderId="40" xfId="0" applyFont="1" applyFill="1" applyBorder="1" applyAlignment="1">
      <alignment horizontal="right" vertical="center"/>
    </xf>
    <xf numFmtId="0" fontId="22" fillId="0" borderId="36" xfId="0" applyFont="1" applyFill="1" applyBorder="1" applyAlignment="1">
      <alignment horizontal="right" vertical="center"/>
    </xf>
    <xf numFmtId="0" fontId="22" fillId="0" borderId="79" xfId="0" applyFont="1" applyFill="1" applyBorder="1" applyAlignment="1">
      <alignment horizontal="right" vertical="center"/>
    </xf>
    <xf numFmtId="0" fontId="23" fillId="37" borderId="18" xfId="54" applyFont="1" applyFill="1" applyBorder="1" applyAlignment="1">
      <alignment horizontal="center" vertical="center"/>
      <protection/>
    </xf>
    <xf numFmtId="0" fontId="23" fillId="37" borderId="19" xfId="54" applyFont="1" applyFill="1" applyBorder="1" applyAlignment="1">
      <alignment horizontal="center" vertical="center"/>
      <protection/>
    </xf>
    <xf numFmtId="0" fontId="23" fillId="37" borderId="20" xfId="54" applyFont="1" applyFill="1" applyBorder="1" applyAlignment="1">
      <alignment horizontal="center" vertical="center"/>
      <protection/>
    </xf>
    <xf numFmtId="0" fontId="23" fillId="37" borderId="45" xfId="54" applyFont="1" applyFill="1" applyBorder="1" applyAlignment="1">
      <alignment horizontal="center" vertical="center"/>
      <protection/>
    </xf>
    <xf numFmtId="0" fontId="23" fillId="37" borderId="0" xfId="54" applyFont="1" applyFill="1" applyBorder="1" applyAlignment="1">
      <alignment horizontal="center" vertical="center"/>
      <protection/>
    </xf>
    <xf numFmtId="0" fontId="23" fillId="37" borderId="46" xfId="54" applyFont="1" applyFill="1" applyBorder="1" applyAlignment="1">
      <alignment horizontal="center" vertical="center"/>
      <protection/>
    </xf>
    <xf numFmtId="0" fontId="23" fillId="37" borderId="139" xfId="54" applyFont="1" applyFill="1" applyBorder="1" applyAlignment="1">
      <alignment horizontal="center" vertical="center"/>
      <protection/>
    </xf>
    <xf numFmtId="0" fontId="23" fillId="37" borderId="140" xfId="54" applyFont="1" applyFill="1" applyBorder="1" applyAlignment="1">
      <alignment horizontal="center" vertical="center"/>
      <protection/>
    </xf>
    <xf numFmtId="0" fontId="23" fillId="37" borderId="141" xfId="54" applyFont="1" applyFill="1" applyBorder="1" applyAlignment="1">
      <alignment horizontal="center" vertical="center"/>
      <protection/>
    </xf>
    <xf numFmtId="0" fontId="23" fillId="8" borderId="103" xfId="0" applyFont="1" applyFill="1" applyBorder="1" applyAlignment="1">
      <alignment horizontal="center" vertical="center" wrapText="1"/>
    </xf>
    <xf numFmtId="0" fontId="23" fillId="8" borderId="104" xfId="0" applyFont="1" applyFill="1" applyBorder="1" applyAlignment="1">
      <alignment horizontal="center" vertical="center" wrapText="1"/>
    </xf>
    <xf numFmtId="0" fontId="23" fillId="8" borderId="142" xfId="0" applyFont="1" applyFill="1" applyBorder="1" applyAlignment="1">
      <alignment horizontal="center" vertical="center" wrapText="1"/>
    </xf>
    <xf numFmtId="0" fontId="23" fillId="8" borderId="103" xfId="0" applyFont="1" applyFill="1" applyBorder="1" applyAlignment="1">
      <alignment horizontal="center" vertical="center"/>
    </xf>
    <xf numFmtId="0" fontId="23" fillId="8" borderId="143" xfId="0" applyFont="1" applyFill="1" applyBorder="1" applyAlignment="1">
      <alignment horizontal="center" vertical="center"/>
    </xf>
    <xf numFmtId="1" fontId="23" fillId="0" borderId="144" xfId="0" applyNumberFormat="1" applyFont="1" applyFill="1" applyBorder="1" applyAlignment="1">
      <alignment horizontal="center" vertical="center" wrapText="1"/>
    </xf>
    <xf numFmtId="1" fontId="23" fillId="0" borderId="145" xfId="0" applyNumberFormat="1" applyFont="1" applyFill="1" applyBorder="1" applyAlignment="1">
      <alignment horizontal="center" vertical="center" wrapText="1"/>
    </xf>
    <xf numFmtId="1" fontId="23" fillId="0" borderId="146" xfId="0" applyNumberFormat="1" applyFont="1" applyFill="1" applyBorder="1" applyAlignment="1">
      <alignment horizontal="center" vertical="center" wrapText="1"/>
    </xf>
    <xf numFmtId="0" fontId="22" fillId="37" borderId="45" xfId="54" applyFont="1" applyFill="1" applyBorder="1" applyAlignment="1">
      <alignment horizontal="center" vertical="center"/>
      <protection/>
    </xf>
    <xf numFmtId="0" fontId="22" fillId="37" borderId="0" xfId="54" applyFont="1" applyFill="1" applyBorder="1" applyAlignment="1">
      <alignment horizontal="center" vertical="center"/>
      <protection/>
    </xf>
    <xf numFmtId="0" fontId="22" fillId="37" borderId="46" xfId="54" applyFont="1" applyFill="1" applyBorder="1" applyAlignment="1">
      <alignment horizontal="center" vertical="center"/>
      <protection/>
    </xf>
    <xf numFmtId="0" fontId="23" fillId="37" borderId="90" xfId="54" applyFont="1" applyFill="1" applyBorder="1" applyAlignment="1">
      <alignment horizontal="center" vertical="center"/>
      <protection/>
    </xf>
    <xf numFmtId="0" fontId="23" fillId="37" borderId="91" xfId="54" applyFont="1" applyFill="1" applyBorder="1" applyAlignment="1">
      <alignment horizontal="center" vertical="center"/>
      <protection/>
    </xf>
    <xf numFmtId="167" fontId="23" fillId="8" borderId="147" xfId="60" applyNumberFormat="1" applyFont="1" applyFill="1" applyBorder="1" applyAlignment="1">
      <alignment horizontal="center" vertical="center" wrapText="1"/>
      <protection/>
    </xf>
    <xf numFmtId="167" fontId="23" fillId="8" borderId="132" xfId="60" applyNumberFormat="1" applyFont="1" applyFill="1" applyBorder="1" applyAlignment="1">
      <alignment horizontal="center" vertical="center" wrapText="1"/>
      <protection/>
    </xf>
    <xf numFmtId="1" fontId="23" fillId="0" borderId="136" xfId="0" applyNumberFormat="1" applyFont="1" applyFill="1" applyBorder="1" applyAlignment="1">
      <alignment horizontal="center" vertical="center" wrapText="1"/>
    </xf>
    <xf numFmtId="1" fontId="23" fillId="0" borderId="137" xfId="0" applyNumberFormat="1" applyFont="1" applyFill="1" applyBorder="1" applyAlignment="1">
      <alignment horizontal="center" vertical="center" wrapText="1"/>
    </xf>
    <xf numFmtId="1" fontId="23" fillId="0" borderId="138" xfId="0" applyNumberFormat="1" applyFont="1" applyFill="1" applyBorder="1" applyAlignment="1">
      <alignment horizontal="center" vertical="center" wrapText="1"/>
    </xf>
    <xf numFmtId="0" fontId="23" fillId="43" borderId="21" xfId="0" applyFont="1" applyFill="1" applyBorder="1" applyAlignment="1">
      <alignment horizontal="center" vertical="center"/>
    </xf>
    <xf numFmtId="0" fontId="23" fillId="43" borderId="13" xfId="0" applyFont="1" applyFill="1" applyBorder="1" applyAlignment="1">
      <alignment horizontal="center" vertical="center"/>
    </xf>
    <xf numFmtId="0" fontId="23" fillId="43" borderId="76" xfId="0" applyFont="1" applyFill="1" applyBorder="1" applyAlignment="1">
      <alignment horizontal="center" vertical="center"/>
    </xf>
    <xf numFmtId="167" fontId="22" fillId="0" borderId="148" xfId="60" applyNumberFormat="1" applyFont="1" applyBorder="1" applyAlignment="1">
      <alignment horizontal="center" vertical="center"/>
      <protection/>
    </xf>
    <xf numFmtId="167" fontId="22" fillId="0" borderId="149" xfId="60" applyNumberFormat="1" applyFont="1" applyBorder="1" applyAlignment="1">
      <alignment horizontal="center" vertical="center"/>
      <protection/>
    </xf>
    <xf numFmtId="0" fontId="23" fillId="43" borderId="85" xfId="0" applyFont="1" applyFill="1" applyBorder="1" applyAlignment="1">
      <alignment horizontal="center" vertical="center"/>
    </xf>
    <xf numFmtId="0" fontId="23" fillId="43" borderId="89" xfId="0" applyFont="1" applyFill="1" applyBorder="1" applyAlignment="1">
      <alignment horizontal="center" vertical="center"/>
    </xf>
    <xf numFmtId="0" fontId="23" fillId="43" borderId="113" xfId="0" applyFont="1" applyFill="1" applyBorder="1" applyAlignment="1">
      <alignment horizontal="center" vertical="center"/>
    </xf>
    <xf numFmtId="167" fontId="22" fillId="0" borderId="52" xfId="60" applyNumberFormat="1" applyFont="1" applyBorder="1" applyAlignment="1">
      <alignment horizontal="center" vertical="center"/>
      <protection/>
    </xf>
    <xf numFmtId="167" fontId="22" fillId="0" borderId="150" xfId="60" applyNumberFormat="1" applyFont="1" applyBorder="1" applyAlignment="1">
      <alignment horizontal="center" vertical="center"/>
      <protection/>
    </xf>
    <xf numFmtId="0" fontId="23" fillId="43" borderId="85" xfId="0" applyFont="1" applyFill="1" applyBorder="1" applyAlignment="1">
      <alignment horizontal="center" vertical="center" wrapText="1"/>
    </xf>
    <xf numFmtId="0" fontId="23" fillId="43" borderId="89" xfId="0" applyFont="1" applyFill="1" applyBorder="1" applyAlignment="1">
      <alignment horizontal="center" vertical="center" wrapText="1"/>
    </xf>
    <xf numFmtId="0" fontId="23" fillId="43" borderId="113" xfId="0" applyFont="1" applyFill="1" applyBorder="1" applyAlignment="1">
      <alignment horizontal="center" vertical="center" wrapText="1"/>
    </xf>
    <xf numFmtId="0" fontId="92" fillId="11" borderId="10" xfId="0" applyFont="1" applyFill="1" applyBorder="1" applyAlignment="1">
      <alignment horizontal="center" vertical="center" wrapText="1"/>
    </xf>
    <xf numFmtId="0" fontId="92" fillId="11"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2" fillId="0" borderId="10" xfId="0" applyFont="1" applyBorder="1" applyAlignment="1">
      <alignment horizontal="center" vertical="center" wrapText="1"/>
    </xf>
    <xf numFmtId="0" fontId="92" fillId="0" borderId="11" xfId="0" applyFont="1" applyBorder="1" applyAlignment="1">
      <alignment horizontal="center" vertical="center" wrapText="1"/>
    </xf>
    <xf numFmtId="0" fontId="23" fillId="0" borderId="80" xfId="0" applyFont="1" applyFill="1" applyBorder="1" applyAlignment="1">
      <alignment horizontal="right" vertical="center"/>
    </xf>
    <xf numFmtId="0" fontId="92" fillId="0" borderId="126" xfId="0" applyFont="1" applyBorder="1" applyAlignment="1">
      <alignment horizontal="center" vertical="center" wrapText="1"/>
    </xf>
    <xf numFmtId="0" fontId="92" fillId="0" borderId="86" xfId="0" applyFont="1" applyBorder="1" applyAlignment="1">
      <alignment horizontal="center" vertical="center" wrapText="1"/>
    </xf>
    <xf numFmtId="0" fontId="92" fillId="0" borderId="111" xfId="0" applyFont="1" applyBorder="1" applyAlignment="1">
      <alignment horizontal="center" vertical="center" wrapText="1"/>
    </xf>
    <xf numFmtId="0" fontId="92" fillId="0" borderId="14" xfId="0" applyFont="1" applyBorder="1" applyAlignment="1">
      <alignment horizontal="center" vertical="center" wrapText="1"/>
    </xf>
    <xf numFmtId="0" fontId="0" fillId="37" borderId="10" xfId="0" applyFill="1" applyBorder="1" applyAlignment="1">
      <alignment horizontal="center" vertical="center" wrapText="1"/>
    </xf>
    <xf numFmtId="0" fontId="0" fillId="37" borderId="11" xfId="0" applyFill="1" applyBorder="1" applyAlignment="1">
      <alignment horizontal="center" vertical="center" wrapText="1"/>
    </xf>
    <xf numFmtId="0" fontId="92" fillId="37" borderId="10"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0" borderId="16" xfId="0" applyBorder="1" applyAlignment="1">
      <alignment horizontal="center" vertical="center" wrapText="1"/>
    </xf>
    <xf numFmtId="167" fontId="23" fillId="0" borderId="144" xfId="60" applyNumberFormat="1" applyFont="1" applyFill="1" applyBorder="1" applyAlignment="1">
      <alignment horizontal="center" vertical="center" wrapText="1"/>
      <protection/>
    </xf>
    <xf numFmtId="167" fontId="23" fillId="0" borderId="145" xfId="60" applyNumberFormat="1" applyFont="1" applyFill="1" applyBorder="1" applyAlignment="1">
      <alignment horizontal="center" vertical="center" wrapText="1"/>
      <protection/>
    </xf>
    <xf numFmtId="167" fontId="23" fillId="0" borderId="146" xfId="60" applyNumberFormat="1" applyFont="1" applyFill="1" applyBorder="1" applyAlignment="1">
      <alignment horizontal="center" vertical="center" wrapText="1"/>
      <protection/>
    </xf>
    <xf numFmtId="167" fontId="23" fillId="35" borderId="82" xfId="60" applyNumberFormat="1" applyFont="1" applyFill="1" applyBorder="1" applyAlignment="1">
      <alignment horizontal="right" vertical="center"/>
      <protection/>
    </xf>
    <xf numFmtId="167" fontId="23" fillId="35" borderId="101" xfId="60" applyNumberFormat="1" applyFont="1" applyFill="1" applyBorder="1" applyAlignment="1">
      <alignment horizontal="right" vertical="center"/>
      <protection/>
    </xf>
    <xf numFmtId="167" fontId="23" fillId="35" borderId="101" xfId="60" applyNumberFormat="1" applyFont="1" applyFill="1" applyBorder="1" applyAlignment="1">
      <alignment horizontal="center" vertical="center"/>
      <protection/>
    </xf>
    <xf numFmtId="167" fontId="23" fillId="35" borderId="87" xfId="60" applyNumberFormat="1" applyFont="1" applyFill="1" applyBorder="1" applyAlignment="1">
      <alignment horizontal="center" vertical="center"/>
      <protection/>
    </xf>
    <xf numFmtId="167" fontId="23" fillId="8" borderId="16" xfId="60" applyNumberFormat="1" applyFont="1" applyFill="1" applyBorder="1" applyAlignment="1">
      <alignment horizontal="left" vertical="center"/>
      <protection/>
    </xf>
    <xf numFmtId="167" fontId="23" fillId="0" borderId="85" xfId="60" applyNumberFormat="1" applyFont="1" applyBorder="1" applyAlignment="1">
      <alignment horizontal="center" vertical="center"/>
      <protection/>
    </xf>
    <xf numFmtId="167" fontId="23" fillId="0" borderId="89" xfId="60" applyNumberFormat="1" applyFont="1" applyBorder="1" applyAlignment="1">
      <alignment horizontal="center" vertical="center"/>
      <protection/>
    </xf>
    <xf numFmtId="167" fontId="23" fillId="0" borderId="113" xfId="60" applyNumberFormat="1" applyFont="1" applyBorder="1" applyAlignment="1">
      <alignment horizontal="center" vertical="center"/>
      <protection/>
    </xf>
    <xf numFmtId="0" fontId="23" fillId="2" borderId="103" xfId="0" applyFont="1" applyFill="1" applyBorder="1" applyAlignment="1">
      <alignment horizontal="center" vertical="center"/>
    </xf>
    <xf numFmtId="0" fontId="23" fillId="2" borderId="143" xfId="0" applyFont="1" applyFill="1" applyBorder="1" applyAlignment="1">
      <alignment horizontal="center" vertical="center"/>
    </xf>
    <xf numFmtId="0" fontId="23" fillId="43" borderId="52" xfId="0" applyFont="1" applyFill="1" applyBorder="1" applyAlignment="1">
      <alignment horizontal="left" vertical="center"/>
    </xf>
    <xf numFmtId="0" fontId="23" fillId="43" borderId="36" xfId="0" applyFont="1" applyFill="1" applyBorder="1" applyAlignment="1">
      <alignment horizontal="left" vertical="center"/>
    </xf>
    <xf numFmtId="0" fontId="23" fillId="43" borderId="79" xfId="0" applyFont="1" applyFill="1" applyBorder="1" applyAlignment="1">
      <alignment horizontal="left" vertical="center"/>
    </xf>
    <xf numFmtId="0" fontId="22" fillId="0" borderId="33"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78" xfId="0" applyFont="1" applyFill="1" applyBorder="1" applyAlignment="1">
      <alignment horizontal="left" vertical="center" wrapText="1"/>
    </xf>
    <xf numFmtId="0" fontId="22" fillId="0" borderId="33"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78"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78" xfId="0" applyFont="1" applyFill="1" applyBorder="1" applyAlignment="1">
      <alignment horizontal="left" vertical="center"/>
    </xf>
    <xf numFmtId="0" fontId="98" fillId="0" borderId="11" xfId="0" applyFont="1" applyBorder="1" applyAlignment="1">
      <alignment horizontal="left" vertical="center"/>
    </xf>
    <xf numFmtId="0" fontId="98" fillId="0" borderId="12" xfId="0" applyFont="1" applyBorder="1" applyAlignment="1">
      <alignment horizontal="left" vertical="center"/>
    </xf>
    <xf numFmtId="0" fontId="98" fillId="0" borderId="22" xfId="0" applyFont="1" applyBorder="1" applyAlignment="1">
      <alignment horizontal="left" vertical="center"/>
    </xf>
    <xf numFmtId="0" fontId="23" fillId="0" borderId="33"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78" xfId="0" applyFont="1" applyFill="1" applyBorder="1" applyAlignment="1">
      <alignment horizontal="left" vertical="center" wrapText="1"/>
    </xf>
    <xf numFmtId="0" fontId="23" fillId="0" borderId="151" xfId="0" applyFont="1" applyFill="1" applyBorder="1" applyAlignment="1">
      <alignment horizontal="right" vertical="center"/>
    </xf>
    <xf numFmtId="0" fontId="23" fillId="0" borderId="152" xfId="0" applyFont="1" applyFill="1" applyBorder="1" applyAlignment="1">
      <alignment horizontal="right" vertical="center"/>
    </xf>
    <xf numFmtId="0" fontId="49" fillId="0" borderId="12" xfId="0" applyFont="1" applyBorder="1" applyAlignment="1">
      <alignment horizontal="center" vertical="center"/>
    </xf>
    <xf numFmtId="0" fontId="49" fillId="0" borderId="22" xfId="0" applyFont="1" applyBorder="1" applyAlignment="1">
      <alignment horizontal="center" vertical="center"/>
    </xf>
    <xf numFmtId="0" fontId="49" fillId="0" borderId="12" xfId="0" applyFont="1" applyBorder="1" applyAlignment="1">
      <alignment horizontal="center"/>
    </xf>
    <xf numFmtId="0" fontId="49" fillId="0" borderId="22" xfId="0" applyFont="1" applyBorder="1" applyAlignment="1">
      <alignment horizontal="center"/>
    </xf>
    <xf numFmtId="0" fontId="97" fillId="0" borderId="144" xfId="0" applyFont="1" applyBorder="1" applyAlignment="1">
      <alignment horizontal="center" vertical="center" wrapText="1"/>
    </xf>
    <xf numFmtId="0" fontId="97" fillId="0" borderId="145" xfId="0" applyFont="1" applyBorder="1" applyAlignment="1">
      <alignment horizontal="center" vertical="center" wrapText="1"/>
    </xf>
    <xf numFmtId="0" fontId="97" fillId="0" borderId="146" xfId="0" applyFont="1" applyBorder="1" applyAlignment="1">
      <alignment horizontal="center" vertical="center" wrapText="1"/>
    </xf>
    <xf numFmtId="0" fontId="110" fillId="2" borderId="63" xfId="0" applyFont="1" applyFill="1" applyBorder="1" applyAlignment="1">
      <alignment horizontal="right" vertical="center"/>
    </xf>
    <xf numFmtId="0" fontId="110" fillId="2" borderId="64" xfId="0" applyFont="1" applyFill="1" applyBorder="1" applyAlignment="1">
      <alignment horizontal="right" vertical="center"/>
    </xf>
    <xf numFmtId="0" fontId="110" fillId="2" borderId="51" xfId="0" applyFont="1" applyFill="1" applyBorder="1" applyAlignment="1">
      <alignment horizontal="right" vertical="center"/>
    </xf>
    <xf numFmtId="0" fontId="47" fillId="37" borderId="18" xfId="54" applyFont="1" applyFill="1" applyBorder="1" applyAlignment="1">
      <alignment horizontal="center" vertical="center"/>
      <protection/>
    </xf>
    <xf numFmtId="0" fontId="47" fillId="37" borderId="19" xfId="54" applyFont="1" applyFill="1" applyBorder="1" applyAlignment="1">
      <alignment horizontal="center" vertical="center"/>
      <protection/>
    </xf>
    <xf numFmtId="0" fontId="43" fillId="37" borderId="45" xfId="54" applyFont="1" applyFill="1" applyBorder="1" applyAlignment="1">
      <alignment horizontal="center" vertical="center"/>
      <protection/>
    </xf>
    <xf numFmtId="0" fontId="43" fillId="37" borderId="0" xfId="54" applyFont="1" applyFill="1" applyBorder="1" applyAlignment="1">
      <alignment horizontal="center" vertical="center"/>
      <protection/>
    </xf>
    <xf numFmtId="0" fontId="43" fillId="37" borderId="46" xfId="54" applyFont="1" applyFill="1" applyBorder="1" applyAlignment="1">
      <alignment horizontal="center" vertical="center"/>
      <protection/>
    </xf>
    <xf numFmtId="0" fontId="53" fillId="37" borderId="45" xfId="54" applyFont="1" applyFill="1" applyBorder="1" applyAlignment="1">
      <alignment horizontal="center" vertical="center"/>
      <protection/>
    </xf>
    <xf numFmtId="0" fontId="53" fillId="37" borderId="0" xfId="54" applyFont="1" applyFill="1" applyBorder="1" applyAlignment="1">
      <alignment horizontal="center" vertical="center"/>
      <protection/>
    </xf>
    <xf numFmtId="0" fontId="53" fillId="37" borderId="46" xfId="54" applyFont="1" applyFill="1" applyBorder="1" applyAlignment="1">
      <alignment horizontal="center" vertical="center"/>
      <protection/>
    </xf>
    <xf numFmtId="0" fontId="47" fillId="37" borderId="53" xfId="54" applyFont="1" applyFill="1" applyBorder="1" applyAlignment="1">
      <alignment horizontal="center" vertical="center"/>
      <protection/>
    </xf>
    <xf numFmtId="0" fontId="47" fillId="37" borderId="90" xfId="54" applyFont="1" applyFill="1" applyBorder="1" applyAlignment="1">
      <alignment horizontal="center" vertical="center"/>
      <protection/>
    </xf>
    <xf numFmtId="0" fontId="43" fillId="2" borderId="153"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43" fillId="2" borderId="153" xfId="0" applyFont="1" applyFill="1" applyBorder="1" applyAlignment="1">
      <alignment horizontal="center" vertical="center"/>
    </xf>
    <xf numFmtId="0" fontId="43" fillId="2" borderId="91" xfId="0" applyFont="1" applyFill="1" applyBorder="1" applyAlignment="1">
      <alignment horizontal="center" vertical="center"/>
    </xf>
    <xf numFmtId="0" fontId="100" fillId="43" borderId="11" xfId="0" applyFont="1" applyFill="1" applyBorder="1" applyAlignment="1">
      <alignment horizontal="center" vertical="center"/>
    </xf>
    <xf numFmtId="0" fontId="100" fillId="43" borderId="14" xfId="0" applyFont="1" applyFill="1" applyBorder="1" applyAlignment="1">
      <alignment horizontal="center" vertical="center"/>
    </xf>
    <xf numFmtId="0" fontId="16" fillId="37" borderId="18" xfId="54" applyFont="1" applyFill="1" applyBorder="1" applyAlignment="1">
      <alignment horizontal="center" vertical="center"/>
      <protection/>
    </xf>
    <xf numFmtId="0" fontId="16" fillId="37" borderId="19" xfId="54" applyFont="1" applyFill="1" applyBorder="1" applyAlignment="1">
      <alignment horizontal="center" vertical="center"/>
      <protection/>
    </xf>
    <xf numFmtId="0" fontId="17" fillId="37" borderId="45" xfId="54" applyFont="1" applyFill="1" applyBorder="1" applyAlignment="1">
      <alignment horizontal="center" vertical="center"/>
      <protection/>
    </xf>
    <xf numFmtId="0" fontId="17" fillId="37" borderId="0" xfId="54" applyFont="1" applyFill="1" applyBorder="1" applyAlignment="1">
      <alignment horizontal="center" vertical="center"/>
      <protection/>
    </xf>
    <xf numFmtId="0" fontId="17" fillId="37" borderId="46" xfId="54" applyFont="1" applyFill="1" applyBorder="1" applyAlignment="1">
      <alignment horizontal="center" vertical="center"/>
      <protection/>
    </xf>
    <xf numFmtId="0" fontId="18" fillId="37" borderId="45" xfId="54" applyFont="1" applyFill="1" applyBorder="1" applyAlignment="1">
      <alignment horizontal="center" vertical="center"/>
      <protection/>
    </xf>
    <xf numFmtId="0" fontId="18" fillId="37" borderId="0" xfId="54" applyFont="1" applyFill="1" applyBorder="1" applyAlignment="1">
      <alignment horizontal="center" vertical="center"/>
      <protection/>
    </xf>
    <xf numFmtId="0" fontId="18" fillId="37" borderId="46" xfId="54" applyFont="1" applyFill="1" applyBorder="1" applyAlignment="1">
      <alignment horizontal="center" vertical="center"/>
      <protection/>
    </xf>
    <xf numFmtId="0" fontId="16" fillId="37" borderId="45" xfId="54" applyFont="1" applyFill="1" applyBorder="1" applyAlignment="1">
      <alignment horizontal="center" vertical="center"/>
      <protection/>
    </xf>
    <xf numFmtId="0" fontId="16" fillId="37" borderId="0" xfId="54" applyFont="1" applyFill="1" applyBorder="1" applyAlignment="1">
      <alignment horizontal="center" vertical="center"/>
      <protection/>
    </xf>
    <xf numFmtId="0" fontId="99" fillId="2" borderId="12" xfId="0" applyFont="1" applyFill="1" applyBorder="1" applyAlignment="1">
      <alignment horizontal="center"/>
    </xf>
    <xf numFmtId="0" fontId="99" fillId="2" borderId="13" xfId="0" applyFont="1" applyFill="1" applyBorder="1" applyAlignment="1">
      <alignment horizontal="center"/>
    </xf>
    <xf numFmtId="0" fontId="99" fillId="2" borderId="76" xfId="0" applyFont="1" applyFill="1" applyBorder="1" applyAlignment="1">
      <alignment horizontal="center"/>
    </xf>
    <xf numFmtId="2" fontId="102" fillId="0" borderId="11" xfId="0" applyNumberFormat="1" applyFont="1" applyBorder="1" applyAlignment="1">
      <alignment horizontal="center" vertical="center"/>
    </xf>
    <xf numFmtId="2" fontId="102" fillId="0" borderId="11" xfId="0" applyNumberFormat="1" applyFont="1" applyFill="1" applyBorder="1" applyAlignment="1">
      <alignment horizontal="center" vertical="center"/>
    </xf>
    <xf numFmtId="0" fontId="102" fillId="0" borderId="11" xfId="0" applyFont="1" applyFill="1" applyBorder="1" applyAlignment="1">
      <alignment horizontal="center" vertical="center"/>
    </xf>
    <xf numFmtId="0" fontId="20" fillId="0" borderId="11" xfId="0" applyFont="1" applyFill="1" applyBorder="1" applyAlignment="1">
      <alignment horizontal="center" vertical="center"/>
    </xf>
    <xf numFmtId="0" fontId="99" fillId="0" borderId="21"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76"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00" fillId="43" borderId="10" xfId="0" applyFont="1" applyFill="1" applyBorder="1" applyAlignment="1">
      <alignment horizontal="center" vertical="center" wrapText="1"/>
    </xf>
    <xf numFmtId="0" fontId="19" fillId="43" borderId="11" xfId="0" applyFont="1" applyFill="1" applyBorder="1" applyAlignment="1">
      <alignment horizontal="center" vertical="center" wrapText="1"/>
    </xf>
    <xf numFmtId="0" fontId="100" fillId="43" borderId="11" xfId="0" applyFont="1" applyFill="1" applyBorder="1" applyAlignment="1">
      <alignment horizontal="center" vertical="center" wrapText="1"/>
    </xf>
    <xf numFmtId="0" fontId="102" fillId="0" borderId="14" xfId="0" applyFont="1" applyFill="1" applyBorder="1" applyAlignment="1">
      <alignment horizontal="left" vertical="center" wrapText="1"/>
    </xf>
    <xf numFmtId="0" fontId="102"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4" fontId="20" fillId="0" borderId="11" xfId="0" applyNumberFormat="1" applyFont="1" applyFill="1" applyBorder="1" applyAlignment="1">
      <alignment horizontal="center" vertical="center"/>
    </xf>
    <xf numFmtId="2" fontId="102" fillId="0" borderId="84" xfId="0" applyNumberFormat="1" applyFont="1" applyFill="1" applyBorder="1" applyAlignment="1">
      <alignment horizontal="center" vertical="center"/>
    </xf>
    <xf numFmtId="2" fontId="102" fillId="0" borderId="77" xfId="0" applyNumberFormat="1" applyFont="1" applyFill="1" applyBorder="1" applyAlignment="1">
      <alignment horizontal="center" vertical="center"/>
    </xf>
    <xf numFmtId="0" fontId="20" fillId="0" borderId="11" xfId="53" applyFont="1" applyFill="1" applyBorder="1" applyAlignment="1">
      <alignment horizontal="center" vertical="center"/>
      <protection/>
    </xf>
    <xf numFmtId="0" fontId="21" fillId="0" borderId="11" xfId="0" applyFont="1" applyFill="1" applyBorder="1" applyAlignment="1">
      <alignment horizontal="left" vertical="center" wrapText="1"/>
    </xf>
    <xf numFmtId="2" fontId="20" fillId="0" borderId="11" xfId="0" applyNumberFormat="1" applyFont="1" applyBorder="1" applyAlignment="1">
      <alignment horizontal="center" vertical="center"/>
    </xf>
    <xf numFmtId="2" fontId="20" fillId="0" borderId="11" xfId="0" applyNumberFormat="1" applyFont="1" applyFill="1" applyBorder="1" applyAlignment="1">
      <alignment horizontal="center" vertical="center"/>
    </xf>
    <xf numFmtId="0" fontId="20" fillId="0" borderId="14" xfId="0" applyFont="1" applyFill="1" applyBorder="1" applyAlignment="1">
      <alignment horizontal="left" vertical="center" wrapText="1"/>
    </xf>
    <xf numFmtId="49" fontId="20" fillId="0" borderId="11" xfId="0" applyNumberFormat="1" applyFont="1" applyFill="1" applyBorder="1" applyAlignment="1">
      <alignment horizontal="center" vertical="center"/>
    </xf>
    <xf numFmtId="0" fontId="100" fillId="43" borderId="21" xfId="0" applyFont="1" applyFill="1" applyBorder="1" applyAlignment="1">
      <alignment horizontal="right" vertical="center"/>
    </xf>
    <xf numFmtId="0" fontId="100" fillId="43" borderId="13" xfId="0" applyFont="1" applyFill="1" applyBorder="1" applyAlignment="1">
      <alignment horizontal="right" vertical="center"/>
    </xf>
    <xf numFmtId="0" fontId="100" fillId="43" borderId="22" xfId="0" applyFont="1" applyFill="1" applyBorder="1" applyAlignment="1">
      <alignment horizontal="right" vertical="center"/>
    </xf>
    <xf numFmtId="0" fontId="19" fillId="43" borderId="10" xfId="0" applyFont="1" applyFill="1" applyBorder="1" applyAlignment="1">
      <alignment horizontal="center" vertical="center" wrapText="1"/>
    </xf>
    <xf numFmtId="0" fontId="19" fillId="43" borderId="14" xfId="0" applyFont="1" applyFill="1" applyBorder="1" applyAlignment="1">
      <alignment horizontal="center" vertical="center" wrapText="1"/>
    </xf>
    <xf numFmtId="0" fontId="20" fillId="0" borderId="93"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89" xfId="0" applyFont="1" applyFill="1" applyBorder="1" applyAlignment="1">
      <alignment horizontal="left" vertical="center" wrapText="1"/>
    </xf>
    <xf numFmtId="0" fontId="20" fillId="0" borderId="94" xfId="0" applyFont="1" applyFill="1" applyBorder="1" applyAlignment="1">
      <alignment horizontal="left" vertical="center" wrapText="1"/>
    </xf>
    <xf numFmtId="2" fontId="102" fillId="0" borderId="92" xfId="0" applyNumberFormat="1"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02" fillId="0" borderId="93" xfId="0" applyFont="1" applyFill="1" applyBorder="1" applyAlignment="1">
      <alignment horizontal="left" vertical="center" wrapText="1"/>
    </xf>
    <xf numFmtId="0" fontId="102" fillId="0" borderId="67" xfId="0" applyFont="1" applyFill="1" applyBorder="1" applyAlignment="1">
      <alignment horizontal="left" vertical="center" wrapText="1"/>
    </xf>
    <xf numFmtId="0" fontId="102" fillId="0" borderId="100" xfId="0" applyFont="1" applyFill="1" applyBorder="1" applyAlignment="1">
      <alignment horizontal="left" vertical="center" wrapText="1"/>
    </xf>
    <xf numFmtId="0" fontId="102" fillId="0" borderId="129"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102" fillId="0" borderId="106" xfId="0" applyFont="1" applyFill="1" applyBorder="1" applyAlignment="1">
      <alignment horizontal="left" vertical="center" wrapText="1"/>
    </xf>
    <xf numFmtId="2" fontId="102" fillId="0" borderId="84" xfId="0" applyNumberFormat="1" applyFont="1" applyBorder="1" applyAlignment="1">
      <alignment horizontal="center" vertical="center"/>
    </xf>
    <xf numFmtId="2" fontId="102" fillId="0" borderId="92" xfId="0" applyNumberFormat="1" applyFont="1" applyBorder="1" applyAlignment="1">
      <alignment horizontal="center" vertical="center"/>
    </xf>
    <xf numFmtId="0" fontId="102" fillId="0" borderId="88" xfId="0" applyFont="1" applyFill="1" applyBorder="1" applyAlignment="1">
      <alignment horizontal="left" vertical="center" wrapText="1"/>
    </xf>
    <xf numFmtId="0" fontId="102" fillId="0" borderId="89" xfId="0" applyFont="1" applyFill="1" applyBorder="1" applyAlignment="1">
      <alignment horizontal="left" vertical="center" wrapText="1"/>
    </xf>
    <xf numFmtId="0" fontId="102" fillId="0" borderId="94" xfId="0" applyFont="1" applyFill="1" applyBorder="1" applyAlignment="1">
      <alignment horizontal="left" vertical="center" wrapText="1"/>
    </xf>
    <xf numFmtId="0" fontId="19" fillId="43" borderId="10" xfId="0" applyFont="1" applyFill="1" applyBorder="1" applyAlignment="1">
      <alignment horizontal="left" vertical="center" wrapText="1"/>
    </xf>
    <xf numFmtId="0" fontId="19" fillId="43" borderId="11" xfId="0" applyFont="1" applyFill="1" applyBorder="1" applyAlignment="1">
      <alignment horizontal="left" vertical="center" wrapText="1"/>
    </xf>
    <xf numFmtId="0" fontId="19" fillId="43" borderId="14" xfId="0" applyFont="1" applyFill="1" applyBorder="1" applyAlignment="1">
      <alignment horizontal="left" vertical="center" wrapText="1"/>
    </xf>
    <xf numFmtId="0" fontId="102" fillId="0" borderId="21"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102" fillId="0" borderId="63"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154" xfId="0" applyFont="1" applyFill="1" applyBorder="1" applyAlignment="1">
      <alignment horizontal="left" vertical="center" wrapText="1"/>
    </xf>
    <xf numFmtId="0" fontId="97" fillId="0" borderId="21" xfId="0" applyFont="1" applyBorder="1" applyAlignment="1">
      <alignment horizontal="center" vertical="center"/>
    </xf>
    <xf numFmtId="0" fontId="97" fillId="0" borderId="13" xfId="0" applyFont="1" applyBorder="1" applyAlignment="1">
      <alignment horizontal="center" vertical="center"/>
    </xf>
    <xf numFmtId="0" fontId="97" fillId="0" borderId="22" xfId="0" applyFont="1" applyBorder="1" applyAlignment="1">
      <alignment horizontal="center" vertical="center"/>
    </xf>
    <xf numFmtId="0" fontId="97" fillId="0" borderId="85" xfId="0" applyFont="1" applyBorder="1" applyAlignment="1">
      <alignment horizontal="center" vertical="center"/>
    </xf>
    <xf numFmtId="0" fontId="97" fillId="0" borderId="89" xfId="0" applyFont="1" applyBorder="1" applyAlignment="1">
      <alignment horizontal="center" vertical="center"/>
    </xf>
    <xf numFmtId="0" fontId="97" fillId="0" borderId="94" xfId="0" applyFont="1" applyBorder="1" applyAlignment="1">
      <alignment horizontal="center" vertical="center"/>
    </xf>
    <xf numFmtId="0" fontId="97" fillId="35" borderId="15" xfId="0" applyFont="1" applyFill="1" applyBorder="1" applyAlignment="1">
      <alignment horizontal="center" vertical="center"/>
    </xf>
    <xf numFmtId="0" fontId="97" fillId="35" borderId="16" xfId="0" applyFont="1" applyFill="1" applyBorder="1" applyAlignment="1">
      <alignment horizontal="center" vertical="center"/>
    </xf>
    <xf numFmtId="0" fontId="96" fillId="0" borderId="0" xfId="0" applyFont="1" applyFill="1" applyBorder="1" applyAlignment="1">
      <alignment horizontal="left" vertical="center"/>
    </xf>
    <xf numFmtId="0" fontId="97" fillId="0" borderId="144" xfId="0" applyFont="1" applyFill="1" applyBorder="1" applyAlignment="1">
      <alignment horizontal="center" vertical="center" wrapText="1"/>
    </xf>
    <xf numFmtId="0" fontId="97" fillId="0" borderId="145" xfId="0" applyFont="1" applyFill="1" applyBorder="1" applyAlignment="1">
      <alignment horizontal="center" vertical="center" wrapText="1"/>
    </xf>
    <xf numFmtId="0" fontId="97" fillId="0" borderId="146" xfId="0" applyFont="1" applyFill="1" applyBorder="1" applyAlignment="1">
      <alignment horizontal="center" vertical="center" wrapText="1"/>
    </xf>
    <xf numFmtId="0" fontId="97" fillId="43" borderId="58" xfId="0" applyFont="1" applyFill="1" applyBorder="1" applyAlignment="1">
      <alignment horizontal="center" vertical="center"/>
    </xf>
    <xf numFmtId="0" fontId="97" fillId="43" borderId="10" xfId="0" applyFont="1" applyFill="1" applyBorder="1" applyAlignment="1">
      <alignment horizontal="center" vertical="center"/>
    </xf>
    <xf numFmtId="0" fontId="97" fillId="43" borderId="0" xfId="0" applyFont="1" applyFill="1" applyBorder="1" applyAlignment="1">
      <alignment horizontal="center" vertical="center"/>
    </xf>
    <xf numFmtId="0" fontId="97" fillId="43" borderId="89" xfId="0" applyFont="1" applyFill="1" applyBorder="1" applyAlignment="1">
      <alignment horizontal="center" vertical="center"/>
    </xf>
    <xf numFmtId="0" fontId="97" fillId="43" borderId="88" xfId="0" applyFont="1" applyFill="1" applyBorder="1" applyAlignment="1">
      <alignment horizontal="center" vertical="center"/>
    </xf>
    <xf numFmtId="0" fontId="97" fillId="43" borderId="94" xfId="0" applyFont="1" applyFill="1" applyBorder="1" applyAlignment="1">
      <alignment horizontal="center" vertical="center"/>
    </xf>
    <xf numFmtId="0" fontId="97" fillId="43" borderId="113" xfId="0" applyFont="1" applyFill="1" applyBorder="1" applyAlignment="1">
      <alignment horizontal="center" vertical="center"/>
    </xf>
    <xf numFmtId="0" fontId="121" fillId="37" borderId="18" xfId="0" applyFont="1" applyFill="1" applyBorder="1" applyAlignment="1">
      <alignment horizontal="center" vertical="center"/>
    </xf>
    <xf numFmtId="0" fontId="121" fillId="37" borderId="19" xfId="0" applyFont="1" applyFill="1" applyBorder="1" applyAlignment="1">
      <alignment horizontal="center" vertical="center"/>
    </xf>
    <xf numFmtId="0" fontId="121" fillId="37" borderId="20" xfId="0" applyFont="1" applyFill="1" applyBorder="1" applyAlignment="1">
      <alignment horizontal="center" vertical="center"/>
    </xf>
    <xf numFmtId="0" fontId="97" fillId="37" borderId="45" xfId="0" applyFont="1" applyFill="1" applyBorder="1" applyAlignment="1">
      <alignment horizontal="center" vertical="center"/>
    </xf>
    <xf numFmtId="0" fontId="97" fillId="37" borderId="0" xfId="0" applyFont="1" applyFill="1" applyBorder="1" applyAlignment="1">
      <alignment horizontal="center" vertical="center"/>
    </xf>
    <xf numFmtId="0" fontId="97" fillId="37" borderId="46" xfId="0" applyFont="1" applyFill="1" applyBorder="1" applyAlignment="1">
      <alignment horizontal="center" vertical="center"/>
    </xf>
    <xf numFmtId="0" fontId="96" fillId="37" borderId="45" xfId="0" applyFont="1" applyFill="1" applyBorder="1" applyAlignment="1">
      <alignment horizontal="center" vertical="center"/>
    </xf>
    <xf numFmtId="0" fontId="96" fillId="37" borderId="0" xfId="0" applyFont="1" applyFill="1" applyBorder="1" applyAlignment="1">
      <alignment horizontal="center" vertical="center"/>
    </xf>
    <xf numFmtId="0" fontId="96" fillId="37" borderId="46" xfId="0" applyFont="1" applyFill="1" applyBorder="1" applyAlignment="1">
      <alignment horizontal="center" vertical="center"/>
    </xf>
    <xf numFmtId="0" fontId="121" fillId="37" borderId="53" xfId="0" applyFont="1" applyFill="1" applyBorder="1" applyAlignment="1">
      <alignment horizontal="center" vertical="center"/>
    </xf>
    <xf numFmtId="0" fontId="121" fillId="37" borderId="90" xfId="0" applyFont="1" applyFill="1" applyBorder="1" applyAlignment="1">
      <alignment horizontal="center" vertical="center"/>
    </xf>
    <xf numFmtId="0" fontId="121" fillId="37" borderId="91" xfId="0" applyFont="1" applyFill="1" applyBorder="1" applyAlignment="1">
      <alignment horizontal="center" vertical="center"/>
    </xf>
    <xf numFmtId="0" fontId="97" fillId="2" borderId="47" xfId="0" applyFont="1" applyFill="1" applyBorder="1" applyAlignment="1">
      <alignment horizontal="center" vertical="center"/>
    </xf>
    <xf numFmtId="0" fontId="97" fillId="2" borderId="48" xfId="0" applyFont="1" applyFill="1" applyBorder="1" applyAlignment="1">
      <alignment horizontal="center" vertical="center"/>
    </xf>
    <xf numFmtId="0" fontId="97" fillId="2" borderId="49" xfId="0" applyFont="1" applyFill="1" applyBorder="1" applyAlignment="1">
      <alignment horizontal="center" vertical="center"/>
    </xf>
    <xf numFmtId="0" fontId="24" fillId="2" borderId="130" xfId="63" applyFont="1" applyFill="1" applyBorder="1" applyAlignment="1">
      <alignment horizontal="center" vertical="center" wrapText="1"/>
      <protection/>
    </xf>
    <xf numFmtId="0" fontId="24" fillId="2" borderId="131" xfId="63" applyFont="1" applyFill="1" applyBorder="1" applyAlignment="1">
      <alignment horizontal="center" vertical="center" wrapText="1"/>
      <protection/>
    </xf>
    <xf numFmtId="0" fontId="24" fillId="2" borderId="132" xfId="63" applyFont="1" applyFill="1" applyBorder="1" applyAlignment="1">
      <alignment horizontal="center" vertical="center" wrapText="1"/>
      <protection/>
    </xf>
    <xf numFmtId="0" fontId="24" fillId="0" borderId="144" xfId="63" applyFont="1" applyFill="1" applyBorder="1" applyAlignment="1">
      <alignment horizontal="center" vertical="center" wrapText="1"/>
      <protection/>
    </xf>
    <xf numFmtId="0" fontId="24" fillId="0" borderId="145" xfId="63" applyFont="1" applyFill="1" applyBorder="1" applyAlignment="1">
      <alignment horizontal="center" vertical="center" wrapText="1"/>
      <protection/>
    </xf>
    <xf numFmtId="0" fontId="24" fillId="0" borderId="146" xfId="63" applyFont="1" applyFill="1" applyBorder="1" applyAlignment="1">
      <alignment horizontal="center" vertical="center" wrapText="1"/>
      <protection/>
    </xf>
    <xf numFmtId="0" fontId="45" fillId="0" borderId="0" xfId="0" applyFont="1" applyAlignment="1">
      <alignment horizontal="left" wrapText="1"/>
    </xf>
    <xf numFmtId="0" fontId="45" fillId="0" borderId="46" xfId="0" applyFont="1" applyBorder="1" applyAlignment="1">
      <alignment horizontal="left" wrapText="1"/>
    </xf>
    <xf numFmtId="0" fontId="45" fillId="0" borderId="55" xfId="0" applyFont="1" applyBorder="1" applyAlignment="1">
      <alignment horizontal="left" wrapText="1"/>
    </xf>
    <xf numFmtId="0" fontId="45" fillId="0" borderId="69" xfId="0" applyFont="1" applyBorder="1" applyAlignment="1">
      <alignment horizontal="left" wrapText="1"/>
    </xf>
    <xf numFmtId="0" fontId="48" fillId="37" borderId="18" xfId="0" applyFont="1" applyFill="1" applyBorder="1" applyAlignment="1" applyProtection="1">
      <alignment horizontal="center" vertical="center"/>
      <protection locked="0"/>
    </xf>
    <xf numFmtId="0" fontId="48" fillId="37" borderId="19" xfId="0" applyFont="1" applyFill="1" applyBorder="1" applyAlignment="1" applyProtection="1">
      <alignment horizontal="center" vertical="center"/>
      <protection locked="0"/>
    </xf>
    <xf numFmtId="0" fontId="48" fillId="37" borderId="20" xfId="0" applyFont="1" applyFill="1" applyBorder="1" applyAlignment="1" applyProtection="1">
      <alignment horizontal="center" vertical="center"/>
      <protection locked="0"/>
    </xf>
    <xf numFmtId="2" fontId="24" fillId="37" borderId="45" xfId="64" applyNumberFormat="1" applyFont="1" applyFill="1" applyBorder="1" applyAlignment="1" applyProtection="1">
      <alignment horizontal="center" vertical="center"/>
      <protection locked="0"/>
    </xf>
    <xf numFmtId="2" fontId="24" fillId="37" borderId="0" xfId="64" applyNumberFormat="1" applyFont="1" applyFill="1" applyAlignment="1" applyProtection="1">
      <alignment horizontal="center" vertical="center"/>
      <protection locked="0"/>
    </xf>
    <xf numFmtId="2" fontId="24" fillId="37" borderId="46" xfId="64" applyNumberFormat="1" applyFont="1" applyFill="1" applyBorder="1" applyAlignment="1" applyProtection="1">
      <alignment horizontal="center" vertical="center"/>
      <protection locked="0"/>
    </xf>
    <xf numFmtId="2" fontId="45" fillId="37" borderId="45" xfId="64" applyNumberFormat="1" applyFont="1" applyFill="1" applyBorder="1" applyAlignment="1" applyProtection="1">
      <alignment horizontal="center" vertical="center"/>
      <protection locked="0"/>
    </xf>
    <xf numFmtId="2" fontId="45" fillId="37" borderId="0" xfId="64" applyNumberFormat="1" applyFont="1" applyFill="1" applyAlignment="1" applyProtection="1">
      <alignment horizontal="center" vertical="center"/>
      <protection locked="0"/>
    </xf>
    <xf numFmtId="2" fontId="45" fillId="37" borderId="46" xfId="64" applyNumberFormat="1" applyFont="1" applyFill="1" applyBorder="1" applyAlignment="1" applyProtection="1">
      <alignment horizontal="center" vertical="center"/>
      <protection locked="0"/>
    </xf>
    <xf numFmtId="0" fontId="49" fillId="37" borderId="90" xfId="64" applyFont="1" applyFill="1" applyBorder="1" applyAlignment="1" applyProtection="1">
      <alignment horizontal="center" vertical="center"/>
      <protection locked="0"/>
    </xf>
    <xf numFmtId="171" fontId="49" fillId="37" borderId="90" xfId="0" applyNumberFormat="1" applyFont="1" applyFill="1" applyBorder="1" applyAlignment="1" applyProtection="1">
      <alignment horizontal="center" vertical="center"/>
      <protection locked="0"/>
    </xf>
    <xf numFmtId="171" fontId="49" fillId="37" borderId="91" xfId="0" applyNumberFormat="1" applyFont="1" applyFill="1" applyBorder="1" applyAlignment="1" applyProtection="1">
      <alignment horizontal="center" vertical="center"/>
      <protection locked="0"/>
    </xf>
  </cellXfs>
  <cellStyles count="7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 9" xfId="62"/>
    <cellStyle name="Normal_F-06-09" xfId="63"/>
    <cellStyle name="Normal_Plan1" xfId="64"/>
    <cellStyle name="Nota" xfId="65"/>
    <cellStyle name="Percent" xfId="66"/>
    <cellStyle name="Porcentagem 2" xfId="67"/>
    <cellStyle name="Porcentagem 4" xfId="68"/>
    <cellStyle name="Saída" xfId="69"/>
    <cellStyle name="Comma [0]" xfId="70"/>
    <cellStyle name="Separador de milhares 2 2" xfId="71"/>
    <cellStyle name="Separador de milhares 2 2 5" xfId="72"/>
    <cellStyle name="Separador de milhares 2 2 5 2" xfId="73"/>
    <cellStyle name="Separador de milhares 2 2 6" xfId="74"/>
    <cellStyle name="Separador de milhares 3" xfId="75"/>
    <cellStyle name="Separador de milhares 4" xfId="76"/>
    <cellStyle name="Separador de milhares_Projeto Completo Água - Água  Boa(alterado)" xfId="77"/>
    <cellStyle name="Texto de Aviso" xfId="78"/>
    <cellStyle name="Texto Explicativo" xfId="79"/>
    <cellStyle name="Título" xfId="80"/>
    <cellStyle name="Título 1" xfId="81"/>
    <cellStyle name="Título 2" xfId="82"/>
    <cellStyle name="Título 3" xfId="83"/>
    <cellStyle name="Título 4" xfId="84"/>
    <cellStyle name="Total" xfId="85"/>
    <cellStyle name="Comma" xfId="86"/>
    <cellStyle name="Vírgula 12" xfId="87"/>
    <cellStyle name="Vírgula 2" xfId="88"/>
    <cellStyle name="Vírgula 5" xfId="89"/>
    <cellStyle name="Vírgula 5 6" xfId="90"/>
  </cellStyles>
  <dxfs count="112">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0</xdr:row>
      <xdr:rowOff>152400</xdr:rowOff>
    </xdr:from>
    <xdr:to>
      <xdr:col>4</xdr:col>
      <xdr:colOff>447675</xdr:colOff>
      <xdr:row>3</xdr:row>
      <xdr:rowOff>38100</xdr:rowOff>
    </xdr:to>
    <xdr:pic>
      <xdr:nvPicPr>
        <xdr:cNvPr id="1" name="Imagem 3"/>
        <xdr:cNvPicPr preferRelativeResize="1">
          <a:picLocks noChangeAspect="1"/>
        </xdr:cNvPicPr>
      </xdr:nvPicPr>
      <xdr:blipFill>
        <a:blip r:embed="rId1"/>
        <a:stretch>
          <a:fillRect/>
        </a:stretch>
      </xdr:blipFill>
      <xdr:spPr>
        <a:xfrm>
          <a:off x="419100" y="152400"/>
          <a:ext cx="2257425" cy="1028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180975</xdr:colOff>
      <xdr:row>4</xdr:row>
      <xdr:rowOff>76200</xdr:rowOff>
    </xdr:to>
    <xdr:pic>
      <xdr:nvPicPr>
        <xdr:cNvPr id="1" name="Imagem 2"/>
        <xdr:cNvPicPr preferRelativeResize="1">
          <a:picLocks noChangeAspect="1"/>
        </xdr:cNvPicPr>
      </xdr:nvPicPr>
      <xdr:blipFill>
        <a:blip r:embed="rId1"/>
        <a:stretch>
          <a:fillRect/>
        </a:stretch>
      </xdr:blipFill>
      <xdr:spPr>
        <a:xfrm>
          <a:off x="123825" y="123825"/>
          <a:ext cx="128587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76200</xdr:rowOff>
    </xdr:from>
    <xdr:to>
      <xdr:col>1</xdr:col>
      <xdr:colOff>885825</xdr:colOff>
      <xdr:row>4</xdr:row>
      <xdr:rowOff>152400</xdr:rowOff>
    </xdr:to>
    <xdr:pic>
      <xdr:nvPicPr>
        <xdr:cNvPr id="1" name="Imagem 3"/>
        <xdr:cNvPicPr preferRelativeResize="1">
          <a:picLocks noChangeAspect="1"/>
        </xdr:cNvPicPr>
      </xdr:nvPicPr>
      <xdr:blipFill>
        <a:blip r:embed="rId1"/>
        <a:stretch>
          <a:fillRect/>
        </a:stretch>
      </xdr:blipFill>
      <xdr:spPr>
        <a:xfrm>
          <a:off x="285750" y="76200"/>
          <a:ext cx="2162175" cy="1066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114300</xdr:rowOff>
    </xdr:from>
    <xdr:to>
      <xdr:col>2</xdr:col>
      <xdr:colOff>876300</xdr:colOff>
      <xdr:row>4</xdr:row>
      <xdr:rowOff>142875</xdr:rowOff>
    </xdr:to>
    <xdr:pic>
      <xdr:nvPicPr>
        <xdr:cNvPr id="1" name="Imagem 2"/>
        <xdr:cNvPicPr preferRelativeResize="1">
          <a:picLocks noChangeAspect="1"/>
        </xdr:cNvPicPr>
      </xdr:nvPicPr>
      <xdr:blipFill>
        <a:blip r:embed="rId1"/>
        <a:stretch>
          <a:fillRect/>
        </a:stretch>
      </xdr:blipFill>
      <xdr:spPr>
        <a:xfrm>
          <a:off x="552450" y="114300"/>
          <a:ext cx="2066925"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1</xdr:col>
      <xdr:colOff>1647825</xdr:colOff>
      <xdr:row>4</xdr:row>
      <xdr:rowOff>95250</xdr:rowOff>
    </xdr:to>
    <xdr:pic>
      <xdr:nvPicPr>
        <xdr:cNvPr id="1" name="Imagem 2"/>
        <xdr:cNvPicPr preferRelativeResize="1">
          <a:picLocks noChangeAspect="1"/>
        </xdr:cNvPicPr>
      </xdr:nvPicPr>
      <xdr:blipFill>
        <a:blip r:embed="rId1"/>
        <a:stretch>
          <a:fillRect/>
        </a:stretch>
      </xdr:blipFill>
      <xdr:spPr>
        <a:xfrm>
          <a:off x="257175" y="85725"/>
          <a:ext cx="2286000" cy="1000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1</xdr:col>
      <xdr:colOff>476250</xdr:colOff>
      <xdr:row>4</xdr:row>
      <xdr:rowOff>95250</xdr:rowOff>
    </xdr:to>
    <xdr:pic>
      <xdr:nvPicPr>
        <xdr:cNvPr id="1" name="Imagem 3"/>
        <xdr:cNvPicPr preferRelativeResize="1">
          <a:picLocks noChangeAspect="1"/>
        </xdr:cNvPicPr>
      </xdr:nvPicPr>
      <xdr:blipFill>
        <a:blip r:embed="rId1"/>
        <a:stretch>
          <a:fillRect/>
        </a:stretch>
      </xdr:blipFill>
      <xdr:spPr>
        <a:xfrm>
          <a:off x="200025" y="180975"/>
          <a:ext cx="171450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438650" y="123825"/>
          <a:ext cx="0" cy="66675"/>
        </a:xfrm>
        <a:prstGeom prst="rect">
          <a:avLst/>
        </a:prstGeom>
        <a:noFill/>
        <a:ln w="9525" cmpd="sng">
          <a:noFill/>
        </a:ln>
      </xdr:spPr>
    </xdr:pic>
    <xdr:clientData/>
  </xdr:twoCellAnchor>
  <xdr:twoCellAnchor editAs="oneCell">
    <xdr:from>
      <xdr:col>0</xdr:col>
      <xdr:colOff>285750</xdr:colOff>
      <xdr:row>1</xdr:row>
      <xdr:rowOff>57150</xdr:rowOff>
    </xdr:from>
    <xdr:to>
      <xdr:col>1</xdr:col>
      <xdr:colOff>1200150</xdr:colOff>
      <xdr:row>4</xdr:row>
      <xdr:rowOff>47625</xdr:rowOff>
    </xdr:to>
    <xdr:pic>
      <xdr:nvPicPr>
        <xdr:cNvPr id="2" name="Imagem 3"/>
        <xdr:cNvPicPr preferRelativeResize="1">
          <a:picLocks noChangeAspect="1"/>
        </xdr:cNvPicPr>
      </xdr:nvPicPr>
      <xdr:blipFill>
        <a:blip r:embed="rId2"/>
        <a:stretch>
          <a:fillRect/>
        </a:stretch>
      </xdr:blipFill>
      <xdr:spPr>
        <a:xfrm>
          <a:off x="285750" y="247650"/>
          <a:ext cx="12763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209550</xdr:rowOff>
    </xdr:from>
    <xdr:to>
      <xdr:col>1</xdr:col>
      <xdr:colOff>2047875</xdr:colOff>
      <xdr:row>4</xdr:row>
      <xdr:rowOff>0</xdr:rowOff>
    </xdr:to>
    <xdr:pic>
      <xdr:nvPicPr>
        <xdr:cNvPr id="1" name="Imagem 3"/>
        <xdr:cNvPicPr preferRelativeResize="1">
          <a:picLocks noChangeAspect="1"/>
        </xdr:cNvPicPr>
      </xdr:nvPicPr>
      <xdr:blipFill>
        <a:blip r:embed="rId1"/>
        <a:stretch>
          <a:fillRect/>
        </a:stretch>
      </xdr:blipFill>
      <xdr:spPr>
        <a:xfrm>
          <a:off x="552450" y="209550"/>
          <a:ext cx="226695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419100</xdr:rowOff>
    </xdr:from>
    <xdr:to>
      <xdr:col>2</xdr:col>
      <xdr:colOff>95250</xdr:colOff>
      <xdr:row>4</xdr:row>
      <xdr:rowOff>95250</xdr:rowOff>
    </xdr:to>
    <xdr:pic>
      <xdr:nvPicPr>
        <xdr:cNvPr id="1" name="Imagem 3"/>
        <xdr:cNvPicPr preferRelativeResize="1">
          <a:picLocks noChangeAspect="1"/>
        </xdr:cNvPicPr>
      </xdr:nvPicPr>
      <xdr:blipFill>
        <a:blip r:embed="rId1"/>
        <a:stretch>
          <a:fillRect/>
        </a:stretch>
      </xdr:blipFill>
      <xdr:spPr>
        <a:xfrm>
          <a:off x="1076325" y="419100"/>
          <a:ext cx="5114925"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123825</xdr:rowOff>
    </xdr:from>
    <xdr:to>
      <xdr:col>1</xdr:col>
      <xdr:colOff>1400175</xdr:colOff>
      <xdr:row>4</xdr:row>
      <xdr:rowOff>66675</xdr:rowOff>
    </xdr:to>
    <xdr:pic>
      <xdr:nvPicPr>
        <xdr:cNvPr id="1" name="Imagem 3"/>
        <xdr:cNvPicPr preferRelativeResize="1">
          <a:picLocks noChangeAspect="1"/>
        </xdr:cNvPicPr>
      </xdr:nvPicPr>
      <xdr:blipFill>
        <a:blip r:embed="rId1"/>
        <a:stretch>
          <a:fillRect/>
        </a:stretch>
      </xdr:blipFill>
      <xdr:spPr>
        <a:xfrm>
          <a:off x="371475" y="123825"/>
          <a:ext cx="15811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2</xdr:col>
      <xdr:colOff>228600</xdr:colOff>
      <xdr:row>4</xdr:row>
      <xdr:rowOff>28575</xdr:rowOff>
    </xdr:to>
    <xdr:pic>
      <xdr:nvPicPr>
        <xdr:cNvPr id="1" name="Imagem 3"/>
        <xdr:cNvPicPr preferRelativeResize="1">
          <a:picLocks noChangeAspect="1"/>
        </xdr:cNvPicPr>
      </xdr:nvPicPr>
      <xdr:blipFill>
        <a:blip r:embed="rId1"/>
        <a:stretch>
          <a:fillRect/>
        </a:stretch>
      </xdr:blipFill>
      <xdr:spPr>
        <a:xfrm>
          <a:off x="133350" y="95250"/>
          <a:ext cx="112395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1123950</xdr:colOff>
      <xdr:row>4</xdr:row>
      <xdr:rowOff>0</xdr:rowOff>
    </xdr:to>
    <xdr:pic>
      <xdr:nvPicPr>
        <xdr:cNvPr id="1" name="Imagem 3"/>
        <xdr:cNvPicPr preferRelativeResize="1">
          <a:picLocks noChangeAspect="1"/>
        </xdr:cNvPicPr>
      </xdr:nvPicPr>
      <xdr:blipFill>
        <a:blip r:embed="rId1"/>
        <a:stretch>
          <a:fillRect/>
        </a:stretch>
      </xdr:blipFill>
      <xdr:spPr>
        <a:xfrm>
          <a:off x="104775" y="152400"/>
          <a:ext cx="16383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2</xdr:col>
      <xdr:colOff>247650</xdr:colOff>
      <xdr:row>4</xdr:row>
      <xdr:rowOff>47625</xdr:rowOff>
    </xdr:to>
    <xdr:pic>
      <xdr:nvPicPr>
        <xdr:cNvPr id="1" name="Imagem 3"/>
        <xdr:cNvPicPr preferRelativeResize="1">
          <a:picLocks noChangeAspect="1"/>
        </xdr:cNvPicPr>
      </xdr:nvPicPr>
      <xdr:blipFill>
        <a:blip r:embed="rId1"/>
        <a:stretch>
          <a:fillRect/>
        </a:stretch>
      </xdr:blipFill>
      <xdr:spPr>
        <a:xfrm>
          <a:off x="238125" y="161925"/>
          <a:ext cx="12382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542925</xdr:colOff>
      <xdr:row>4</xdr:row>
      <xdr:rowOff>142875</xdr:rowOff>
    </xdr:to>
    <xdr:pic>
      <xdr:nvPicPr>
        <xdr:cNvPr id="1" name="Imagem 3"/>
        <xdr:cNvPicPr preferRelativeResize="1">
          <a:picLocks noChangeAspect="1"/>
        </xdr:cNvPicPr>
      </xdr:nvPicPr>
      <xdr:blipFill>
        <a:blip r:embed="rId1"/>
        <a:stretch>
          <a:fillRect/>
        </a:stretch>
      </xdr:blipFill>
      <xdr:spPr>
        <a:xfrm>
          <a:off x="133350" y="38100"/>
          <a:ext cx="16383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ra%20Mileo%20Yamada\Documents\SESAN%20Ananindeua\Docs%20Internos%20SESAN\PLANILHAS%20-%20EMENDA%20CENT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eniffer%20Nascimento\Downloads\MODEL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ra%20Mileo%20Yamada\Documents\SESAN%20Ananindeua\Docs%20Internos%20SESAN\109-%20Emenda%20F.%20Freitas\PLANILHAS%20-%20EMENDA%20F.%20FREITAS_re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GERAL"/>
      <sheetName val="MC-DRE"/>
      <sheetName val="MC-PAV"/>
      <sheetName val="CRONOGRAMA"/>
      <sheetName val="ENCARGOS"/>
      <sheetName val="BDI"/>
      <sheetName val="CPU-1"/>
      <sheetName val="CPU-2.1"/>
      <sheetName val="CPU-2.2"/>
      <sheetName val="CPU-3"/>
      <sheetName val="CPU-4"/>
    </sheetNames>
    <sheetDataSet>
      <sheetData sheetId="0">
        <row r="6">
          <cell r="C6" t="str">
            <v>EXECUÇÃO DOS SERVIÇOS DE DRENAGEM SUPERFICIAL, PROFUNDA, TERRAPLENAGEM E PAVIMENTAÇÃO NA PASS. JOÃO AVELINO E MEIO FIO, TERRAPLENAGEM E PAVIMENTAÇÃO NA RUA DO MAGUARI E PASS. JOANA D'ARC - CENTRO - ANANINDEUA - PA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ÇAMENTO DESONERADO"/>
      <sheetName val="DADOS DA OBRA"/>
      <sheetName val="1.ADM. LOCAL"/>
      <sheetName val="2.SER.PREL."/>
      <sheetName val="3.MOBILIZAÇÃO"/>
      <sheetName val="COMPOS.MOBILIZAÇÃO"/>
      <sheetName val="4.REV-PAV"/>
      <sheetName val="B.D.I  DESONERADO"/>
      <sheetName val="CPU 004 - ASFALTO"/>
      <sheetName val="CPU 005-USINAGEM"/>
      <sheetName val="CFF Desonerado"/>
      <sheetName val="COMPOSIÇÕES"/>
    </sheetNames>
    <sheetDataSet>
      <sheetData sheetId="0">
        <row r="30">
          <cell r="C30" t="str">
            <v>97912</v>
          </cell>
        </row>
        <row r="31">
          <cell r="C31" t="str">
            <v>98525</v>
          </cell>
          <cell r="D31" t="str">
            <v>LIMPEZA MECANIZADA DE CAMADA VEGETAL, VEGETAÇÃO E PEQUENAS ÁRVORES (DIÂMETRO DE TRONCO MENOR QUE 0,20 M), COM TRATOR DE ESTEIRAS.AF_05/2018 (LIMPEZA DA JAZIDA)</v>
          </cell>
        </row>
        <row r="32">
          <cell r="C32" t="str">
            <v>101126</v>
          </cell>
          <cell r="D32" t="str">
            <v>ESCAVAÇÃO HORIZONTAL, INCLUINDO CARGA E DESCARGA EM SOLO DE 1A CATEGORIA COM TRATOR DE ESTEIRAS (170HP/LÂMINA: 5,20M3). AF_07/2020 (MATERIAL DA JAZIDA)</v>
          </cell>
        </row>
        <row r="33">
          <cell r="D33" t="str">
            <v>TRANSPORTE COM CAMINHÃO BASCULANTE DE 6 M3, EM VIA URBANA EM LEITO NATURAL (UNIDADE: M3XKM). AF_01/2018</v>
          </cell>
        </row>
        <row r="37">
          <cell r="C37" t="str">
            <v>101126</v>
          </cell>
        </row>
        <row r="38">
          <cell r="D38" t="str">
            <v>TRANSPORTE COM CAMINHÃO BASCULANTE DE 6 M3, EM VIA URBANA EM LEITO NATURAL (UNIDADE: M3XKM). AF_01/2018</v>
          </cell>
        </row>
        <row r="39">
          <cell r="C39" t="str">
            <v>96388</v>
          </cell>
          <cell r="D39" t="str">
            <v>EXECUÇÃO E COMPACTAÇÃO DE BASE E OU SUB BASE PARA PAVIMENTAÇÃO DE SOLOS DE COMPORTAMENTO LATERÍTICO (ARENOSO) - EXCLUSIVE SOLO, ESCAVAÇÃO, CARGA E TRANSPORTE. AF_11/2019</v>
          </cell>
        </row>
        <row r="49">
          <cell r="C49" t="str">
            <v>96401</v>
          </cell>
          <cell r="D49" t="str">
            <v>EXECUÇÃO DE IMPRIMAÇÃO COM ASFALTO DILUÍDO CM-30. AF_09/2017</v>
          </cell>
        </row>
        <row r="50">
          <cell r="C50" t="str">
            <v>96402</v>
          </cell>
          <cell r="D50" t="str">
            <v>EXECUÇÃO DE PINTURA DE LIGAÇÃO COM EMULSÃO ASFÁLTICA RR-2C. AF_11/2019</v>
          </cell>
        </row>
        <row r="51">
          <cell r="D51" t="str">
            <v> TRANSPORTE COM CAMINHÃO BASCULANTE DE 18 M³, EM VIA URBANA PAVIMENTADA, ADICIONAL PARA DMT EXCEDENTE A 30 KM (UNIDADE: M3XKM). AF_07/2020</v>
          </cell>
        </row>
        <row r="52">
          <cell r="C52" t="str">
            <v>004</v>
          </cell>
          <cell r="D52" t="str">
            <v>CONSTRUÇÃO DE PAVIMENTO COM APLICAÇÃO DE CONCRETO BETUMINOSO USINADO A QUENTE (CBUQ), CAMADA DE ROLAMENTO, COM ESPESSURA DE 3,5 CM - EXCLUSIVE TRANSPORTE. AF_03/2017</v>
          </cell>
        </row>
        <row r="56">
          <cell r="D56" t="str">
            <v>SINALIZACAO HORIZONTAL COM TINTA RETRORREFLETIVA A BASE DE RESINA ACRILICA COM MICROESFERAS DE VIDRO</v>
          </cell>
        </row>
      </sheetData>
      <sheetData sheetId="5">
        <row r="23">
          <cell r="M23">
            <v>86825.239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ÇAMENTO GERAL"/>
      <sheetName val="MC-DRE"/>
      <sheetName val="MC-PAV"/>
      <sheetName val="CRONOGRAMA"/>
      <sheetName val="ENCARGOS SOCIAIS"/>
      <sheetName val="CPU-1"/>
      <sheetName val="CPU-2"/>
      <sheetName val="CPU-2-2"/>
      <sheetName val="CPU-3"/>
      <sheetName val="CPU-4"/>
      <sheetName val="BDI"/>
    </sheetNames>
    <sheetDataSet>
      <sheetData sheetId="6">
        <row r="27">
          <cell r="J27">
            <v>22</v>
          </cell>
        </row>
        <row r="36">
          <cell r="J36">
            <v>2</v>
          </cell>
        </row>
        <row r="43">
          <cell r="J43">
            <v>10</v>
          </cell>
        </row>
        <row r="50">
          <cell r="J50">
            <v>10</v>
          </cell>
        </row>
        <row r="57">
          <cell r="J57">
            <v>4</v>
          </cell>
        </row>
        <row r="64">
          <cell r="J64">
            <v>4</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94"/>
  <sheetViews>
    <sheetView view="pageBreakPreview" zoomScale="70" zoomScaleNormal="60" zoomScaleSheetLayoutView="70" zoomScalePageLayoutView="0" workbookViewId="0" topLeftCell="C67">
      <selection activeCell="K81" sqref="K81"/>
    </sheetView>
  </sheetViews>
  <sheetFormatPr defaultColWidth="9.140625" defaultRowHeight="12.75"/>
  <cols>
    <col min="1" max="2" width="4.421875" style="2" hidden="1" customWidth="1"/>
    <col min="3" max="4" width="16.7109375" style="2" customWidth="1"/>
    <col min="5" max="5" width="22.7109375" style="2" customWidth="1"/>
    <col min="6" max="6" width="100.7109375" style="2" customWidth="1"/>
    <col min="7" max="8" width="16.7109375" style="2" customWidth="1"/>
    <col min="9" max="10" width="19.7109375" style="2" customWidth="1"/>
    <col min="11" max="11" width="23.00390625" style="2" customWidth="1"/>
    <col min="12" max="12" width="4.421875" style="2" customWidth="1"/>
    <col min="13" max="13" width="59.140625" style="2" customWidth="1"/>
    <col min="14" max="14" width="14.8515625" style="2" bestFit="1" customWidth="1"/>
    <col min="15" max="15" width="15.8515625" style="2" customWidth="1"/>
    <col min="16" max="16" width="16.28125" style="2" customWidth="1"/>
    <col min="17" max="16384" width="9.140625" style="2" customWidth="1"/>
  </cols>
  <sheetData>
    <row r="1" spans="3:11" ht="48" customHeight="1">
      <c r="C1" s="714" t="s">
        <v>24</v>
      </c>
      <c r="D1" s="715"/>
      <c r="E1" s="715"/>
      <c r="F1" s="715"/>
      <c r="G1" s="715"/>
      <c r="H1" s="715"/>
      <c r="I1" s="715"/>
      <c r="J1" s="715"/>
      <c r="K1" s="716"/>
    </row>
    <row r="2" spans="3:11" ht="21.75" customHeight="1">
      <c r="C2" s="717" t="s">
        <v>213</v>
      </c>
      <c r="D2" s="718"/>
      <c r="E2" s="718"/>
      <c r="F2" s="718"/>
      <c r="G2" s="718"/>
      <c r="H2" s="718"/>
      <c r="I2" s="718"/>
      <c r="J2" s="718"/>
      <c r="K2" s="719"/>
    </row>
    <row r="3" spans="3:11" ht="20.25" customHeight="1">
      <c r="C3" s="717" t="s">
        <v>23</v>
      </c>
      <c r="D3" s="718"/>
      <c r="E3" s="718"/>
      <c r="F3" s="718"/>
      <c r="G3" s="718"/>
      <c r="H3" s="718"/>
      <c r="I3" s="718"/>
      <c r="J3" s="718"/>
      <c r="K3" s="719"/>
    </row>
    <row r="4" spans="3:11" ht="14.25" customHeight="1" thickBot="1">
      <c r="C4" s="732"/>
      <c r="D4" s="733"/>
      <c r="E4" s="733"/>
      <c r="F4" s="733"/>
      <c r="G4" s="733"/>
      <c r="H4" s="733"/>
      <c r="I4" s="733"/>
      <c r="J4" s="733"/>
      <c r="K4" s="734"/>
    </row>
    <row r="5" spans="3:11" ht="21.75" customHeight="1" thickBot="1" thickTop="1">
      <c r="C5" s="720" t="s">
        <v>30</v>
      </c>
      <c r="D5" s="721"/>
      <c r="E5" s="721"/>
      <c r="F5" s="721"/>
      <c r="G5" s="721"/>
      <c r="H5" s="721"/>
      <c r="I5" s="721"/>
      <c r="J5" s="721"/>
      <c r="K5" s="722"/>
    </row>
    <row r="6" spans="3:16" ht="58.5" customHeight="1" thickTop="1">
      <c r="C6" s="725" t="s">
        <v>566</v>
      </c>
      <c r="D6" s="726"/>
      <c r="E6" s="726"/>
      <c r="F6" s="726"/>
      <c r="G6" s="726"/>
      <c r="H6" s="726"/>
      <c r="I6" s="726"/>
      <c r="J6" s="726"/>
      <c r="K6" s="727"/>
      <c r="M6" s="51"/>
      <c r="N6" s="51"/>
      <c r="O6" s="51"/>
      <c r="P6" s="52"/>
    </row>
    <row r="7" spans="3:16" ht="31.5">
      <c r="C7" s="728" t="s">
        <v>7</v>
      </c>
      <c r="D7" s="730" t="s">
        <v>209</v>
      </c>
      <c r="E7" s="730" t="s">
        <v>653</v>
      </c>
      <c r="F7" s="730" t="s">
        <v>6</v>
      </c>
      <c r="G7" s="701" t="s">
        <v>170</v>
      </c>
      <c r="H7" s="701" t="s">
        <v>28</v>
      </c>
      <c r="I7" s="701" t="s">
        <v>31</v>
      </c>
      <c r="J7" s="386" t="s">
        <v>313</v>
      </c>
      <c r="K7" s="702" t="s">
        <v>27</v>
      </c>
      <c r="M7" s="181"/>
      <c r="N7" s="182"/>
      <c r="O7" s="182"/>
      <c r="P7" s="182"/>
    </row>
    <row r="8" spans="3:16" ht="21">
      <c r="C8" s="729"/>
      <c r="D8" s="731"/>
      <c r="E8" s="731"/>
      <c r="F8" s="731"/>
      <c r="G8" s="701"/>
      <c r="H8" s="701"/>
      <c r="I8" s="701"/>
      <c r="J8" s="235">
        <v>0.2746</v>
      </c>
      <c r="K8" s="702"/>
      <c r="M8" s="215"/>
      <c r="N8" s="216"/>
      <c r="O8" s="216"/>
      <c r="P8" s="216"/>
    </row>
    <row r="9" spans="3:16" ht="21.75" customHeight="1">
      <c r="C9" s="96">
        <v>1</v>
      </c>
      <c r="D9" s="97"/>
      <c r="E9" s="97"/>
      <c r="F9" s="191" t="s">
        <v>1</v>
      </c>
      <c r="G9" s="723"/>
      <c r="H9" s="723"/>
      <c r="I9" s="723"/>
      <c r="J9" s="723"/>
      <c r="K9" s="724"/>
      <c r="M9" s="704"/>
      <c r="N9" s="703"/>
      <c r="O9" s="703"/>
      <c r="P9" s="703"/>
    </row>
    <row r="10" spans="3:16" s="87" customFormat="1" ht="34.5" customHeight="1">
      <c r="C10" s="63" t="s">
        <v>25</v>
      </c>
      <c r="D10" s="100" t="s">
        <v>210</v>
      </c>
      <c r="E10" s="143">
        <v>11340</v>
      </c>
      <c r="F10" s="192" t="s">
        <v>342</v>
      </c>
      <c r="G10" s="65">
        <v>6</v>
      </c>
      <c r="H10" s="64" t="s">
        <v>2</v>
      </c>
      <c r="I10" s="66">
        <v>176.27</v>
      </c>
      <c r="J10" s="67">
        <f>ROUND(I10*(1+$J$8),2)</f>
        <v>224.67</v>
      </c>
      <c r="K10" s="68">
        <f>ROUND(J10*G10,2)</f>
        <v>1348.02</v>
      </c>
      <c r="M10" s="704"/>
      <c r="N10" s="703"/>
      <c r="O10" s="703"/>
      <c r="P10" s="703"/>
    </row>
    <row r="11" spans="3:16" s="87" customFormat="1" ht="34.5" customHeight="1">
      <c r="C11" s="63" t="s">
        <v>26</v>
      </c>
      <c r="D11" s="100" t="s">
        <v>211</v>
      </c>
      <c r="E11" s="69" t="s">
        <v>173</v>
      </c>
      <c r="F11" s="180" t="s">
        <v>46</v>
      </c>
      <c r="G11" s="65">
        <v>1</v>
      </c>
      <c r="H11" s="70" t="s">
        <v>383</v>
      </c>
      <c r="I11" s="66">
        <f>'CPU-I'!H30</f>
        <v>6249.6</v>
      </c>
      <c r="J11" s="67">
        <f>ROUND(I11*(1+$J$8),2)</f>
        <v>7965.74</v>
      </c>
      <c r="K11" s="68">
        <f>ROUND(J11*G11,2)</f>
        <v>7965.74</v>
      </c>
      <c r="M11" s="519"/>
      <c r="N11" s="520"/>
      <c r="O11" s="520"/>
      <c r="P11" s="520"/>
    </row>
    <row r="12" spans="3:16" s="87" customFormat="1" ht="34.5" customHeight="1">
      <c r="C12" s="63" t="s">
        <v>568</v>
      </c>
      <c r="D12" s="100" t="s">
        <v>211</v>
      </c>
      <c r="E12" s="143" t="s">
        <v>572</v>
      </c>
      <c r="F12" s="531" t="s">
        <v>569</v>
      </c>
      <c r="G12" s="65">
        <v>1</v>
      </c>
      <c r="H12" s="64" t="s">
        <v>383</v>
      </c>
      <c r="I12" s="66">
        <f>'CPU - V'!K19</f>
        <v>18970.2</v>
      </c>
      <c r="J12" s="67">
        <f>ROUND(I12*(1+$J$8),2)</f>
        <v>24179.42</v>
      </c>
      <c r="K12" s="68">
        <f>ROUND(J12*G12,2)</f>
        <v>24179.42</v>
      </c>
      <c r="M12" s="519"/>
      <c r="N12" s="520"/>
      <c r="O12" s="520"/>
      <c r="P12" s="520"/>
    </row>
    <row r="13" spans="3:16" s="87" customFormat="1" ht="34.5" customHeight="1">
      <c r="C13" s="63" t="s">
        <v>570</v>
      </c>
      <c r="D13" s="100" t="s">
        <v>211</v>
      </c>
      <c r="E13" s="143" t="s">
        <v>573</v>
      </c>
      <c r="F13" s="531" t="s">
        <v>571</v>
      </c>
      <c r="G13" s="65">
        <v>1</v>
      </c>
      <c r="H13" s="70" t="s">
        <v>383</v>
      </c>
      <c r="I13" s="66">
        <f>'CPU - VI'!K15</f>
        <v>7409.4</v>
      </c>
      <c r="J13" s="67">
        <f>ROUND(I13*(1+$J$8),2)</f>
        <v>9444.02</v>
      </c>
      <c r="K13" s="68">
        <f>ROUND(J13*G13,2)</f>
        <v>9444.02</v>
      </c>
      <c r="M13" s="704"/>
      <c r="N13" s="703"/>
      <c r="O13" s="703"/>
      <c r="P13" s="703"/>
    </row>
    <row r="14" spans="3:16" ht="21.75" customHeight="1">
      <c r="C14" s="711" t="s">
        <v>656</v>
      </c>
      <c r="D14" s="712"/>
      <c r="E14" s="712"/>
      <c r="F14" s="712"/>
      <c r="G14" s="712"/>
      <c r="H14" s="712"/>
      <c r="I14" s="712"/>
      <c r="J14" s="713"/>
      <c r="K14" s="98">
        <f>SUM(K10:K13)</f>
        <v>42937.2</v>
      </c>
      <c r="M14" s="704"/>
      <c r="N14" s="703"/>
      <c r="O14" s="703"/>
      <c r="P14" s="703"/>
    </row>
    <row r="15" spans="1:16" ht="21.75" customHeight="1">
      <c r="A15" s="88"/>
      <c r="B15" s="88"/>
      <c r="C15" s="96">
        <v>2</v>
      </c>
      <c r="D15" s="385"/>
      <c r="E15" s="385"/>
      <c r="F15" s="186" t="s">
        <v>16</v>
      </c>
      <c r="G15" s="708"/>
      <c r="H15" s="708"/>
      <c r="I15" s="708"/>
      <c r="J15" s="708"/>
      <c r="K15" s="709"/>
      <c r="M15" s="181"/>
      <c r="N15" s="182"/>
      <c r="O15" s="182"/>
      <c r="P15" s="182"/>
    </row>
    <row r="16" spans="1:16" s="87" customFormat="1" ht="34.5" customHeight="1" hidden="1">
      <c r="A16" s="89"/>
      <c r="B16" s="89"/>
      <c r="C16" s="74" t="s">
        <v>4</v>
      </c>
      <c r="D16" s="142" t="s">
        <v>210</v>
      </c>
      <c r="E16" s="69" t="s">
        <v>258</v>
      </c>
      <c r="F16" s="183" t="s">
        <v>259</v>
      </c>
      <c r="G16" s="75">
        <f>'MC-PAV'!F33</f>
        <v>0</v>
      </c>
      <c r="H16" s="64" t="s">
        <v>0</v>
      </c>
      <c r="I16" s="76">
        <v>234.53</v>
      </c>
      <c r="J16" s="67">
        <f>ROUND(I16*(1+$J$8),2)</f>
        <v>298.93</v>
      </c>
      <c r="K16" s="68">
        <f>ROUND(J16*G16,2)</f>
        <v>0</v>
      </c>
      <c r="M16" s="184"/>
      <c r="N16" s="185"/>
      <c r="O16" s="185"/>
      <c r="P16" s="185"/>
    </row>
    <row r="17" spans="1:16" s="87" customFormat="1" ht="34.5" customHeight="1" hidden="1">
      <c r="A17" s="89"/>
      <c r="B17" s="89"/>
      <c r="C17" s="74" t="s">
        <v>8</v>
      </c>
      <c r="D17" s="142" t="s">
        <v>212</v>
      </c>
      <c r="E17" s="69" t="s">
        <v>38</v>
      </c>
      <c r="F17" s="183" t="s">
        <v>240</v>
      </c>
      <c r="G17" s="75">
        <f>'MC-PAV'!G33</f>
        <v>0</v>
      </c>
      <c r="H17" s="64" t="s">
        <v>2</v>
      </c>
      <c r="I17" s="76">
        <v>92</v>
      </c>
      <c r="J17" s="67">
        <f>ROUND(I17*(1+$J$8),2)</f>
        <v>117.26</v>
      </c>
      <c r="K17" s="68">
        <f>ROUND(J17*G17,2)</f>
        <v>0</v>
      </c>
      <c r="M17" s="184"/>
      <c r="N17" s="185"/>
      <c r="O17" s="185"/>
      <c r="P17" s="185"/>
    </row>
    <row r="18" spans="1:16" s="87" customFormat="1" ht="34.5" customHeight="1">
      <c r="A18" s="89"/>
      <c r="B18" s="89"/>
      <c r="C18" s="74" t="s">
        <v>9</v>
      </c>
      <c r="D18" s="142" t="s">
        <v>212</v>
      </c>
      <c r="E18" s="69" t="s">
        <v>171</v>
      </c>
      <c r="F18" s="183" t="s">
        <v>172</v>
      </c>
      <c r="G18" s="75">
        <f>'MC-PAV'!H33</f>
        <v>108.36</v>
      </c>
      <c r="H18" s="65" t="s">
        <v>0</v>
      </c>
      <c r="I18" s="76">
        <v>13.19</v>
      </c>
      <c r="J18" s="67">
        <f>ROUND(I18*(1+$J$8),2)</f>
        <v>16.81</v>
      </c>
      <c r="K18" s="68">
        <f>ROUND(J18*G18,2)</f>
        <v>1821.53</v>
      </c>
      <c r="M18" s="184"/>
      <c r="N18" s="185"/>
      <c r="O18" s="185"/>
      <c r="P18" s="185"/>
    </row>
    <row r="19" spans="1:11" s="87" customFormat="1" ht="34.5" customHeight="1">
      <c r="A19" s="89"/>
      <c r="B19" s="89"/>
      <c r="C19" s="74" t="s">
        <v>10</v>
      </c>
      <c r="D19" s="142" t="s">
        <v>212</v>
      </c>
      <c r="E19" s="69" t="s">
        <v>77</v>
      </c>
      <c r="F19" s="183" t="s">
        <v>78</v>
      </c>
      <c r="G19" s="75">
        <f>'MC-PAV'!I33</f>
        <v>2520</v>
      </c>
      <c r="H19" s="70" t="s">
        <v>3</v>
      </c>
      <c r="I19" s="76">
        <v>40.71</v>
      </c>
      <c r="J19" s="67">
        <f>ROUND(I19*(1+$J$8),2)</f>
        <v>51.89</v>
      </c>
      <c r="K19" s="68">
        <f>ROUND(J19*G19,2)</f>
        <v>130762.8</v>
      </c>
    </row>
    <row r="20" spans="1:11" s="87" customFormat="1" ht="34.5" customHeight="1">
      <c r="A20" s="89"/>
      <c r="B20" s="89"/>
      <c r="C20" s="74" t="s">
        <v>288</v>
      </c>
      <c r="D20" s="142" t="s">
        <v>212</v>
      </c>
      <c r="E20" s="72" t="s">
        <v>79</v>
      </c>
      <c r="F20" s="179" t="s">
        <v>80</v>
      </c>
      <c r="G20" s="75">
        <f>'MC-PAV'!I33</f>
        <v>2520</v>
      </c>
      <c r="H20" s="70" t="s">
        <v>3</v>
      </c>
      <c r="I20" s="67">
        <v>32.35</v>
      </c>
      <c r="J20" s="67">
        <f>ROUND(I20*(1+$J$8),2)</f>
        <v>41.23</v>
      </c>
      <c r="K20" s="68">
        <f>ROUND(J20*G20,2)</f>
        <v>103899.6</v>
      </c>
    </row>
    <row r="21" spans="1:11" ht="21.75" customHeight="1">
      <c r="A21" s="88"/>
      <c r="B21" s="88"/>
      <c r="C21" s="705" t="s">
        <v>11</v>
      </c>
      <c r="D21" s="706"/>
      <c r="E21" s="706"/>
      <c r="F21" s="706"/>
      <c r="G21" s="706"/>
      <c r="H21" s="706"/>
      <c r="I21" s="706"/>
      <c r="J21" s="707"/>
      <c r="K21" s="98">
        <f>SUM(K16:K20)</f>
        <v>236483.93000000002</v>
      </c>
    </row>
    <row r="22" spans="3:11" ht="21.75" customHeight="1">
      <c r="C22" s="95">
        <v>3</v>
      </c>
      <c r="D22" s="187"/>
      <c r="E22" s="187"/>
      <c r="F22" s="386" t="s">
        <v>5</v>
      </c>
      <c r="G22" s="710"/>
      <c r="H22" s="708"/>
      <c r="I22" s="708"/>
      <c r="J22" s="708"/>
      <c r="K22" s="709"/>
    </row>
    <row r="23" spans="3:11" s="87" customFormat="1" ht="34.5" customHeight="1">
      <c r="C23" s="85" t="s">
        <v>13</v>
      </c>
      <c r="D23" s="103" t="s">
        <v>210</v>
      </c>
      <c r="E23" s="203">
        <v>180720</v>
      </c>
      <c r="F23" s="189" t="s">
        <v>265</v>
      </c>
      <c r="G23" s="65">
        <f>'MC-DRE'!E34</f>
        <v>80</v>
      </c>
      <c r="H23" s="70" t="s">
        <v>3</v>
      </c>
      <c r="I23" s="77">
        <v>145.63</v>
      </c>
      <c r="J23" s="67">
        <f aca="true" t="shared" si="0" ref="J23:J54">ROUND(I23*(1+$J$8),2)</f>
        <v>185.62</v>
      </c>
      <c r="K23" s="68">
        <f aca="true" t="shared" si="1" ref="K23:K54">ROUND(J23*G23,2)</f>
        <v>14849.6</v>
      </c>
    </row>
    <row r="24" spans="3:11" s="87" customFormat="1" ht="34.5" customHeight="1">
      <c r="C24" s="71" t="s">
        <v>264</v>
      </c>
      <c r="D24" s="142" t="s">
        <v>212</v>
      </c>
      <c r="E24" s="69">
        <v>90106</v>
      </c>
      <c r="F24" s="180" t="s">
        <v>444</v>
      </c>
      <c r="G24" s="65">
        <f>'MC-DRE'!I34</f>
        <v>76</v>
      </c>
      <c r="H24" s="64" t="s">
        <v>0</v>
      </c>
      <c r="I24" s="77">
        <v>6.19</v>
      </c>
      <c r="J24" s="67">
        <f t="shared" si="0"/>
        <v>7.89</v>
      </c>
      <c r="K24" s="68">
        <f t="shared" si="1"/>
        <v>599.64</v>
      </c>
    </row>
    <row r="25" spans="3:11" s="87" customFormat="1" ht="34.5" customHeight="1">
      <c r="C25" s="71" t="s">
        <v>266</v>
      </c>
      <c r="D25" s="101" t="s">
        <v>212</v>
      </c>
      <c r="E25" s="69">
        <v>101616</v>
      </c>
      <c r="F25" s="180" t="s">
        <v>268</v>
      </c>
      <c r="G25" s="65">
        <f>'MC-DRE'!J34</f>
        <v>72</v>
      </c>
      <c r="H25" s="64" t="s">
        <v>0</v>
      </c>
      <c r="I25" s="77">
        <v>4.95</v>
      </c>
      <c r="J25" s="67">
        <f t="shared" si="0"/>
        <v>6.31</v>
      </c>
      <c r="K25" s="68">
        <f t="shared" si="1"/>
        <v>454.32</v>
      </c>
    </row>
    <row r="26" spans="3:11" s="87" customFormat="1" ht="34.5" customHeight="1">
      <c r="C26" s="71" t="s">
        <v>267</v>
      </c>
      <c r="D26" s="101" t="s">
        <v>212</v>
      </c>
      <c r="E26" s="69" t="s">
        <v>435</v>
      </c>
      <c r="F26" s="183" t="s">
        <v>436</v>
      </c>
      <c r="G26" s="65">
        <f>'MC-DRE'!L34</f>
        <v>65.952</v>
      </c>
      <c r="H26" s="64" t="s">
        <v>0</v>
      </c>
      <c r="I26" s="77">
        <v>16.27</v>
      </c>
      <c r="J26" s="67">
        <f t="shared" si="0"/>
        <v>20.74</v>
      </c>
      <c r="K26" s="68">
        <f t="shared" si="1"/>
        <v>1367.84</v>
      </c>
    </row>
    <row r="27" spans="3:11" s="87" customFormat="1" ht="34.5" customHeight="1">
      <c r="C27" s="71" t="s">
        <v>269</v>
      </c>
      <c r="D27" s="387" t="s">
        <v>210</v>
      </c>
      <c r="E27" s="143">
        <v>260278</v>
      </c>
      <c r="F27" s="183" t="s">
        <v>423</v>
      </c>
      <c r="G27" s="65">
        <f>'MC-DRE'!M34</f>
        <v>72</v>
      </c>
      <c r="H27" s="65" t="s">
        <v>2</v>
      </c>
      <c r="I27" s="388">
        <v>35.43</v>
      </c>
      <c r="J27" s="67">
        <f t="shared" si="0"/>
        <v>45.16</v>
      </c>
      <c r="K27" s="68">
        <f t="shared" si="1"/>
        <v>3251.52</v>
      </c>
    </row>
    <row r="28" spans="3:11" s="87" customFormat="1" ht="34.5" customHeight="1">
      <c r="C28" s="71" t="s">
        <v>270</v>
      </c>
      <c r="D28" s="387" t="s">
        <v>212</v>
      </c>
      <c r="E28" s="143">
        <v>100996</v>
      </c>
      <c r="F28" s="183" t="s">
        <v>437</v>
      </c>
      <c r="G28" s="65">
        <f>'MC-DRE'!N34</f>
        <v>16.076800000000002</v>
      </c>
      <c r="H28" s="65" t="s">
        <v>438</v>
      </c>
      <c r="I28" s="388">
        <v>4.05</v>
      </c>
      <c r="J28" s="67">
        <f t="shared" si="0"/>
        <v>5.16</v>
      </c>
      <c r="K28" s="68">
        <f t="shared" si="1"/>
        <v>82.96</v>
      </c>
    </row>
    <row r="29" spans="3:11" s="87" customFormat="1" ht="34.5" customHeight="1">
      <c r="C29" s="71" t="s">
        <v>424</v>
      </c>
      <c r="D29" s="142" t="s">
        <v>212</v>
      </c>
      <c r="E29" s="69">
        <v>92809</v>
      </c>
      <c r="F29" s="183" t="s">
        <v>271</v>
      </c>
      <c r="G29" s="65">
        <f>'MC-DRE'!O34</f>
        <v>80</v>
      </c>
      <c r="H29" s="64" t="s">
        <v>3</v>
      </c>
      <c r="I29" s="77">
        <v>48.7</v>
      </c>
      <c r="J29" s="67">
        <f t="shared" si="0"/>
        <v>62.07</v>
      </c>
      <c r="K29" s="68">
        <f t="shared" si="1"/>
        <v>4965.6</v>
      </c>
    </row>
    <row r="30" spans="3:11" s="90" customFormat="1" ht="34.5" customHeight="1">
      <c r="C30" s="71" t="s">
        <v>439</v>
      </c>
      <c r="D30" s="101" t="s">
        <v>212</v>
      </c>
      <c r="E30" s="69" t="s">
        <v>445</v>
      </c>
      <c r="F30" s="183" t="s">
        <v>446</v>
      </c>
      <c r="G30" s="65">
        <f>'MC-DRE'!P34</f>
        <v>125.60000000000002</v>
      </c>
      <c r="H30" s="64" t="s">
        <v>290</v>
      </c>
      <c r="I30" s="77">
        <v>2.65</v>
      </c>
      <c r="J30" s="67">
        <f t="shared" si="0"/>
        <v>3.38</v>
      </c>
      <c r="K30" s="68">
        <f t="shared" si="1"/>
        <v>424.53</v>
      </c>
    </row>
    <row r="31" spans="3:11" s="87" customFormat="1" ht="34.5" customHeight="1">
      <c r="C31" s="85" t="s">
        <v>37</v>
      </c>
      <c r="D31" s="201" t="s">
        <v>210</v>
      </c>
      <c r="E31" s="202">
        <v>180722</v>
      </c>
      <c r="F31" s="190" t="s">
        <v>273</v>
      </c>
      <c r="G31" s="65">
        <f>'MC-DRE'!E62</f>
        <v>315</v>
      </c>
      <c r="H31" s="70" t="s">
        <v>3</v>
      </c>
      <c r="I31" s="77">
        <v>241.74</v>
      </c>
      <c r="J31" s="67">
        <f t="shared" si="0"/>
        <v>308.12</v>
      </c>
      <c r="K31" s="68">
        <f t="shared" si="1"/>
        <v>97057.8</v>
      </c>
    </row>
    <row r="32" spans="3:11" s="87" customFormat="1" ht="34.5" customHeight="1">
      <c r="C32" s="71" t="s">
        <v>272</v>
      </c>
      <c r="D32" s="101" t="s">
        <v>212</v>
      </c>
      <c r="E32" s="70">
        <v>90106</v>
      </c>
      <c r="F32" s="180" t="s">
        <v>444</v>
      </c>
      <c r="G32" s="65">
        <f>'MC-DRE'!I62</f>
        <v>434.7</v>
      </c>
      <c r="H32" s="64" t="s">
        <v>0</v>
      </c>
      <c r="I32" s="77">
        <f>I24</f>
        <v>6.19</v>
      </c>
      <c r="J32" s="67">
        <f t="shared" si="0"/>
        <v>7.89</v>
      </c>
      <c r="K32" s="68">
        <f t="shared" si="1"/>
        <v>3429.78</v>
      </c>
    </row>
    <row r="33" spans="3:11" s="90" customFormat="1" ht="34.5" customHeight="1">
      <c r="C33" s="71" t="s">
        <v>274</v>
      </c>
      <c r="D33" s="142" t="s">
        <v>212</v>
      </c>
      <c r="E33" s="143">
        <v>101616</v>
      </c>
      <c r="F33" s="179" t="s">
        <v>268</v>
      </c>
      <c r="G33" s="65">
        <f>'MC-DRE'!J62</f>
        <v>346.5</v>
      </c>
      <c r="H33" s="64" t="s">
        <v>0</v>
      </c>
      <c r="I33" s="77">
        <f>I25</f>
        <v>4.95</v>
      </c>
      <c r="J33" s="67">
        <f t="shared" si="0"/>
        <v>6.31</v>
      </c>
      <c r="K33" s="68">
        <f t="shared" si="1"/>
        <v>2186.42</v>
      </c>
    </row>
    <row r="34" spans="3:11" s="87" customFormat="1" ht="34.5" customHeight="1">
      <c r="C34" s="71" t="s">
        <v>275</v>
      </c>
      <c r="D34" s="142" t="s">
        <v>212</v>
      </c>
      <c r="E34" s="69" t="s">
        <v>435</v>
      </c>
      <c r="F34" s="180" t="s">
        <v>436</v>
      </c>
      <c r="G34" s="65">
        <f>'MC-DRE'!L62</f>
        <v>345.681</v>
      </c>
      <c r="H34" s="64" t="s">
        <v>0</v>
      </c>
      <c r="I34" s="77">
        <f>I26</f>
        <v>16.27</v>
      </c>
      <c r="J34" s="67">
        <f t="shared" si="0"/>
        <v>20.74</v>
      </c>
      <c r="K34" s="68">
        <f t="shared" si="1"/>
        <v>7169.42</v>
      </c>
    </row>
    <row r="35" spans="3:11" s="87" customFormat="1" ht="34.5" customHeight="1">
      <c r="C35" s="71" t="s">
        <v>276</v>
      </c>
      <c r="D35" s="387" t="s">
        <v>210</v>
      </c>
      <c r="E35" s="143">
        <v>260278</v>
      </c>
      <c r="F35" s="183" t="s">
        <v>423</v>
      </c>
      <c r="G35" s="65">
        <f>'MC-DRE'!M62</f>
        <v>346.5</v>
      </c>
      <c r="H35" s="65" t="s">
        <v>2</v>
      </c>
      <c r="I35" s="77">
        <f>I27</f>
        <v>35.43</v>
      </c>
      <c r="J35" s="67">
        <f t="shared" si="0"/>
        <v>45.16</v>
      </c>
      <c r="K35" s="68">
        <f t="shared" si="1"/>
        <v>15647.94</v>
      </c>
    </row>
    <row r="36" spans="3:11" s="87" customFormat="1" ht="34.5" customHeight="1">
      <c r="C36" s="71" t="s">
        <v>277</v>
      </c>
      <c r="D36" s="387" t="s">
        <v>212</v>
      </c>
      <c r="E36" s="143">
        <v>100996</v>
      </c>
      <c r="F36" s="183" t="s">
        <v>437</v>
      </c>
      <c r="G36" s="65">
        <f>'MC-DRE'!N62</f>
        <v>142.43040000000002</v>
      </c>
      <c r="H36" s="65" t="s">
        <v>438</v>
      </c>
      <c r="I36" s="388">
        <f>I28</f>
        <v>4.05</v>
      </c>
      <c r="J36" s="67">
        <f t="shared" si="0"/>
        <v>5.16</v>
      </c>
      <c r="K36" s="68">
        <f t="shared" si="1"/>
        <v>734.94</v>
      </c>
    </row>
    <row r="37" spans="3:11" s="87" customFormat="1" ht="34.5" customHeight="1">
      <c r="C37" s="71" t="s">
        <v>425</v>
      </c>
      <c r="D37" s="101" t="s">
        <v>212</v>
      </c>
      <c r="E37" s="70" t="s">
        <v>43</v>
      </c>
      <c r="F37" s="180" t="s">
        <v>231</v>
      </c>
      <c r="G37" s="65">
        <f>'MC-DRE'!O62</f>
        <v>315</v>
      </c>
      <c r="H37" s="64" t="s">
        <v>3</v>
      </c>
      <c r="I37" s="77">
        <v>70.79</v>
      </c>
      <c r="J37" s="67">
        <f t="shared" si="0"/>
        <v>90.23</v>
      </c>
      <c r="K37" s="68">
        <f t="shared" si="1"/>
        <v>28422.45</v>
      </c>
    </row>
    <row r="38" spans="3:11" s="90" customFormat="1" ht="34.5" customHeight="1">
      <c r="C38" s="71" t="s">
        <v>443</v>
      </c>
      <c r="D38" s="142" t="s">
        <v>212</v>
      </c>
      <c r="E38" s="69" t="s">
        <v>445</v>
      </c>
      <c r="F38" s="183" t="s">
        <v>446</v>
      </c>
      <c r="G38" s="65">
        <f>'MC-DRE'!P62</f>
        <v>1112.7375000000002</v>
      </c>
      <c r="H38" s="64" t="s">
        <v>290</v>
      </c>
      <c r="I38" s="77">
        <f>I30</f>
        <v>2.65</v>
      </c>
      <c r="J38" s="67">
        <f t="shared" si="0"/>
        <v>3.38</v>
      </c>
      <c r="K38" s="68">
        <f t="shared" si="1"/>
        <v>3761.05</v>
      </c>
    </row>
    <row r="39" spans="3:11" s="87" customFormat="1" ht="34.5" customHeight="1">
      <c r="C39" s="85" t="s">
        <v>81</v>
      </c>
      <c r="D39" s="201" t="s">
        <v>210</v>
      </c>
      <c r="E39" s="202" t="s">
        <v>255</v>
      </c>
      <c r="F39" s="190" t="s">
        <v>291</v>
      </c>
      <c r="G39" s="65">
        <f>'MC-DRE'!E90</f>
        <v>695</v>
      </c>
      <c r="H39" s="70" t="s">
        <v>3</v>
      </c>
      <c r="I39" s="77">
        <v>371.93</v>
      </c>
      <c r="J39" s="67">
        <f t="shared" si="0"/>
        <v>474.06</v>
      </c>
      <c r="K39" s="68">
        <f t="shared" si="1"/>
        <v>329471.7</v>
      </c>
    </row>
    <row r="40" spans="3:11" s="90" customFormat="1" ht="34.5" customHeight="1">
      <c r="C40" s="71" t="s">
        <v>278</v>
      </c>
      <c r="D40" s="142" t="s">
        <v>212</v>
      </c>
      <c r="E40" s="69">
        <v>90106</v>
      </c>
      <c r="F40" s="180" t="s">
        <v>444</v>
      </c>
      <c r="G40" s="65">
        <f>'MC-DRE'!I90</f>
        <v>1313.5499999999997</v>
      </c>
      <c r="H40" s="64" t="s">
        <v>0</v>
      </c>
      <c r="I40" s="77">
        <f>I24</f>
        <v>6.19</v>
      </c>
      <c r="J40" s="67">
        <f t="shared" si="0"/>
        <v>7.89</v>
      </c>
      <c r="K40" s="68">
        <f t="shared" si="1"/>
        <v>10363.91</v>
      </c>
    </row>
    <row r="41" spans="3:11" s="87" customFormat="1" ht="34.5" customHeight="1">
      <c r="C41" s="71" t="s">
        <v>279</v>
      </c>
      <c r="D41" s="142" t="s">
        <v>212</v>
      </c>
      <c r="E41" s="69">
        <v>101616</v>
      </c>
      <c r="F41" s="180" t="s">
        <v>268</v>
      </c>
      <c r="G41" s="65">
        <f>'MC-DRE'!J90</f>
        <v>903.5</v>
      </c>
      <c r="H41" s="64" t="s">
        <v>0</v>
      </c>
      <c r="I41" s="77">
        <f>I25</f>
        <v>4.95</v>
      </c>
      <c r="J41" s="67">
        <f t="shared" si="0"/>
        <v>6.31</v>
      </c>
      <c r="K41" s="68">
        <f t="shared" si="1"/>
        <v>5701.09</v>
      </c>
    </row>
    <row r="42" spans="3:11" s="87" customFormat="1" ht="34.5" customHeight="1">
      <c r="C42" s="71" t="s">
        <v>280</v>
      </c>
      <c r="D42" s="142" t="s">
        <v>212</v>
      </c>
      <c r="E42" s="69" t="s">
        <v>435</v>
      </c>
      <c r="F42" s="180" t="s">
        <v>436</v>
      </c>
      <c r="G42" s="65">
        <f>'MC-DRE'!L90</f>
        <v>964.3819999999998</v>
      </c>
      <c r="H42" s="64" t="s">
        <v>0</v>
      </c>
      <c r="I42" s="77">
        <f>I26</f>
        <v>16.27</v>
      </c>
      <c r="J42" s="67">
        <f t="shared" si="0"/>
        <v>20.74</v>
      </c>
      <c r="K42" s="68">
        <f t="shared" si="1"/>
        <v>20001.28</v>
      </c>
    </row>
    <row r="43" spans="3:11" s="87" customFormat="1" ht="34.5" customHeight="1">
      <c r="C43" s="71" t="s">
        <v>281</v>
      </c>
      <c r="D43" s="387" t="s">
        <v>210</v>
      </c>
      <c r="E43" s="143">
        <v>260278</v>
      </c>
      <c r="F43" s="183" t="s">
        <v>423</v>
      </c>
      <c r="G43" s="65">
        <f>'MC-DRE'!M90</f>
        <v>903.5</v>
      </c>
      <c r="H43" s="65" t="s">
        <v>2</v>
      </c>
      <c r="I43" s="77">
        <f>I27</f>
        <v>35.43</v>
      </c>
      <c r="J43" s="67">
        <f t="shared" si="0"/>
        <v>45.16</v>
      </c>
      <c r="K43" s="68">
        <f t="shared" si="1"/>
        <v>40802.06</v>
      </c>
    </row>
    <row r="44" spans="3:11" s="87" customFormat="1" ht="34.5" customHeight="1">
      <c r="C44" s="71" t="s">
        <v>282</v>
      </c>
      <c r="D44" s="387" t="s">
        <v>212</v>
      </c>
      <c r="E44" s="143">
        <v>100996</v>
      </c>
      <c r="F44" s="183" t="s">
        <v>437</v>
      </c>
      <c r="G44" s="65">
        <f>'MC-DRE'!N90</f>
        <v>558.6688000000001</v>
      </c>
      <c r="H44" s="65" t="s">
        <v>438</v>
      </c>
      <c r="I44" s="388">
        <f>I28</f>
        <v>4.05</v>
      </c>
      <c r="J44" s="67">
        <f t="shared" si="0"/>
        <v>5.16</v>
      </c>
      <c r="K44" s="68">
        <f t="shared" si="1"/>
        <v>2882.73</v>
      </c>
    </row>
    <row r="45" spans="3:11" s="87" customFormat="1" ht="34.5" customHeight="1">
      <c r="C45" s="71" t="s">
        <v>426</v>
      </c>
      <c r="D45" s="101" t="s">
        <v>212</v>
      </c>
      <c r="E45" s="70" t="s">
        <v>165</v>
      </c>
      <c r="F45" s="180" t="s">
        <v>254</v>
      </c>
      <c r="G45" s="65">
        <f>'MC-DRE'!O90</f>
        <v>695</v>
      </c>
      <c r="H45" s="64" t="s">
        <v>3</v>
      </c>
      <c r="I45" s="77">
        <v>95.57</v>
      </c>
      <c r="J45" s="67">
        <f t="shared" si="0"/>
        <v>121.81</v>
      </c>
      <c r="K45" s="68">
        <f t="shared" si="1"/>
        <v>84657.95</v>
      </c>
    </row>
    <row r="46" spans="3:11" s="90" customFormat="1" ht="34.5" customHeight="1">
      <c r="C46" s="71" t="s">
        <v>442</v>
      </c>
      <c r="D46" s="142" t="s">
        <v>212</v>
      </c>
      <c r="E46" s="69" t="s">
        <v>445</v>
      </c>
      <c r="F46" s="183" t="s">
        <v>446</v>
      </c>
      <c r="G46" s="65">
        <f>'MC-DRE'!P90</f>
        <v>4364.600000000001</v>
      </c>
      <c r="H46" s="64" t="s">
        <v>290</v>
      </c>
      <c r="I46" s="77">
        <f>I30</f>
        <v>2.65</v>
      </c>
      <c r="J46" s="67">
        <f t="shared" si="0"/>
        <v>3.38</v>
      </c>
      <c r="K46" s="68">
        <f t="shared" si="1"/>
        <v>14752.35</v>
      </c>
    </row>
    <row r="47" spans="3:11" s="87" customFormat="1" ht="34.5" customHeight="1" hidden="1">
      <c r="C47" s="85" t="s">
        <v>257</v>
      </c>
      <c r="D47" s="201" t="s">
        <v>210</v>
      </c>
      <c r="E47" s="202" t="s">
        <v>256</v>
      </c>
      <c r="F47" s="190" t="s">
        <v>292</v>
      </c>
      <c r="G47" s="65">
        <f>'MC-DRE'!E118</f>
        <v>0</v>
      </c>
      <c r="H47" s="70" t="s">
        <v>3</v>
      </c>
      <c r="I47" s="77">
        <v>339.94</v>
      </c>
      <c r="J47" s="67">
        <f t="shared" si="0"/>
        <v>433.29</v>
      </c>
      <c r="K47" s="68">
        <f t="shared" si="1"/>
        <v>0</v>
      </c>
    </row>
    <row r="48" spans="3:11" s="90" customFormat="1" ht="34.5" customHeight="1" hidden="1">
      <c r="C48" s="71" t="s">
        <v>284</v>
      </c>
      <c r="D48" s="142" t="s">
        <v>212</v>
      </c>
      <c r="E48" s="69">
        <v>90106</v>
      </c>
      <c r="F48" s="180" t="s">
        <v>444</v>
      </c>
      <c r="G48" s="65">
        <f>'MC-DRE'!I118</f>
        <v>0</v>
      </c>
      <c r="H48" s="64" t="s">
        <v>0</v>
      </c>
      <c r="I48" s="77">
        <f>I24</f>
        <v>6.19</v>
      </c>
      <c r="J48" s="67">
        <f t="shared" si="0"/>
        <v>7.89</v>
      </c>
      <c r="K48" s="68">
        <f t="shared" si="1"/>
        <v>0</v>
      </c>
    </row>
    <row r="49" spans="3:11" s="87" customFormat="1" ht="34.5" customHeight="1" hidden="1">
      <c r="C49" s="71" t="s">
        <v>427</v>
      </c>
      <c r="D49" s="142" t="s">
        <v>212</v>
      </c>
      <c r="E49" s="69">
        <v>101616</v>
      </c>
      <c r="F49" s="180" t="s">
        <v>268</v>
      </c>
      <c r="G49" s="65">
        <f>'MC-DRE'!J118</f>
        <v>0</v>
      </c>
      <c r="H49" s="64" t="s">
        <v>0</v>
      </c>
      <c r="I49" s="77">
        <f>I25</f>
        <v>4.95</v>
      </c>
      <c r="J49" s="67">
        <f t="shared" si="0"/>
        <v>6.31</v>
      </c>
      <c r="K49" s="68">
        <f t="shared" si="1"/>
        <v>0</v>
      </c>
    </row>
    <row r="50" spans="3:11" s="87" customFormat="1" ht="34.5" customHeight="1" hidden="1">
      <c r="C50" s="71" t="s">
        <v>428</v>
      </c>
      <c r="D50" s="142" t="s">
        <v>212</v>
      </c>
      <c r="E50" s="69" t="s">
        <v>435</v>
      </c>
      <c r="F50" s="180" t="s">
        <v>436</v>
      </c>
      <c r="G50" s="65">
        <f>'MC-DRE'!L118</f>
        <v>0</v>
      </c>
      <c r="H50" s="64" t="s">
        <v>0</v>
      </c>
      <c r="I50" s="77">
        <f>I26</f>
        <v>16.27</v>
      </c>
      <c r="J50" s="67">
        <f t="shared" si="0"/>
        <v>20.74</v>
      </c>
      <c r="K50" s="68">
        <f t="shared" si="1"/>
        <v>0</v>
      </c>
    </row>
    <row r="51" spans="3:11" s="87" customFormat="1" ht="34.5" customHeight="1" hidden="1">
      <c r="C51" s="71" t="s">
        <v>429</v>
      </c>
      <c r="D51" s="387" t="s">
        <v>210</v>
      </c>
      <c r="E51" s="143">
        <v>260278</v>
      </c>
      <c r="F51" s="183" t="s">
        <v>423</v>
      </c>
      <c r="G51" s="65">
        <f>'MC-DRE'!M118</f>
        <v>0</v>
      </c>
      <c r="H51" s="65" t="s">
        <v>2</v>
      </c>
      <c r="I51" s="77">
        <f>I27</f>
        <v>35.43</v>
      </c>
      <c r="J51" s="67">
        <f t="shared" si="0"/>
        <v>45.16</v>
      </c>
      <c r="K51" s="68">
        <f t="shared" si="1"/>
        <v>0</v>
      </c>
    </row>
    <row r="52" spans="3:11" s="87" customFormat="1" ht="34.5" customHeight="1" hidden="1">
      <c r="C52" s="71" t="s">
        <v>430</v>
      </c>
      <c r="D52" s="387" t="s">
        <v>212</v>
      </c>
      <c r="E52" s="143">
        <v>100996</v>
      </c>
      <c r="F52" s="183" t="s">
        <v>437</v>
      </c>
      <c r="G52" s="65">
        <f>'MC-DRE'!N118</f>
        <v>0</v>
      </c>
      <c r="H52" s="65" t="s">
        <v>438</v>
      </c>
      <c r="I52" s="388">
        <f>I28</f>
        <v>4.05</v>
      </c>
      <c r="J52" s="67">
        <f t="shared" si="0"/>
        <v>5.16</v>
      </c>
      <c r="K52" s="68">
        <f t="shared" si="1"/>
        <v>0</v>
      </c>
    </row>
    <row r="53" spans="3:11" s="87" customFormat="1" ht="34.5" customHeight="1" hidden="1">
      <c r="C53" s="71" t="s">
        <v>431</v>
      </c>
      <c r="D53" s="101" t="s">
        <v>212</v>
      </c>
      <c r="E53" s="70">
        <v>92815</v>
      </c>
      <c r="F53" s="180" t="s">
        <v>301</v>
      </c>
      <c r="G53" s="65">
        <f>'MC-DRE'!O118</f>
        <v>0</v>
      </c>
      <c r="H53" s="64" t="s">
        <v>3</v>
      </c>
      <c r="I53" s="77">
        <v>124.72</v>
      </c>
      <c r="J53" s="67">
        <f t="shared" si="0"/>
        <v>158.97</v>
      </c>
      <c r="K53" s="68">
        <f t="shared" si="1"/>
        <v>0</v>
      </c>
    </row>
    <row r="54" spans="3:11" s="90" customFormat="1" ht="34.5" customHeight="1" hidden="1">
      <c r="C54" s="71" t="s">
        <v>441</v>
      </c>
      <c r="D54" s="142" t="s">
        <v>212</v>
      </c>
      <c r="E54" s="69" t="s">
        <v>445</v>
      </c>
      <c r="F54" s="183" t="s">
        <v>446</v>
      </c>
      <c r="G54" s="65">
        <f>'MC-DRE'!P118</f>
        <v>0</v>
      </c>
      <c r="H54" s="64" t="s">
        <v>290</v>
      </c>
      <c r="I54" s="77">
        <f>I30</f>
        <v>2.65</v>
      </c>
      <c r="J54" s="67">
        <f t="shared" si="0"/>
        <v>3.38</v>
      </c>
      <c r="K54" s="68">
        <f t="shared" si="1"/>
        <v>0</v>
      </c>
    </row>
    <row r="55" spans="3:11" s="87" customFormat="1" ht="34.5" customHeight="1">
      <c r="C55" s="85" t="s">
        <v>285</v>
      </c>
      <c r="D55" s="201"/>
      <c r="E55" s="202"/>
      <c r="F55" s="190" t="s">
        <v>283</v>
      </c>
      <c r="G55" s="65"/>
      <c r="H55" s="64"/>
      <c r="I55" s="77"/>
      <c r="J55" s="67"/>
      <c r="K55" s="68"/>
    </row>
    <row r="56" spans="3:11" s="87" customFormat="1" ht="34.5" customHeight="1">
      <c r="C56" s="71" t="s">
        <v>287</v>
      </c>
      <c r="D56" s="142" t="s">
        <v>212</v>
      </c>
      <c r="E56" s="69" t="s">
        <v>250</v>
      </c>
      <c r="F56" s="180" t="s">
        <v>251</v>
      </c>
      <c r="G56" s="65">
        <f>'MC-DRE'!C142</f>
        <v>20</v>
      </c>
      <c r="H56" s="64" t="s">
        <v>3</v>
      </c>
      <c r="I56" s="77">
        <v>1289.51</v>
      </c>
      <c r="J56" s="67">
        <f>ROUND(I56*(1+$J$8),2)</f>
        <v>1643.61</v>
      </c>
      <c r="K56" s="68">
        <f>ROUND(J56*G56,2)</f>
        <v>32872.2</v>
      </c>
    </row>
    <row r="57" spans="3:11" s="87" customFormat="1" ht="34.5" customHeight="1">
      <c r="C57" s="85" t="s">
        <v>432</v>
      </c>
      <c r="D57" s="201"/>
      <c r="E57" s="202"/>
      <c r="F57" s="190" t="s">
        <v>286</v>
      </c>
      <c r="G57" s="65"/>
      <c r="H57" s="64"/>
      <c r="I57" s="77"/>
      <c r="J57" s="67"/>
      <c r="K57" s="68"/>
    </row>
    <row r="58" spans="3:11" s="87" customFormat="1" ht="34.5" customHeight="1">
      <c r="C58" s="71" t="s">
        <v>433</v>
      </c>
      <c r="D58" s="142" t="s">
        <v>210</v>
      </c>
      <c r="E58" s="69" t="s">
        <v>252</v>
      </c>
      <c r="F58" s="180" t="s">
        <v>253</v>
      </c>
      <c r="G58" s="65">
        <f>'MC-DRE'!C166</f>
        <v>14</v>
      </c>
      <c r="H58" s="64" t="s">
        <v>3</v>
      </c>
      <c r="I58" s="77">
        <v>5032.82</v>
      </c>
      <c r="J58" s="67">
        <f>ROUND(I58*(1+$J$8),2)</f>
        <v>6414.83</v>
      </c>
      <c r="K58" s="68">
        <f>ROUND(J58*G58,2)</f>
        <v>89807.62</v>
      </c>
    </row>
    <row r="59" spans="3:12" ht="21.75" customHeight="1">
      <c r="C59" s="705" t="s">
        <v>15</v>
      </c>
      <c r="D59" s="706"/>
      <c r="E59" s="706"/>
      <c r="F59" s="706"/>
      <c r="G59" s="706"/>
      <c r="H59" s="706"/>
      <c r="I59" s="706"/>
      <c r="J59" s="707"/>
      <c r="K59" s="98">
        <f>SUM(K23:K58)</f>
        <v>815718.7</v>
      </c>
      <c r="L59" s="91"/>
    </row>
    <row r="60" spans="3:11" ht="21.75" customHeight="1">
      <c r="C60" s="99">
        <v>4</v>
      </c>
      <c r="D60" s="384"/>
      <c r="E60" s="384"/>
      <c r="F60" s="186" t="s">
        <v>21</v>
      </c>
      <c r="G60" s="708"/>
      <c r="H60" s="708"/>
      <c r="I60" s="708"/>
      <c r="J60" s="708"/>
      <c r="K60" s="709"/>
    </row>
    <row r="61" spans="3:11" s="92" customFormat="1" ht="34.5" customHeight="1">
      <c r="C61" s="79" t="s">
        <v>40</v>
      </c>
      <c r="D61" s="142" t="s">
        <v>212</v>
      </c>
      <c r="E61" s="80">
        <v>98525</v>
      </c>
      <c r="F61" s="188" t="s">
        <v>232</v>
      </c>
      <c r="G61" s="81">
        <f>'MC-PAV'!J33</f>
        <v>8820</v>
      </c>
      <c r="H61" s="82" t="s">
        <v>2</v>
      </c>
      <c r="I61" s="83">
        <v>0.35</v>
      </c>
      <c r="J61" s="67">
        <f>ROUND(I61*(1+$J$8),2)</f>
        <v>0.45</v>
      </c>
      <c r="K61" s="68">
        <f>ROUND(J61*G61,2)</f>
        <v>3969</v>
      </c>
    </row>
    <row r="62" spans="3:12" s="87" customFormat="1" ht="34.5" customHeight="1">
      <c r="C62" s="79" t="s">
        <v>41</v>
      </c>
      <c r="D62" s="142" t="s">
        <v>212</v>
      </c>
      <c r="E62" s="84">
        <v>101116</v>
      </c>
      <c r="F62" s="183" t="s">
        <v>233</v>
      </c>
      <c r="G62" s="75">
        <f>'MC-PAV'!K33</f>
        <v>882</v>
      </c>
      <c r="H62" s="65" t="s">
        <v>0</v>
      </c>
      <c r="I62" s="78">
        <v>2.09</v>
      </c>
      <c r="J62" s="67">
        <f>ROUND(I62*(1+$J$8),2)</f>
        <v>2.66</v>
      </c>
      <c r="K62" s="68">
        <f>ROUND(J62*G62,2)</f>
        <v>2346.12</v>
      </c>
      <c r="L62" s="93"/>
    </row>
    <row r="63" spans="3:11" s="87" customFormat="1" ht="34.5" customHeight="1">
      <c r="C63" s="79" t="s">
        <v>42</v>
      </c>
      <c r="D63" s="387" t="s">
        <v>212</v>
      </c>
      <c r="E63" s="143">
        <v>100996</v>
      </c>
      <c r="F63" s="183" t="s">
        <v>437</v>
      </c>
      <c r="G63" s="65">
        <f>'MC-PAV'!L33</f>
        <v>1411.2</v>
      </c>
      <c r="H63" s="65" t="s">
        <v>438</v>
      </c>
      <c r="I63" s="388">
        <v>4.05</v>
      </c>
      <c r="J63" s="67">
        <f>ROUND(I63*(1+$J$8),2)</f>
        <v>5.16</v>
      </c>
      <c r="K63" s="68">
        <f>ROUND(J63*G63,2)</f>
        <v>7281.79</v>
      </c>
    </row>
    <row r="64" spans="3:12" s="87" customFormat="1" ht="34.5" customHeight="1">
      <c r="C64" s="79" t="s">
        <v>440</v>
      </c>
      <c r="D64" s="142" t="s">
        <v>212</v>
      </c>
      <c r="E64" s="69" t="s">
        <v>445</v>
      </c>
      <c r="F64" s="179" t="s">
        <v>446</v>
      </c>
      <c r="G64" s="75">
        <f>'MC-PAV'!M33</f>
        <v>8820</v>
      </c>
      <c r="H64" s="65" t="s">
        <v>19</v>
      </c>
      <c r="I64" s="77">
        <f>I54</f>
        <v>2.65</v>
      </c>
      <c r="J64" s="67">
        <f>ROUND(I64*(1+$J$8),2)</f>
        <v>3.38</v>
      </c>
      <c r="K64" s="68">
        <f>ROUND(J64*G64,2)</f>
        <v>29811.6</v>
      </c>
      <c r="L64" s="93"/>
    </row>
    <row r="65" spans="3:11" ht="21.75" customHeight="1">
      <c r="C65" s="705" t="s">
        <v>17</v>
      </c>
      <c r="D65" s="706"/>
      <c r="E65" s="706"/>
      <c r="F65" s="706"/>
      <c r="G65" s="706"/>
      <c r="H65" s="706"/>
      <c r="I65" s="706"/>
      <c r="J65" s="707"/>
      <c r="K65" s="98">
        <f>SUM(K61:K64)</f>
        <v>43408.509999999995</v>
      </c>
    </row>
    <row r="66" spans="3:12" ht="21.75" customHeight="1">
      <c r="C66" s="99">
        <v>5</v>
      </c>
      <c r="D66" s="384"/>
      <c r="E66" s="384"/>
      <c r="F66" s="186" t="s">
        <v>39</v>
      </c>
      <c r="G66" s="708"/>
      <c r="H66" s="708"/>
      <c r="I66" s="708"/>
      <c r="J66" s="708"/>
      <c r="K66" s="709"/>
      <c r="L66" s="91"/>
    </row>
    <row r="67" spans="3:11" s="87" customFormat="1" ht="34.5" customHeight="1">
      <c r="C67" s="79" t="s">
        <v>18</v>
      </c>
      <c r="D67" s="142" t="s">
        <v>211</v>
      </c>
      <c r="E67" s="84" t="s">
        <v>238</v>
      </c>
      <c r="F67" s="183" t="s">
        <v>289</v>
      </c>
      <c r="G67" s="75">
        <f>'MC-PAV'!N33</f>
        <v>882</v>
      </c>
      <c r="H67" s="65" t="s">
        <v>0</v>
      </c>
      <c r="I67" s="78">
        <f>'CPU-II'!G28</f>
        <v>247.57999999999998</v>
      </c>
      <c r="J67" s="67">
        <f>ROUND(I67*(1+$J$8),2)</f>
        <v>315.57</v>
      </c>
      <c r="K67" s="68">
        <f>ROUND(J67*G67,2)</f>
        <v>278332.74</v>
      </c>
    </row>
    <row r="68" spans="3:11" s="90" customFormat="1" ht="34.5" customHeight="1">
      <c r="C68" s="79" t="s">
        <v>166</v>
      </c>
      <c r="D68" s="142" t="s">
        <v>212</v>
      </c>
      <c r="E68" s="84">
        <v>100574</v>
      </c>
      <c r="F68" s="183" t="s">
        <v>234</v>
      </c>
      <c r="G68" s="75">
        <f>'MC-PAV'!N33</f>
        <v>882</v>
      </c>
      <c r="H68" s="65" t="s">
        <v>0</v>
      </c>
      <c r="I68" s="78">
        <v>1.34</v>
      </c>
      <c r="J68" s="67">
        <f>ROUND(I68*(1+$J$8),2)</f>
        <v>1.71</v>
      </c>
      <c r="K68" s="68">
        <f>ROUND(J68*G68,2)</f>
        <v>1508.22</v>
      </c>
    </row>
    <row r="69" spans="3:11" s="87" customFormat="1" ht="34.5" customHeight="1">
      <c r="C69" s="79" t="s">
        <v>167</v>
      </c>
      <c r="D69" s="142" t="s">
        <v>212</v>
      </c>
      <c r="E69" s="69" t="s">
        <v>445</v>
      </c>
      <c r="F69" s="179" t="s">
        <v>446</v>
      </c>
      <c r="G69" s="75">
        <f>'MC-PAV'!O33</f>
        <v>8820</v>
      </c>
      <c r="H69" s="65" t="s">
        <v>19</v>
      </c>
      <c r="I69" s="78">
        <f>I64</f>
        <v>2.65</v>
      </c>
      <c r="J69" s="67">
        <f>ROUND(I69*(1+$J$8),2)</f>
        <v>3.38</v>
      </c>
      <c r="K69" s="68">
        <f>ROUND(J69*G69,2)</f>
        <v>29811.6</v>
      </c>
    </row>
    <row r="70" spans="3:12" ht="21.75" customHeight="1">
      <c r="C70" s="705" t="s">
        <v>22</v>
      </c>
      <c r="D70" s="706"/>
      <c r="E70" s="706"/>
      <c r="F70" s="706"/>
      <c r="G70" s="706"/>
      <c r="H70" s="706"/>
      <c r="I70" s="706"/>
      <c r="J70" s="707"/>
      <c r="K70" s="98">
        <f>SUM(K67:K69)</f>
        <v>309652.55999999994</v>
      </c>
      <c r="L70" s="91"/>
    </row>
    <row r="71" spans="3:11" ht="21.75" customHeight="1">
      <c r="C71" s="99">
        <v>6</v>
      </c>
      <c r="D71" s="384"/>
      <c r="E71" s="384"/>
      <c r="F71" s="186" t="s">
        <v>33</v>
      </c>
      <c r="G71" s="708"/>
      <c r="H71" s="708"/>
      <c r="I71" s="708"/>
      <c r="J71" s="708"/>
      <c r="K71" s="709"/>
    </row>
    <row r="72" spans="3:11" s="87" customFormat="1" ht="34.5" customHeight="1">
      <c r="C72" s="79" t="s">
        <v>204</v>
      </c>
      <c r="D72" s="240" t="s">
        <v>211</v>
      </c>
      <c r="E72" s="84" t="s">
        <v>239</v>
      </c>
      <c r="F72" s="188" t="s">
        <v>235</v>
      </c>
      <c r="G72" s="75">
        <f>'MC-PAV'!P33</f>
        <v>8820</v>
      </c>
      <c r="H72" s="64" t="s">
        <v>2</v>
      </c>
      <c r="I72" s="78">
        <f>'CPU-III'!H25</f>
        <v>5.72</v>
      </c>
      <c r="J72" s="67">
        <f>ROUND(I72*(1+$J$8),2)</f>
        <v>7.29</v>
      </c>
      <c r="K72" s="68">
        <f>ROUND(J72*G72,2)</f>
        <v>64297.8</v>
      </c>
    </row>
    <row r="73" spans="3:11" s="87" customFormat="1" ht="34.5" customHeight="1">
      <c r="C73" s="79" t="s">
        <v>205</v>
      </c>
      <c r="D73" s="142" t="s">
        <v>212</v>
      </c>
      <c r="E73" s="84">
        <v>96402</v>
      </c>
      <c r="F73" s="188" t="s">
        <v>236</v>
      </c>
      <c r="G73" s="75">
        <f>'MC-PAV'!Q33</f>
        <v>8820</v>
      </c>
      <c r="H73" s="64" t="s">
        <v>2</v>
      </c>
      <c r="I73" s="78">
        <v>2.72</v>
      </c>
      <c r="J73" s="67">
        <f>ROUND(I73*(1+$J$8),2)</f>
        <v>3.47</v>
      </c>
      <c r="K73" s="68">
        <f>ROUND(J73*G73,2)</f>
        <v>30605.4</v>
      </c>
    </row>
    <row r="74" spans="3:11" s="87" customFormat="1" ht="34.5" customHeight="1">
      <c r="C74" s="79" t="s">
        <v>206</v>
      </c>
      <c r="D74" s="142" t="s">
        <v>211</v>
      </c>
      <c r="E74" s="84" t="s">
        <v>352</v>
      </c>
      <c r="F74" s="188" t="s">
        <v>564</v>
      </c>
      <c r="G74" s="75">
        <f>'MC-PAV'!S33</f>
        <v>740.8800000000001</v>
      </c>
      <c r="H74" s="64" t="s">
        <v>34</v>
      </c>
      <c r="I74" s="78">
        <f>'CPU-IV'!G44</f>
        <v>732.14</v>
      </c>
      <c r="J74" s="67">
        <f>ROUND(I74*(1+$J$8),2)</f>
        <v>933.19</v>
      </c>
      <c r="K74" s="68">
        <f>ROUND(J74*G74,2)</f>
        <v>691381.81</v>
      </c>
    </row>
    <row r="75" spans="3:11" s="87" customFormat="1" ht="34.5" customHeight="1">
      <c r="C75" s="79" t="s">
        <v>207</v>
      </c>
      <c r="D75" s="142" t="s">
        <v>212</v>
      </c>
      <c r="E75" s="389">
        <v>93598</v>
      </c>
      <c r="F75" s="183" t="s">
        <v>434</v>
      </c>
      <c r="G75" s="75">
        <f>'MC-PAV'!T33</f>
        <v>18522.000000000004</v>
      </c>
      <c r="H75" s="64" t="s">
        <v>35</v>
      </c>
      <c r="I75" s="78">
        <v>1.51</v>
      </c>
      <c r="J75" s="67">
        <f>ROUND(I75*(1+$J$8),2)</f>
        <v>1.92</v>
      </c>
      <c r="K75" s="68">
        <f>ROUND(J75*G75,2)</f>
        <v>35562.24</v>
      </c>
    </row>
    <row r="76" spans="3:11" ht="21.75" customHeight="1">
      <c r="C76" s="705" t="s">
        <v>168</v>
      </c>
      <c r="D76" s="706"/>
      <c r="E76" s="706"/>
      <c r="F76" s="706"/>
      <c r="G76" s="706"/>
      <c r="H76" s="706"/>
      <c r="I76" s="706"/>
      <c r="J76" s="707"/>
      <c r="K76" s="98">
        <f>SUM(K72:K75)</f>
        <v>821847.25</v>
      </c>
    </row>
    <row r="77" spans="3:13" ht="21.75" customHeight="1">
      <c r="C77" s="95">
        <v>7</v>
      </c>
      <c r="D77" s="187"/>
      <c r="E77" s="187"/>
      <c r="F77" s="386" t="s">
        <v>14</v>
      </c>
      <c r="G77" s="710"/>
      <c r="H77" s="708"/>
      <c r="I77" s="708"/>
      <c r="J77" s="708"/>
      <c r="K77" s="709"/>
      <c r="M77" s="2">
        <v>1</v>
      </c>
    </row>
    <row r="78" spans="3:11" s="90" customFormat="1" ht="34.5" customHeight="1">
      <c r="C78" s="73" t="s">
        <v>208</v>
      </c>
      <c r="D78" s="102" t="s">
        <v>210</v>
      </c>
      <c r="E78" s="69" t="s">
        <v>237</v>
      </c>
      <c r="F78" s="183" t="s">
        <v>169</v>
      </c>
      <c r="G78" s="75">
        <f>G61*0.3</f>
        <v>2646</v>
      </c>
      <c r="H78" s="64" t="s">
        <v>2</v>
      </c>
      <c r="I78" s="76">
        <v>6.83</v>
      </c>
      <c r="J78" s="67">
        <f>ROUND(I78*(1+$J$8),2)</f>
        <v>8.71</v>
      </c>
      <c r="K78" s="68">
        <f>ROUND(J78*G78,2)</f>
        <v>23046.66</v>
      </c>
    </row>
    <row r="79" spans="3:11" ht="21.75" customHeight="1">
      <c r="C79" s="705" t="s">
        <v>201</v>
      </c>
      <c r="D79" s="706"/>
      <c r="E79" s="706"/>
      <c r="F79" s="706"/>
      <c r="G79" s="706"/>
      <c r="H79" s="706"/>
      <c r="I79" s="706"/>
      <c r="J79" s="707"/>
      <c r="K79" s="98">
        <f>SUM(K78)</f>
        <v>23046.66</v>
      </c>
    </row>
    <row r="80" spans="3:13" ht="24.75" customHeight="1" thickBot="1">
      <c r="C80" s="736" t="s">
        <v>32</v>
      </c>
      <c r="D80" s="737"/>
      <c r="E80" s="737"/>
      <c r="F80" s="737"/>
      <c r="G80" s="737"/>
      <c r="H80" s="737"/>
      <c r="I80" s="737"/>
      <c r="J80" s="738"/>
      <c r="K80" s="53">
        <f>SUM(K14,K21,K59,K65,K70,K76,K79)+0.04</f>
        <v>2293094.85</v>
      </c>
      <c r="M80" s="2">
        <v>11</v>
      </c>
    </row>
    <row r="81" ht="12.75">
      <c r="N81" s="94"/>
    </row>
    <row r="82" ht="12.75">
      <c r="N82" s="91"/>
    </row>
    <row r="83" ht="12.75">
      <c r="K83" s="91"/>
    </row>
    <row r="84" ht="12.75"/>
    <row r="85" ht="12.75"/>
    <row r="86" ht="12.75"/>
    <row r="87" ht="12.75"/>
    <row r="88" ht="12.75"/>
    <row r="89" ht="12.75"/>
    <row r="90" ht="12.75"/>
    <row r="91" ht="12.75"/>
    <row r="94" spans="7:9" ht="12.75">
      <c r="G94" s="735"/>
      <c r="H94" s="735"/>
      <c r="I94" s="735"/>
    </row>
  </sheetData>
  <sheetProtection/>
  <mergeCells count="38">
    <mergeCell ref="C3:K3"/>
    <mergeCell ref="C4:K4"/>
    <mergeCell ref="G94:I94"/>
    <mergeCell ref="C76:J76"/>
    <mergeCell ref="C65:J65"/>
    <mergeCell ref="G66:K66"/>
    <mergeCell ref="C70:J70"/>
    <mergeCell ref="G77:K77"/>
    <mergeCell ref="G71:K71"/>
    <mergeCell ref="C80:J80"/>
    <mergeCell ref="C1:K1"/>
    <mergeCell ref="C2:K2"/>
    <mergeCell ref="C5:K5"/>
    <mergeCell ref="G9:K9"/>
    <mergeCell ref="C6:K6"/>
    <mergeCell ref="C7:C8"/>
    <mergeCell ref="D7:D8"/>
    <mergeCell ref="E7:E8"/>
    <mergeCell ref="F7:F8"/>
    <mergeCell ref="G7:G8"/>
    <mergeCell ref="C79:J79"/>
    <mergeCell ref="C21:J21"/>
    <mergeCell ref="G15:K15"/>
    <mergeCell ref="G22:K22"/>
    <mergeCell ref="M9:M10"/>
    <mergeCell ref="N9:N10"/>
    <mergeCell ref="G60:K60"/>
    <mergeCell ref="C59:J59"/>
    <mergeCell ref="C14:J14"/>
    <mergeCell ref="H7:H8"/>
    <mergeCell ref="I7:I8"/>
    <mergeCell ref="K7:K8"/>
    <mergeCell ref="O9:O10"/>
    <mergeCell ref="P9:P10"/>
    <mergeCell ref="M13:M14"/>
    <mergeCell ref="N13:N14"/>
    <mergeCell ref="O13:O14"/>
    <mergeCell ref="P13:P14"/>
  </mergeCells>
  <printOptions horizontalCentered="1"/>
  <pageMargins left="0" right="0" top="0.4330708661417323" bottom="0" header="0" footer="0"/>
  <pageSetup fitToHeight="0" fitToWidth="1" horizontalDpi="600" verticalDpi="600" orientation="landscape" paperSize="9" scale="58" r:id="rId4"/>
  <rowBreaks count="1" manualBreakCount="1">
    <brk id="33" min="2" max="10" man="1"/>
  </rowBreaks>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A6" sqref="A6"/>
    </sheetView>
  </sheetViews>
  <sheetFormatPr defaultColWidth="9.140625" defaultRowHeight="12.75"/>
  <cols>
    <col min="1" max="1" width="9.28125" style="2" bestFit="1" customWidth="1"/>
    <col min="2" max="7" width="9.140625" style="2" customWidth="1"/>
    <col min="8" max="8" width="9.28125" style="2" bestFit="1" customWidth="1"/>
    <col min="9" max="9" width="11.421875" style="2" bestFit="1" customWidth="1"/>
    <col min="10" max="10" width="9.140625" style="2" customWidth="1"/>
    <col min="11" max="11" width="11.57421875" style="2" bestFit="1" customWidth="1"/>
    <col min="12" max="16384" width="9.140625" style="2" customWidth="1"/>
  </cols>
  <sheetData>
    <row r="1" spans="1:11" s="104" customFormat="1" ht="15" customHeight="1">
      <c r="A1" s="956"/>
      <c r="B1" s="957"/>
      <c r="C1" s="957"/>
      <c r="D1" s="957"/>
      <c r="E1" s="957"/>
      <c r="F1" s="957"/>
      <c r="G1" s="957"/>
      <c r="H1" s="957"/>
      <c r="I1" s="957"/>
      <c r="J1" s="957"/>
      <c r="K1" s="958"/>
    </row>
    <row r="2" spans="1:11" s="104" customFormat="1" ht="15" customHeight="1">
      <c r="A2" s="959" t="s">
        <v>24</v>
      </c>
      <c r="B2" s="960"/>
      <c r="C2" s="960"/>
      <c r="D2" s="960"/>
      <c r="E2" s="960"/>
      <c r="F2" s="960"/>
      <c r="G2" s="960"/>
      <c r="H2" s="960"/>
      <c r="I2" s="960"/>
      <c r="J2" s="960"/>
      <c r="K2" s="961"/>
    </row>
    <row r="3" spans="1:11" s="104" customFormat="1" ht="15" customHeight="1">
      <c r="A3" s="973" t="s">
        <v>213</v>
      </c>
      <c r="B3" s="974"/>
      <c r="C3" s="974"/>
      <c r="D3" s="974"/>
      <c r="E3" s="974"/>
      <c r="F3" s="974"/>
      <c r="G3" s="974"/>
      <c r="H3" s="974"/>
      <c r="I3" s="974"/>
      <c r="J3" s="974"/>
      <c r="K3" s="975"/>
    </row>
    <row r="4" spans="1:11" s="104" customFormat="1" ht="15" customHeight="1">
      <c r="A4" s="973" t="s">
        <v>23</v>
      </c>
      <c r="B4" s="974"/>
      <c r="C4" s="974"/>
      <c r="D4" s="974"/>
      <c r="E4" s="974"/>
      <c r="F4" s="974"/>
      <c r="G4" s="974"/>
      <c r="H4" s="974"/>
      <c r="I4" s="974"/>
      <c r="J4" s="974"/>
      <c r="K4" s="975"/>
    </row>
    <row r="5" spans="1:11" s="104" customFormat="1" ht="15" customHeight="1" thickBot="1">
      <c r="A5" s="962"/>
      <c r="B5" s="963"/>
      <c r="C5" s="963"/>
      <c r="D5" s="963"/>
      <c r="E5" s="963"/>
      <c r="F5" s="963"/>
      <c r="G5" s="963"/>
      <c r="H5" s="963"/>
      <c r="I5" s="963"/>
      <c r="J5" s="963"/>
      <c r="K5" s="964"/>
    </row>
    <row r="6" spans="1:11" s="105" customFormat="1" ht="19.5" customHeight="1" thickBot="1" thickTop="1">
      <c r="A6" s="532" t="s">
        <v>652</v>
      </c>
      <c r="B6" s="533" t="s">
        <v>574</v>
      </c>
      <c r="C6" s="534" t="s">
        <v>575</v>
      </c>
      <c r="D6" s="535"/>
      <c r="E6" s="535"/>
      <c r="F6" s="535"/>
      <c r="G6" s="536"/>
      <c r="H6" s="535"/>
      <c r="I6" s="535"/>
      <c r="J6" s="1025" t="s">
        <v>576</v>
      </c>
      <c r="K6" s="1026"/>
    </row>
    <row r="7" spans="1:11" s="105" customFormat="1" ht="53.25" customHeight="1" thickTop="1">
      <c r="A7" s="970" t="str">
        <f>'ORÇAMENTO GERAL'!C6</f>
        <v>EXECUÇÃO DOS SERVIÇOS DE DRENAGEM SUPERFICIAL E PROFUNDA E PAVIMENTAÇÃO DAS RUAS UNIÃO E JARDIM DOS ESPORTES NO BAIRRO DO ICUI- NO MUNICÍPIO DE ANANINDEUA - PA.</v>
      </c>
      <c r="B7" s="971"/>
      <c r="C7" s="971"/>
      <c r="D7" s="971"/>
      <c r="E7" s="971"/>
      <c r="F7" s="971"/>
      <c r="G7" s="971"/>
      <c r="H7" s="971"/>
      <c r="I7" s="971"/>
      <c r="J7" s="971"/>
      <c r="K7" s="972"/>
    </row>
    <row r="8" spans="1:11" s="105" customFormat="1" ht="25.5">
      <c r="A8" s="537" t="s">
        <v>647</v>
      </c>
      <c r="B8" s="1027" t="s">
        <v>214</v>
      </c>
      <c r="C8" s="1028"/>
      <c r="D8" s="1028"/>
      <c r="E8" s="1028"/>
      <c r="F8" s="1029"/>
      <c r="G8" s="538" t="s">
        <v>28</v>
      </c>
      <c r="H8" s="538" t="s">
        <v>215</v>
      </c>
      <c r="I8" s="538" t="s">
        <v>216</v>
      </c>
      <c r="J8" s="539" t="s">
        <v>217</v>
      </c>
      <c r="K8" s="540"/>
    </row>
    <row r="9" spans="1:11" s="105" customFormat="1" ht="24.75" customHeight="1">
      <c r="A9" s="108">
        <v>90778</v>
      </c>
      <c r="B9" s="1030" t="s">
        <v>577</v>
      </c>
      <c r="C9" s="1031"/>
      <c r="D9" s="1031"/>
      <c r="E9" s="1031"/>
      <c r="F9" s="1032"/>
      <c r="G9" s="109" t="s">
        <v>55</v>
      </c>
      <c r="H9" s="541">
        <f>G25</f>
        <v>120</v>
      </c>
      <c r="I9" s="110">
        <v>93.3</v>
      </c>
      <c r="J9" s="111"/>
      <c r="K9" s="112">
        <f>ROUND(H9*I9,2)</f>
        <v>11196</v>
      </c>
    </row>
    <row r="10" spans="1:11" s="105" customFormat="1" ht="24.75" customHeight="1" thickBot="1">
      <c r="A10" s="108">
        <v>90776</v>
      </c>
      <c r="B10" s="1030" t="s">
        <v>578</v>
      </c>
      <c r="C10" s="1031"/>
      <c r="D10" s="1031"/>
      <c r="E10" s="1031"/>
      <c r="F10" s="1032"/>
      <c r="G10" s="109" t="s">
        <v>55</v>
      </c>
      <c r="H10" s="541">
        <f>G26</f>
        <v>420</v>
      </c>
      <c r="I10" s="110">
        <v>18.51</v>
      </c>
      <c r="J10" s="111"/>
      <c r="K10" s="112">
        <f>ROUND(H10*I10,2)</f>
        <v>7774.2</v>
      </c>
    </row>
    <row r="11" spans="1:11" s="105" customFormat="1" ht="24.75" customHeight="1" hidden="1">
      <c r="A11" s="108">
        <v>88326</v>
      </c>
      <c r="B11" s="1033" t="s">
        <v>579</v>
      </c>
      <c r="C11" s="1034"/>
      <c r="D11" s="1034"/>
      <c r="E11" s="1034"/>
      <c r="F11" s="1035"/>
      <c r="G11" s="109" t="s">
        <v>55</v>
      </c>
      <c r="H11" s="541">
        <f>G27</f>
        <v>0</v>
      </c>
      <c r="I11" s="110">
        <v>19.07</v>
      </c>
      <c r="J11" s="111"/>
      <c r="K11" s="112">
        <f>ROUND(H11*I11,2)</f>
        <v>0</v>
      </c>
    </row>
    <row r="12" spans="1:11" s="105" customFormat="1" ht="19.5" customHeight="1" thickBot="1">
      <c r="A12" s="113"/>
      <c r="B12" s="111"/>
      <c r="C12" s="111"/>
      <c r="D12" s="111"/>
      <c r="E12" s="111"/>
      <c r="F12" s="111"/>
      <c r="G12" s="114"/>
      <c r="H12" s="115" t="s">
        <v>219</v>
      </c>
      <c r="I12" s="116"/>
      <c r="J12" s="117"/>
      <c r="K12" s="118">
        <f>SUM(K9:K11)</f>
        <v>18970.2</v>
      </c>
    </row>
    <row r="13" spans="1:11" s="105" customFormat="1" ht="19.5" customHeight="1">
      <c r="A13" s="119"/>
      <c r="B13" s="1036" t="s">
        <v>220</v>
      </c>
      <c r="C13" s="1037"/>
      <c r="D13" s="1037"/>
      <c r="E13" s="1037"/>
      <c r="F13" s="1038"/>
      <c r="G13" s="120" t="s">
        <v>28</v>
      </c>
      <c r="H13" s="121" t="s">
        <v>221</v>
      </c>
      <c r="I13" s="120" t="s">
        <v>222</v>
      </c>
      <c r="J13" s="122" t="s">
        <v>217</v>
      </c>
      <c r="K13" s="123"/>
    </row>
    <row r="14" spans="1:11" s="105" customFormat="1" ht="19.5" customHeight="1" thickBot="1">
      <c r="A14" s="124"/>
      <c r="B14" s="125"/>
      <c r="C14" s="126"/>
      <c r="D14" s="126"/>
      <c r="E14" s="126"/>
      <c r="F14" s="126"/>
      <c r="G14" s="127"/>
      <c r="H14" s="542"/>
      <c r="I14" s="543"/>
      <c r="J14" s="126"/>
      <c r="K14" s="112"/>
    </row>
    <row r="15" spans="1:11" s="105" customFormat="1" ht="19.5" customHeight="1" thickBot="1">
      <c r="A15" s="113" t="s">
        <v>223</v>
      </c>
      <c r="B15" s="111"/>
      <c r="C15" s="111"/>
      <c r="D15" s="111"/>
      <c r="E15" s="111"/>
      <c r="F15" s="111"/>
      <c r="G15" s="114"/>
      <c r="H15" s="115" t="s">
        <v>224</v>
      </c>
      <c r="I15" s="128"/>
      <c r="J15" s="129"/>
      <c r="K15" s="118">
        <f>SUM(K14:K14)</f>
        <v>0</v>
      </c>
    </row>
    <row r="16" spans="1:11" s="105" customFormat="1" ht="19.5" customHeight="1">
      <c r="A16" s="119"/>
      <c r="B16" s="1042" t="s">
        <v>225</v>
      </c>
      <c r="C16" s="1043"/>
      <c r="D16" s="1043"/>
      <c r="E16" s="1043"/>
      <c r="F16" s="1044"/>
      <c r="G16" s="120" t="s">
        <v>28</v>
      </c>
      <c r="H16" s="121" t="s">
        <v>221</v>
      </c>
      <c r="I16" s="120" t="s">
        <v>222</v>
      </c>
      <c r="J16" s="122" t="s">
        <v>217</v>
      </c>
      <c r="K16" s="123"/>
    </row>
    <row r="17" spans="1:11" s="105" customFormat="1" ht="19.5" customHeight="1" thickBot="1">
      <c r="A17" s="124"/>
      <c r="B17" s="125"/>
      <c r="C17" s="126"/>
      <c r="D17" s="126"/>
      <c r="E17" s="126"/>
      <c r="F17" s="126"/>
      <c r="G17" s="127"/>
      <c r="H17" s="542"/>
      <c r="I17" s="543"/>
      <c r="J17" s="126"/>
      <c r="K17" s="112"/>
    </row>
    <row r="18" spans="1:11" s="105" customFormat="1" ht="19.5" customHeight="1" thickBot="1">
      <c r="A18" s="130" t="s">
        <v>223</v>
      </c>
      <c r="B18" s="111"/>
      <c r="C18" s="111"/>
      <c r="D18" s="111"/>
      <c r="E18" s="111"/>
      <c r="F18" s="111"/>
      <c r="G18" s="114"/>
      <c r="H18" s="115" t="s">
        <v>227</v>
      </c>
      <c r="I18" s="128"/>
      <c r="J18" s="129"/>
      <c r="K18" s="118">
        <f>SUM(K17:K17)</f>
        <v>0</v>
      </c>
    </row>
    <row r="19" spans="1:11" s="105" customFormat="1" ht="19.5" customHeight="1">
      <c r="A19" s="953" t="s">
        <v>228</v>
      </c>
      <c r="B19" s="954"/>
      <c r="C19" s="954"/>
      <c r="D19" s="954"/>
      <c r="E19" s="954"/>
      <c r="F19" s="954"/>
      <c r="G19" s="954"/>
      <c r="H19" s="954"/>
      <c r="I19" s="954"/>
      <c r="J19" s="955"/>
      <c r="K19" s="131">
        <f>SUM(K12+K15+K18)</f>
        <v>18970.2</v>
      </c>
    </row>
    <row r="20" spans="1:11" s="105" customFormat="1" ht="19.5" customHeight="1" thickBot="1">
      <c r="A20" s="1045" t="s">
        <v>229</v>
      </c>
      <c r="B20" s="1046"/>
      <c r="C20" s="1046"/>
      <c r="D20" s="1046"/>
      <c r="E20" s="1046"/>
      <c r="F20" s="1046"/>
      <c r="G20" s="1046"/>
      <c r="H20" s="1046"/>
      <c r="I20" s="1046"/>
      <c r="J20" s="544">
        <v>0.2746</v>
      </c>
      <c r="K20" s="136">
        <f>J20*K19</f>
        <v>5209.216920000001</v>
      </c>
    </row>
    <row r="21" spans="1:11" s="105" customFormat="1" ht="19.5" customHeight="1" thickBot="1">
      <c r="A21" s="545" t="s">
        <v>230</v>
      </c>
      <c r="B21" s="546"/>
      <c r="C21" s="546"/>
      <c r="D21" s="546"/>
      <c r="E21" s="546"/>
      <c r="F21" s="546"/>
      <c r="G21" s="547"/>
      <c r="H21" s="546"/>
      <c r="I21" s="546"/>
      <c r="J21" s="548"/>
      <c r="K21" s="549">
        <f>SUM(K19:K20)</f>
        <v>24179.416920000003</v>
      </c>
    </row>
    <row r="23" spans="1:7" ht="12.75">
      <c r="A23" s="902" t="s">
        <v>305</v>
      </c>
      <c r="B23" s="902"/>
      <c r="C23" s="902"/>
      <c r="D23" s="902"/>
      <c r="E23" s="902"/>
      <c r="F23" s="902"/>
      <c r="G23" s="902"/>
    </row>
    <row r="24" spans="1:7" ht="15">
      <c r="A24" s="1047" t="s">
        <v>306</v>
      </c>
      <c r="B24" s="1048"/>
      <c r="C24" s="550" t="s">
        <v>308</v>
      </c>
      <c r="D24" s="551" t="s">
        <v>309</v>
      </c>
      <c r="E24" s="1049" t="s">
        <v>310</v>
      </c>
      <c r="F24" s="1050"/>
      <c r="G24" s="552"/>
    </row>
    <row r="25" spans="1:7" ht="15">
      <c r="A25" s="1039" t="s">
        <v>580</v>
      </c>
      <c r="B25" s="1039"/>
      <c r="C25" s="553">
        <v>2</v>
      </c>
      <c r="D25" s="550">
        <v>20</v>
      </c>
      <c r="E25" s="550">
        <v>3</v>
      </c>
      <c r="F25" s="552" t="s">
        <v>261</v>
      </c>
      <c r="G25" s="552">
        <f>ROUND((C25*D25*E25),2)</f>
        <v>120</v>
      </c>
    </row>
    <row r="26" spans="1:7" ht="15">
      <c r="A26" s="1039" t="s">
        <v>581</v>
      </c>
      <c r="B26" s="1039"/>
      <c r="C26" s="553">
        <v>7</v>
      </c>
      <c r="D26" s="550">
        <v>20</v>
      </c>
      <c r="E26" s="550">
        <v>3</v>
      </c>
      <c r="F26" s="552" t="s">
        <v>261</v>
      </c>
      <c r="G26" s="552">
        <f>ROUND((C26*D26*E26),2)</f>
        <v>420</v>
      </c>
    </row>
    <row r="27" spans="1:7" ht="15" hidden="1">
      <c r="A27" s="1040" t="s">
        <v>582</v>
      </c>
      <c r="B27" s="1041"/>
      <c r="C27" s="553"/>
      <c r="D27" s="550">
        <v>20</v>
      </c>
      <c r="E27" s="550">
        <v>3</v>
      </c>
      <c r="F27" s="552" t="s">
        <v>261</v>
      </c>
      <c r="G27" s="552">
        <f>ROUND((C27*D27*E27),2)</f>
        <v>0</v>
      </c>
    </row>
  </sheetData>
  <sheetProtection/>
  <mergeCells count="21">
    <mergeCell ref="A25:B25"/>
    <mergeCell ref="A26:B26"/>
    <mergeCell ref="A27:B27"/>
    <mergeCell ref="B16:F16"/>
    <mergeCell ref="A19:J19"/>
    <mergeCell ref="A20:I20"/>
    <mergeCell ref="A23:G23"/>
    <mergeCell ref="A24:B24"/>
    <mergeCell ref="E24:F24"/>
    <mergeCell ref="A7:K7"/>
    <mergeCell ref="B8:F8"/>
    <mergeCell ref="B9:F9"/>
    <mergeCell ref="B10:F10"/>
    <mergeCell ref="B11:F11"/>
    <mergeCell ref="B13:F13"/>
    <mergeCell ref="A1:K1"/>
    <mergeCell ref="A2:K2"/>
    <mergeCell ref="A3:K3"/>
    <mergeCell ref="A4:K4"/>
    <mergeCell ref="A5:K5"/>
    <mergeCell ref="J6:K6"/>
  </mergeCells>
  <printOptions horizontalCentered="1"/>
  <pageMargins left="0.5118110236220472" right="0.5118110236220472" top="0.7874015748031497" bottom="0.7874015748031497" header="0.31496062992125984" footer="0.31496062992125984"/>
  <pageSetup fitToHeight="0" fitToWidth="1" horizontalDpi="1200" verticalDpi="1200" orientation="portrait" paperSize="9" scale="8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24"/>
  <sheetViews>
    <sheetView zoomScale="60" zoomScaleNormal="60" zoomScalePageLayoutView="0" workbookViewId="0" topLeftCell="A1">
      <selection activeCell="J10" sqref="J10"/>
    </sheetView>
  </sheetViews>
  <sheetFormatPr defaultColWidth="9.140625" defaultRowHeight="12.75"/>
  <cols>
    <col min="1" max="1" width="23.421875" style="630" customWidth="1"/>
    <col min="2" max="2" width="14.8515625" style="630" customWidth="1"/>
    <col min="3" max="3" width="73.421875" style="630" bestFit="1" customWidth="1"/>
    <col min="4" max="4" width="9.421875" style="630" hidden="1" customWidth="1"/>
    <col min="5" max="5" width="13.421875" style="630" hidden="1" customWidth="1"/>
    <col min="6" max="8" width="15.7109375" style="630" customWidth="1"/>
    <col min="9" max="9" width="20.28125" style="630" bestFit="1" customWidth="1"/>
    <col min="10" max="10" width="15.7109375" style="630" customWidth="1"/>
    <col min="11" max="11" width="18.28125" style="630" bestFit="1" customWidth="1"/>
    <col min="12" max="12" width="11.8515625" style="630" bestFit="1" customWidth="1"/>
    <col min="13" max="13" width="9.8515625" style="630" bestFit="1" customWidth="1"/>
    <col min="14" max="14" width="11.8515625" style="630" bestFit="1" customWidth="1"/>
    <col min="15" max="15" width="12.140625" style="630" customWidth="1"/>
    <col min="16" max="16" width="11.8515625" style="630" bestFit="1" customWidth="1"/>
    <col min="17" max="17" width="13.57421875" style="630" customWidth="1"/>
    <col min="18" max="18" width="10.28125" style="630" bestFit="1" customWidth="1"/>
    <col min="19" max="19" width="15.421875" style="630" customWidth="1"/>
    <col min="20" max="16384" width="9.140625" style="630" customWidth="1"/>
  </cols>
  <sheetData>
    <row r="1" spans="1:11" s="605" customFormat="1" ht="19.5" customHeight="1">
      <c r="A1" s="1057"/>
      <c r="B1" s="1058"/>
      <c r="C1" s="1058"/>
      <c r="D1" s="1058"/>
      <c r="E1" s="1058"/>
      <c r="F1" s="1058"/>
      <c r="G1" s="1058"/>
      <c r="H1" s="1058"/>
      <c r="I1" s="1058"/>
      <c r="J1" s="603"/>
      <c r="K1" s="604"/>
    </row>
    <row r="2" spans="1:11" s="605" customFormat="1" ht="19.5" customHeight="1">
      <c r="A2" s="1059" t="s">
        <v>24</v>
      </c>
      <c r="B2" s="1060"/>
      <c r="C2" s="1060"/>
      <c r="D2" s="1060"/>
      <c r="E2" s="1060"/>
      <c r="F2" s="1060"/>
      <c r="G2" s="1060"/>
      <c r="H2" s="1060"/>
      <c r="I2" s="1060"/>
      <c r="J2" s="1060"/>
      <c r="K2" s="1061"/>
    </row>
    <row r="3" spans="1:11" s="605" customFormat="1" ht="19.5" customHeight="1">
      <c r="A3" s="1062" t="s">
        <v>213</v>
      </c>
      <c r="B3" s="1063"/>
      <c r="C3" s="1063"/>
      <c r="D3" s="1063"/>
      <c r="E3" s="1063"/>
      <c r="F3" s="1063"/>
      <c r="G3" s="1063"/>
      <c r="H3" s="1063"/>
      <c r="I3" s="1063"/>
      <c r="J3" s="1063"/>
      <c r="K3" s="1064"/>
    </row>
    <row r="4" spans="1:11" s="605" customFormat="1" ht="19.5" customHeight="1">
      <c r="A4" s="1062" t="s">
        <v>23</v>
      </c>
      <c r="B4" s="1063"/>
      <c r="C4" s="1063"/>
      <c r="D4" s="1063"/>
      <c r="E4" s="1063"/>
      <c r="F4" s="1063"/>
      <c r="G4" s="1063"/>
      <c r="H4" s="1063"/>
      <c r="I4" s="1063"/>
      <c r="J4" s="1063"/>
      <c r="K4" s="1064"/>
    </row>
    <row r="5" spans="1:11" s="605" customFormat="1" ht="19.5" customHeight="1" thickBot="1">
      <c r="A5" s="1065"/>
      <c r="B5" s="1066"/>
      <c r="C5" s="1066"/>
      <c r="D5" s="1066"/>
      <c r="E5" s="1066"/>
      <c r="F5" s="1066"/>
      <c r="G5" s="1066"/>
      <c r="H5" s="1066"/>
      <c r="I5" s="1066"/>
      <c r="J5" s="606"/>
      <c r="K5" s="607"/>
    </row>
    <row r="6" spans="1:11" s="105" customFormat="1" ht="64.5" thickBot="1" thickTop="1">
      <c r="A6" s="608" t="s">
        <v>655</v>
      </c>
      <c r="B6" s="1067" t="s">
        <v>622</v>
      </c>
      <c r="C6" s="1068"/>
      <c r="D6" s="1068"/>
      <c r="E6" s="1068"/>
      <c r="F6" s="1068"/>
      <c r="G6" s="1068"/>
      <c r="H6" s="1068"/>
      <c r="I6" s="1068"/>
      <c r="J6" s="1069" t="s">
        <v>623</v>
      </c>
      <c r="K6" s="1070"/>
    </row>
    <row r="7" spans="1:11" s="609" customFormat="1" ht="54" customHeight="1" thickTop="1">
      <c r="A7" s="1051" t="str">
        <f>'[1]ORÇAMENTO GERAL'!C6</f>
        <v>EXECUÇÃO DOS SERVIÇOS DE DRENAGEM SUPERFICIAL, PROFUNDA, TERRAPLENAGEM E PAVIMENTAÇÃO NA PASS. JOÃO AVELINO E MEIO FIO, TERRAPLENAGEM E PAVIMENTAÇÃO NA RUA DO MAGUARI E PASS. JOANA D'ARC - CENTRO - ANANINDEUA - PA</v>
      </c>
      <c r="B7" s="1052"/>
      <c r="C7" s="1052"/>
      <c r="D7" s="1052"/>
      <c r="E7" s="1052"/>
      <c r="F7" s="1052"/>
      <c r="G7" s="1052"/>
      <c r="H7" s="1052"/>
      <c r="I7" s="1052"/>
      <c r="J7" s="1052"/>
      <c r="K7" s="1053"/>
    </row>
    <row r="8" spans="1:11" s="609" customFormat="1" ht="56.25" customHeight="1">
      <c r="A8" s="610" t="s">
        <v>209</v>
      </c>
      <c r="B8" s="611" t="s">
        <v>82</v>
      </c>
      <c r="C8" s="612" t="s">
        <v>624</v>
      </c>
      <c r="D8" s="612" t="s">
        <v>625</v>
      </c>
      <c r="E8" s="612" t="s">
        <v>626</v>
      </c>
      <c r="F8" s="613" t="s">
        <v>627</v>
      </c>
      <c r="G8" s="612" t="s">
        <v>628</v>
      </c>
      <c r="H8" s="613" t="s">
        <v>629</v>
      </c>
      <c r="I8" s="614" t="s">
        <v>630</v>
      </c>
      <c r="J8" s="613" t="s">
        <v>631</v>
      </c>
      <c r="K8" s="615" t="s">
        <v>27</v>
      </c>
    </row>
    <row r="9" spans="1:15" s="624" customFormat="1" ht="50.25" customHeight="1">
      <c r="A9" s="616" t="s">
        <v>632</v>
      </c>
      <c r="B9" s="84" t="s">
        <v>633</v>
      </c>
      <c r="C9" s="180" t="s">
        <v>634</v>
      </c>
      <c r="D9" s="617" t="s">
        <v>635</v>
      </c>
      <c r="E9" s="618" t="s">
        <v>636</v>
      </c>
      <c r="F9" s="619">
        <v>1</v>
      </c>
      <c r="G9" s="619">
        <v>20</v>
      </c>
      <c r="H9" s="620">
        <v>40</v>
      </c>
      <c r="I9" s="620">
        <f>'[3]CPU-2'!J27</f>
        <v>22</v>
      </c>
      <c r="J9" s="680">
        <v>348.43</v>
      </c>
      <c r="K9" s="623">
        <f aca="true" t="shared" si="0" ref="K9:K14">ROUND((F9*G9*I9/H9)*J9,2)</f>
        <v>3832.73</v>
      </c>
      <c r="O9" s="625"/>
    </row>
    <row r="10" spans="1:23" s="625" customFormat="1" ht="99.75" customHeight="1">
      <c r="A10" s="616" t="s">
        <v>212</v>
      </c>
      <c r="B10" s="84">
        <v>5824</v>
      </c>
      <c r="C10" s="626" t="s">
        <v>637</v>
      </c>
      <c r="D10" s="617" t="str">
        <f aca="true" t="shared" si="1" ref="D10:E14">D9</f>
        <v>BELEM</v>
      </c>
      <c r="E10" s="617" t="str">
        <f t="shared" si="1"/>
        <v>REGIONAL</v>
      </c>
      <c r="F10" s="619">
        <v>1</v>
      </c>
      <c r="G10" s="619">
        <f aca="true" t="shared" si="2" ref="G10:H14">G9</f>
        <v>20</v>
      </c>
      <c r="H10" s="620">
        <f t="shared" si="2"/>
        <v>40</v>
      </c>
      <c r="I10" s="621">
        <f>'[3]CPU-2'!J36</f>
        <v>2</v>
      </c>
      <c r="J10" s="622">
        <v>194.86</v>
      </c>
      <c r="K10" s="623">
        <f t="shared" si="0"/>
        <v>194.86</v>
      </c>
      <c r="P10" s="625">
        <v>5</v>
      </c>
      <c r="Q10" s="625">
        <v>0.4</v>
      </c>
      <c r="R10" s="625">
        <f>P10/Q10</f>
        <v>12.5</v>
      </c>
      <c r="S10" s="625">
        <v>13</v>
      </c>
      <c r="T10" s="625">
        <f>S10/2</f>
        <v>6.5</v>
      </c>
      <c r="U10" s="625">
        <v>7</v>
      </c>
      <c r="V10" s="625">
        <v>1.6</v>
      </c>
      <c r="W10" s="625">
        <f>U10*V10</f>
        <v>11.200000000000001</v>
      </c>
    </row>
    <row r="11" spans="1:16" s="628" customFormat="1" ht="99.75" customHeight="1">
      <c r="A11" s="73" t="s">
        <v>212</v>
      </c>
      <c r="B11" s="627">
        <v>5811</v>
      </c>
      <c r="C11" s="626" t="s">
        <v>613</v>
      </c>
      <c r="D11" s="617" t="str">
        <f t="shared" si="1"/>
        <v>BELEM</v>
      </c>
      <c r="E11" s="617" t="str">
        <f t="shared" si="1"/>
        <v>REGIONAL</v>
      </c>
      <c r="F11" s="619">
        <v>1</v>
      </c>
      <c r="G11" s="619">
        <f t="shared" si="2"/>
        <v>20</v>
      </c>
      <c r="H11" s="620">
        <f t="shared" si="2"/>
        <v>40</v>
      </c>
      <c r="I11" s="621">
        <f>'[3]CPU-2'!J43</f>
        <v>10</v>
      </c>
      <c r="J11" s="622">
        <v>203.46</v>
      </c>
      <c r="K11" s="623">
        <f t="shared" si="0"/>
        <v>1017.3</v>
      </c>
      <c r="O11" s="628">
        <f>7/0.4</f>
        <v>17.5</v>
      </c>
      <c r="P11" s="629"/>
    </row>
    <row r="12" spans="1:19" ht="99.75" customHeight="1">
      <c r="A12" s="73" t="s">
        <v>212</v>
      </c>
      <c r="B12" s="627">
        <v>91386</v>
      </c>
      <c r="C12" s="626" t="s">
        <v>616</v>
      </c>
      <c r="D12" s="617" t="str">
        <f t="shared" si="1"/>
        <v>BELEM</v>
      </c>
      <c r="E12" s="617" t="str">
        <f t="shared" si="1"/>
        <v>REGIONAL</v>
      </c>
      <c r="F12" s="619">
        <v>1</v>
      </c>
      <c r="G12" s="619">
        <f t="shared" si="2"/>
        <v>20</v>
      </c>
      <c r="H12" s="620">
        <f t="shared" si="2"/>
        <v>40</v>
      </c>
      <c r="I12" s="621">
        <f>'[3]CPU-2'!J50</f>
        <v>10</v>
      </c>
      <c r="J12" s="622">
        <v>247.81</v>
      </c>
      <c r="K12" s="623">
        <f t="shared" si="0"/>
        <v>1239.05</v>
      </c>
      <c r="N12" s="630">
        <f>4*0.4</f>
        <v>1.6</v>
      </c>
      <c r="O12" s="630">
        <f>N12*9</f>
        <v>14.4</v>
      </c>
      <c r="S12" s="630">
        <v>0.2363</v>
      </c>
    </row>
    <row r="13" spans="1:19" ht="99.75" customHeight="1">
      <c r="A13" s="73" t="s">
        <v>212</v>
      </c>
      <c r="B13" s="627">
        <v>5901</v>
      </c>
      <c r="C13" s="626" t="s">
        <v>359</v>
      </c>
      <c r="D13" s="617" t="str">
        <f t="shared" si="1"/>
        <v>BELEM</v>
      </c>
      <c r="E13" s="617" t="str">
        <f t="shared" si="1"/>
        <v>REGIONAL</v>
      </c>
      <c r="F13" s="619">
        <v>1</v>
      </c>
      <c r="G13" s="619">
        <f t="shared" si="2"/>
        <v>20</v>
      </c>
      <c r="H13" s="620">
        <f t="shared" si="2"/>
        <v>40</v>
      </c>
      <c r="I13" s="621">
        <f>'[3]CPU-2'!J57</f>
        <v>4</v>
      </c>
      <c r="J13" s="622">
        <v>304.82</v>
      </c>
      <c r="K13" s="623">
        <f t="shared" si="0"/>
        <v>609.64</v>
      </c>
      <c r="S13" s="630">
        <v>0.2801</v>
      </c>
    </row>
    <row r="14" spans="1:19" ht="99.75" customHeight="1">
      <c r="A14" s="73" t="s">
        <v>212</v>
      </c>
      <c r="B14" s="627">
        <v>83362</v>
      </c>
      <c r="C14" s="626" t="s">
        <v>619</v>
      </c>
      <c r="D14" s="617" t="str">
        <f t="shared" si="1"/>
        <v>BELEM</v>
      </c>
      <c r="E14" s="617" t="str">
        <f t="shared" si="1"/>
        <v>REGIONAL</v>
      </c>
      <c r="F14" s="619">
        <v>1</v>
      </c>
      <c r="G14" s="619">
        <f t="shared" si="2"/>
        <v>20</v>
      </c>
      <c r="H14" s="620">
        <f t="shared" si="2"/>
        <v>40</v>
      </c>
      <c r="I14" s="621">
        <f>'[3]CPU-2'!J64</f>
        <v>4</v>
      </c>
      <c r="J14" s="622">
        <v>257.91</v>
      </c>
      <c r="K14" s="623">
        <f t="shared" si="0"/>
        <v>515.82</v>
      </c>
      <c r="S14" s="630">
        <v>1</v>
      </c>
    </row>
    <row r="15" spans="1:19" s="632" customFormat="1" ht="45" customHeight="1" thickBot="1">
      <c r="A15" s="1054" t="s">
        <v>29</v>
      </c>
      <c r="B15" s="1055"/>
      <c r="C15" s="1055"/>
      <c r="D15" s="1055"/>
      <c r="E15" s="1055"/>
      <c r="F15" s="1055"/>
      <c r="G15" s="1055"/>
      <c r="H15" s="1055"/>
      <c r="I15" s="1055"/>
      <c r="J15" s="1056"/>
      <c r="K15" s="631">
        <f>ROUND(SUM(K9:K14),2)</f>
        <v>7409.4</v>
      </c>
      <c r="S15" s="632">
        <v>1</v>
      </c>
    </row>
    <row r="16" spans="1:19" ht="15.75">
      <c r="A16" s="609"/>
      <c r="B16" s="609"/>
      <c r="C16" s="609"/>
      <c r="D16" s="609"/>
      <c r="E16" s="609"/>
      <c r="F16" s="609"/>
      <c r="G16" s="609"/>
      <c r="H16" s="609"/>
      <c r="I16" s="609"/>
      <c r="J16" s="609"/>
      <c r="K16" s="609"/>
      <c r="S16" s="630">
        <f>SUM(S12:S15)</f>
        <v>2.5164</v>
      </c>
    </row>
    <row r="20" spans="8:11" ht="15.75">
      <c r="H20" s="630">
        <v>500</v>
      </c>
      <c r="K20" s="633">
        <v>94511.42</v>
      </c>
    </row>
    <row r="21" spans="8:11" ht="15.75">
      <c r="H21" s="630">
        <f>H20/12</f>
        <v>41.666666666666664</v>
      </c>
      <c r="K21" s="634">
        <f>K20-K15</f>
        <v>87102.02</v>
      </c>
    </row>
    <row r="22" ht="15.75">
      <c r="H22" s="630">
        <f>H21*5</f>
        <v>208.33333333333331</v>
      </c>
    </row>
    <row r="23" ht="15.75">
      <c r="H23" s="630">
        <v>291.666666666667</v>
      </c>
    </row>
    <row r="24" ht="15.75">
      <c r="H24" s="630">
        <f>H23+H22</f>
        <v>500.00000000000034</v>
      </c>
    </row>
  </sheetData>
  <sheetProtection/>
  <mergeCells count="9">
    <mergeCell ref="A7:K7"/>
    <mergeCell ref="A15:J15"/>
    <mergeCell ref="A1:I1"/>
    <mergeCell ref="A2:K2"/>
    <mergeCell ref="A3:K3"/>
    <mergeCell ref="A4:K4"/>
    <mergeCell ref="A5:I5"/>
    <mergeCell ref="B6:I6"/>
    <mergeCell ref="J6:K6"/>
  </mergeCells>
  <printOptions/>
  <pageMargins left="0.511811024" right="0.511811024" top="0.787401575" bottom="0.787401575" header="0.31496062" footer="0.31496062"/>
  <pageSetup fitToHeight="1" fitToWidth="1" horizontalDpi="1200" verticalDpi="1200" orientation="portrait" paperSize="9" scale="4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72"/>
  <sheetViews>
    <sheetView zoomScale="50" zoomScaleNormal="50" zoomScalePageLayoutView="0" workbookViewId="0" topLeftCell="A13">
      <selection activeCell="R22" sqref="R22"/>
    </sheetView>
  </sheetViews>
  <sheetFormatPr defaultColWidth="9.140625" defaultRowHeight="12.75"/>
  <cols>
    <col min="1" max="1" width="11.28125" style="601" customWidth="1"/>
    <col min="2" max="2" width="14.8515625" style="601" customWidth="1"/>
    <col min="3" max="3" width="44.140625" style="601" customWidth="1"/>
    <col min="4" max="4" width="9.421875" style="601" customWidth="1"/>
    <col min="5" max="5" width="9.8515625" style="601" bestFit="1" customWidth="1"/>
    <col min="6" max="6" width="15.421875" style="601" customWidth="1"/>
    <col min="7" max="7" width="7.140625" style="601" bestFit="1" customWidth="1"/>
    <col min="8" max="13" width="15.7109375" style="601" customWidth="1"/>
    <col min="14" max="14" width="11.8515625" style="601" bestFit="1" customWidth="1"/>
    <col min="15" max="15" width="9.8515625" style="601" bestFit="1" customWidth="1"/>
    <col min="16" max="16" width="11.8515625" style="601" bestFit="1" customWidth="1"/>
    <col min="17" max="17" width="10.8515625" style="601" customWidth="1"/>
    <col min="18" max="18" width="11.8515625" style="601" bestFit="1" customWidth="1"/>
    <col min="19" max="19" width="13.57421875" style="601" customWidth="1"/>
    <col min="20" max="20" width="10.28125" style="601" bestFit="1" customWidth="1"/>
    <col min="21" max="21" width="15.421875" style="601" customWidth="1"/>
    <col min="22" max="16384" width="9.140625" style="601" customWidth="1"/>
  </cols>
  <sheetData>
    <row r="1" spans="1:13" s="556" customFormat="1" ht="19.5" customHeight="1">
      <c r="A1" s="1073"/>
      <c r="B1" s="1074"/>
      <c r="C1" s="1074"/>
      <c r="D1" s="1074"/>
      <c r="E1" s="1074"/>
      <c r="F1" s="1074"/>
      <c r="G1" s="1074"/>
      <c r="H1" s="1074"/>
      <c r="I1" s="1074"/>
      <c r="J1" s="1074"/>
      <c r="K1" s="1074"/>
      <c r="L1" s="554"/>
      <c r="M1" s="555"/>
    </row>
    <row r="2" spans="1:13" s="556" customFormat="1" ht="19.5" customHeight="1">
      <c r="A2" s="1075" t="s">
        <v>24</v>
      </c>
      <c r="B2" s="1076"/>
      <c r="C2" s="1076"/>
      <c r="D2" s="1076"/>
      <c r="E2" s="1076"/>
      <c r="F2" s="1076"/>
      <c r="G2" s="1076"/>
      <c r="H2" s="1076"/>
      <c r="I2" s="1076"/>
      <c r="J2" s="1076"/>
      <c r="K2" s="1076"/>
      <c r="L2" s="1076"/>
      <c r="M2" s="1077"/>
    </row>
    <row r="3" spans="1:13" s="556" customFormat="1" ht="19.5" customHeight="1">
      <c r="A3" s="1078" t="s">
        <v>213</v>
      </c>
      <c r="B3" s="1079"/>
      <c r="C3" s="1079"/>
      <c r="D3" s="1079"/>
      <c r="E3" s="1079"/>
      <c r="F3" s="1079"/>
      <c r="G3" s="1079"/>
      <c r="H3" s="1079"/>
      <c r="I3" s="1079"/>
      <c r="J3" s="1079"/>
      <c r="K3" s="1079"/>
      <c r="L3" s="1079"/>
      <c r="M3" s="1080"/>
    </row>
    <row r="4" spans="1:13" s="556" customFormat="1" ht="19.5" customHeight="1">
      <c r="A4" s="1078" t="s">
        <v>23</v>
      </c>
      <c r="B4" s="1079"/>
      <c r="C4" s="1079"/>
      <c r="D4" s="1079"/>
      <c r="E4" s="1079"/>
      <c r="F4" s="1079"/>
      <c r="G4" s="1079"/>
      <c r="H4" s="1079"/>
      <c r="I4" s="1079"/>
      <c r="J4" s="1079"/>
      <c r="K4" s="1079"/>
      <c r="L4" s="1079"/>
      <c r="M4" s="1080"/>
    </row>
    <row r="5" spans="1:13" s="556" customFormat="1" ht="19.5" customHeight="1">
      <c r="A5" s="1081"/>
      <c r="B5" s="1082"/>
      <c r="C5" s="1082"/>
      <c r="D5" s="1082"/>
      <c r="E5" s="1082"/>
      <c r="F5" s="1082"/>
      <c r="G5" s="1082"/>
      <c r="H5" s="1082"/>
      <c r="I5" s="1082"/>
      <c r="J5" s="1082"/>
      <c r="K5" s="1082"/>
      <c r="L5" s="557"/>
      <c r="M5" s="558"/>
    </row>
    <row r="6" spans="1:14" s="561" customFormat="1" ht="18">
      <c r="A6" s="559" t="s">
        <v>356</v>
      </c>
      <c r="B6" s="1083" t="s">
        <v>583</v>
      </c>
      <c r="C6" s="1084"/>
      <c r="D6" s="1084"/>
      <c r="E6" s="1084"/>
      <c r="F6" s="1084"/>
      <c r="G6" s="1084"/>
      <c r="H6" s="1084"/>
      <c r="I6" s="1084"/>
      <c r="J6" s="1084"/>
      <c r="K6" s="1084"/>
      <c r="L6" s="1084"/>
      <c r="M6" s="1085"/>
      <c r="N6" s="560"/>
    </row>
    <row r="7" spans="1:14" s="563" customFormat="1" ht="51" customHeight="1">
      <c r="A7" s="1090" t="str">
        <f>'[1]ORÇAMENTO GERAL'!C6</f>
        <v>EXECUÇÃO DOS SERVIÇOS DE DRENAGEM SUPERFICIAL, PROFUNDA, TERRAPLENAGEM E PAVIMENTAÇÃO NA PASS. JOÃO AVELINO E MEIO FIO, TERRAPLENAGEM E PAVIMENTAÇÃO NA RUA DO MAGUARI E PASS. JOANA D'ARC - CENTRO - ANANINDEUA - PA</v>
      </c>
      <c r="B7" s="1091"/>
      <c r="C7" s="1091"/>
      <c r="D7" s="1091"/>
      <c r="E7" s="1091"/>
      <c r="F7" s="1091"/>
      <c r="G7" s="1091"/>
      <c r="H7" s="1091"/>
      <c r="I7" s="1091"/>
      <c r="J7" s="1091"/>
      <c r="K7" s="1091"/>
      <c r="L7" s="1091"/>
      <c r="M7" s="1092"/>
      <c r="N7" s="562"/>
    </row>
    <row r="8" spans="1:13" s="563" customFormat="1" ht="18">
      <c r="A8" s="1093" t="s">
        <v>584</v>
      </c>
      <c r="B8" s="1094"/>
      <c r="C8" s="1094"/>
      <c r="D8" s="1094"/>
      <c r="E8" s="1094"/>
      <c r="F8" s="1094"/>
      <c r="G8" s="1094"/>
      <c r="H8" s="1094"/>
      <c r="I8" s="1094"/>
      <c r="J8" s="1094"/>
      <c r="K8" s="1094"/>
      <c r="L8" s="1094"/>
      <c r="M8" s="1095"/>
    </row>
    <row r="9" spans="1:13" s="563" customFormat="1" ht="34.5" customHeight="1">
      <c r="A9" s="1096" t="s">
        <v>209</v>
      </c>
      <c r="B9" s="1097" t="s">
        <v>82</v>
      </c>
      <c r="C9" s="1098" t="s">
        <v>585</v>
      </c>
      <c r="D9" s="1071" t="s">
        <v>586</v>
      </c>
      <c r="E9" s="1071"/>
      <c r="F9" s="1071"/>
      <c r="G9" s="1071"/>
      <c r="H9" s="1071"/>
      <c r="I9" s="1071"/>
      <c r="J9" s="1071"/>
      <c r="K9" s="1071"/>
      <c r="L9" s="1071"/>
      <c r="M9" s="1072"/>
    </row>
    <row r="10" spans="1:13" s="567" customFormat="1" ht="34.5" customHeight="1">
      <c r="A10" s="1096"/>
      <c r="B10" s="1097"/>
      <c r="C10" s="1098"/>
      <c r="D10" s="1071" t="s">
        <v>6</v>
      </c>
      <c r="E10" s="1071"/>
      <c r="F10" s="1071"/>
      <c r="G10" s="1071"/>
      <c r="H10" s="564" t="s">
        <v>587</v>
      </c>
      <c r="I10" s="564" t="s">
        <v>588</v>
      </c>
      <c r="J10" s="564" t="s">
        <v>589</v>
      </c>
      <c r="K10" s="564" t="s">
        <v>209</v>
      </c>
      <c r="L10" s="565" t="s">
        <v>82</v>
      </c>
      <c r="M10" s="566" t="s">
        <v>590</v>
      </c>
    </row>
    <row r="11" spans="1:14" s="573" customFormat="1" ht="30" customHeight="1">
      <c r="A11" s="568" t="s">
        <v>212</v>
      </c>
      <c r="B11" s="569" t="str">
        <f>'[2]ORÇAMENTO DESONERADO'!C30</f>
        <v>97912</v>
      </c>
      <c r="C11" s="570" t="str">
        <f>'[2]ORÇAMENTO DESONERADO'!D38</f>
        <v>TRANSPORTE COM CAMINHÃO BASCULANTE DE 6 M3, EM VIA URBANA EM LEITO NATURAL (UNIDADE: M3XKM). AF_01/2018</v>
      </c>
      <c r="D11" s="1100" t="s">
        <v>591</v>
      </c>
      <c r="E11" s="1100"/>
      <c r="F11" s="1100"/>
      <c r="G11" s="1100"/>
      <c r="H11" s="1086">
        <v>6</v>
      </c>
      <c r="I11" s="1087">
        <v>1</v>
      </c>
      <c r="J11" s="1087">
        <f>ROUND(H11*I11,2)</f>
        <v>6</v>
      </c>
      <c r="K11" s="1088" t="s">
        <v>212</v>
      </c>
      <c r="L11" s="1089">
        <v>5934</v>
      </c>
      <c r="M11" s="1099" t="s">
        <v>592</v>
      </c>
      <c r="N11" s="572"/>
    </row>
    <row r="12" spans="1:13" s="573" customFormat="1" ht="64.5" customHeight="1">
      <c r="A12" s="568" t="s">
        <v>212</v>
      </c>
      <c r="B12" s="569" t="str">
        <f>'[2]ORÇAMENTO DESONERADO'!C39</f>
        <v>96388</v>
      </c>
      <c r="C12" s="570" t="str">
        <f>'[2]ORÇAMENTO DESONERADO'!D39</f>
        <v>EXECUÇÃO E COMPACTAÇÃO DE BASE E OU SUB BASE PARA PAVIMENTAÇÃO DE SOLOS DE COMPORTAMENTO LATERÍTICO (ARENOSO) - EXCLUSIVE SOLO, ESCAVAÇÃO, CARGA E TRANSPORTE. AF_11/2019</v>
      </c>
      <c r="D12" s="1100"/>
      <c r="E12" s="1100"/>
      <c r="F12" s="1100"/>
      <c r="G12" s="1100"/>
      <c r="H12" s="1086"/>
      <c r="I12" s="1087"/>
      <c r="J12" s="1087"/>
      <c r="K12" s="1088"/>
      <c r="L12" s="1089"/>
      <c r="M12" s="1099"/>
    </row>
    <row r="13" spans="1:13" s="581" customFormat="1" ht="64.5" customHeight="1">
      <c r="A13" s="568" t="s">
        <v>212</v>
      </c>
      <c r="B13" s="574" t="str">
        <f>'[2]ORÇAMENTO DESONERADO'!C32</f>
        <v>101126</v>
      </c>
      <c r="C13" s="570" t="str">
        <f>'[2]ORÇAMENTO DESONERADO'!D32</f>
        <v>ESCAVAÇÃO HORIZONTAL, INCLUINDO CARGA E DESCARGA EM SOLO DE 1A CATEGORIA COM TRATOR DE ESTEIRAS (170HP/LÂMINA: 5,20M3). AF_07/2020 (MATERIAL DA JAZIDA)</v>
      </c>
      <c r="D13" s="1100" t="s">
        <v>593</v>
      </c>
      <c r="E13" s="1101"/>
      <c r="F13" s="1101"/>
      <c r="G13" s="1101"/>
      <c r="H13" s="576">
        <v>4</v>
      </c>
      <c r="I13" s="577">
        <v>1</v>
      </c>
      <c r="J13" s="577">
        <f>ROUND(H13*I13,2)</f>
        <v>4</v>
      </c>
      <c r="K13" s="578" t="s">
        <v>212</v>
      </c>
      <c r="L13" s="579">
        <v>5946</v>
      </c>
      <c r="M13" s="580" t="s">
        <v>592</v>
      </c>
    </row>
    <row r="14" spans="1:13" s="583" customFormat="1" ht="64.5" customHeight="1">
      <c r="A14" s="568" t="s">
        <v>212</v>
      </c>
      <c r="B14" s="582" t="s">
        <v>594</v>
      </c>
      <c r="C14" s="570" t="str">
        <f>'[2]ORÇAMENTO DESONERADO'!D32</f>
        <v>ESCAVAÇÃO HORIZONTAL, INCLUINDO CARGA E DESCARGA EM SOLO DE 1A CATEGORIA COM TRATOR DE ESTEIRAS (170HP/LÂMINA: 5,20M3). AF_07/2020 (MATERIAL DA JAZIDA)</v>
      </c>
      <c r="D14" s="1100" t="s">
        <v>595</v>
      </c>
      <c r="E14" s="1101"/>
      <c r="F14" s="1101"/>
      <c r="G14" s="1101"/>
      <c r="H14" s="1086">
        <v>2</v>
      </c>
      <c r="I14" s="1102">
        <v>0.5</v>
      </c>
      <c r="J14" s="1103">
        <f>ROUND(H14*I14,2)</f>
        <v>1</v>
      </c>
      <c r="K14" s="1088" t="s">
        <v>212</v>
      </c>
      <c r="L14" s="1105">
        <v>5853</v>
      </c>
      <c r="M14" s="1099" t="s">
        <v>592</v>
      </c>
    </row>
    <row r="15" spans="1:13" s="583" customFormat="1" ht="64.5" customHeight="1">
      <c r="A15" s="568" t="s">
        <v>212</v>
      </c>
      <c r="B15" s="569" t="str">
        <f>'[2]ORÇAMENTO DESONERADO'!C31</f>
        <v>98525</v>
      </c>
      <c r="C15" s="570" t="str">
        <f>'[2]ORÇAMENTO DESONERADO'!D31</f>
        <v>LIMPEZA MECANIZADA DE CAMADA VEGETAL, VEGETAÇÃO E PEQUENAS ÁRVORES (DIÂMETRO DE TRONCO MENOR QUE 0,20 M), COM TRATOR DE ESTEIRAS.AF_05/2018 (LIMPEZA DA JAZIDA)</v>
      </c>
      <c r="D15" s="1100"/>
      <c r="E15" s="1101"/>
      <c r="F15" s="1101"/>
      <c r="G15" s="1101"/>
      <c r="H15" s="1086"/>
      <c r="I15" s="1102"/>
      <c r="J15" s="1104"/>
      <c r="K15" s="1088"/>
      <c r="L15" s="1105"/>
      <c r="M15" s="1099"/>
    </row>
    <row r="16" spans="1:13" s="585" customFormat="1" ht="64.5" customHeight="1">
      <c r="A16" s="568" t="s">
        <v>212</v>
      </c>
      <c r="B16" s="584">
        <v>72961</v>
      </c>
      <c r="C16" s="570" t="str">
        <f>'[2]ORÇAMENTO DESONERADO'!D32</f>
        <v>ESCAVAÇÃO HORIZONTAL, INCLUINDO CARGA E DESCARGA EM SOLO DE 1A CATEGORIA COM TRATOR DE ESTEIRAS (170HP/LÂMINA: 5,20M3). AF_07/2020 (MATERIAL DA JAZIDA)</v>
      </c>
      <c r="D16" s="1100" t="s">
        <v>596</v>
      </c>
      <c r="E16" s="1101"/>
      <c r="F16" s="1101"/>
      <c r="G16" s="1101"/>
      <c r="H16" s="576">
        <v>4</v>
      </c>
      <c r="I16" s="577">
        <v>0.5</v>
      </c>
      <c r="J16" s="577">
        <f>ROUND(H16*I16,2)</f>
        <v>2</v>
      </c>
      <c r="K16" s="578" t="s">
        <v>212</v>
      </c>
      <c r="L16" s="579">
        <v>7050</v>
      </c>
      <c r="M16" s="580" t="s">
        <v>592</v>
      </c>
    </row>
    <row r="17" spans="1:14" s="573" customFormat="1" ht="64.5" customHeight="1">
      <c r="A17" s="568" t="s">
        <v>212</v>
      </c>
      <c r="B17" s="574" t="s">
        <v>597</v>
      </c>
      <c r="C17" s="586" t="str">
        <f>'[2]ORÇAMENTO DESONERADO'!D39</f>
        <v>EXECUÇÃO E COMPACTAÇÃO DE BASE E OU SUB BASE PARA PAVIMENTAÇÃO DE SOLOS DE COMPORTAMENTO LATERÍTICO (ARENOSO) - EXCLUSIVE SOLO, ESCAVAÇÃO, CARGA E TRANSPORTE. AF_11/2019</v>
      </c>
      <c r="D17" s="1101" t="s">
        <v>598</v>
      </c>
      <c r="E17" s="1106"/>
      <c r="F17" s="1106"/>
      <c r="G17" s="1106"/>
      <c r="H17" s="587">
        <v>4</v>
      </c>
      <c r="I17" s="588">
        <v>0.5</v>
      </c>
      <c r="J17" s="588">
        <f>ROUND(H17*I17,2)</f>
        <v>2</v>
      </c>
      <c r="K17" s="571" t="s">
        <v>212</v>
      </c>
      <c r="L17" s="579">
        <v>93244</v>
      </c>
      <c r="M17" s="589" t="s">
        <v>592</v>
      </c>
      <c r="N17" s="572"/>
    </row>
    <row r="18" spans="1:13" s="573" customFormat="1" ht="64.5" customHeight="1">
      <c r="A18" s="568" t="s">
        <v>212</v>
      </c>
      <c r="B18" s="569" t="str">
        <f>'[2]ORÇAMENTO DESONERADO'!C37</f>
        <v>101126</v>
      </c>
      <c r="C18" s="586" t="str">
        <f>'[2]ORÇAMENTO DESONERADO'!D38</f>
        <v>TRANSPORTE COM CAMINHÃO BASCULANTE DE 6 M3, EM VIA URBANA EM LEITO NATURAL (UNIDADE: M3XKM). AF_01/2018</v>
      </c>
      <c r="D18" s="1101" t="s">
        <v>599</v>
      </c>
      <c r="E18" s="1101"/>
      <c r="F18" s="1101"/>
      <c r="G18" s="1101"/>
      <c r="H18" s="1107">
        <v>2</v>
      </c>
      <c r="I18" s="1108">
        <v>0.5</v>
      </c>
      <c r="J18" s="1108">
        <f>ROUND(H18*I18,2)</f>
        <v>1</v>
      </c>
      <c r="K18" s="1089" t="s">
        <v>212</v>
      </c>
      <c r="L18" s="1105">
        <v>89036</v>
      </c>
      <c r="M18" s="1109" t="s">
        <v>592</v>
      </c>
    </row>
    <row r="19" spans="1:13" s="583" customFormat="1" ht="64.5" customHeight="1">
      <c r="A19" s="568" t="s">
        <v>212</v>
      </c>
      <c r="B19" s="590">
        <v>96388</v>
      </c>
      <c r="C19" s="586" t="str">
        <f>'[2]ORÇAMENTO DESONERADO'!D39</f>
        <v>EXECUÇÃO E COMPACTAÇÃO DE BASE E OU SUB BASE PARA PAVIMENTAÇÃO DE SOLOS DE COMPORTAMENTO LATERÍTICO (ARENOSO) - EXCLUSIVE SOLO, ESCAVAÇÃO, CARGA E TRANSPORTE. AF_11/2019</v>
      </c>
      <c r="D19" s="1101"/>
      <c r="E19" s="1101"/>
      <c r="F19" s="1101"/>
      <c r="G19" s="1101"/>
      <c r="H19" s="1107"/>
      <c r="I19" s="1108"/>
      <c r="J19" s="1108"/>
      <c r="K19" s="1089"/>
      <c r="L19" s="1105"/>
      <c r="M19" s="1109"/>
    </row>
    <row r="20" spans="1:13" s="583" customFormat="1" ht="64.5" customHeight="1">
      <c r="A20" s="568" t="s">
        <v>212</v>
      </c>
      <c r="B20" s="569" t="str">
        <f>'[2]ORÇAMENTO DESONERADO'!C50</f>
        <v>96402</v>
      </c>
      <c r="C20" s="570" t="str">
        <f>'[2]ORÇAMENTO DESONERADO'!D50</f>
        <v>EXECUÇÃO DE PINTURA DE LIGAÇÃO COM EMULSÃO ASFÁLTICA RR-2C. AF_11/2019</v>
      </c>
      <c r="D20" s="1101"/>
      <c r="E20" s="1101"/>
      <c r="F20" s="1101"/>
      <c r="G20" s="1101"/>
      <c r="H20" s="1107"/>
      <c r="I20" s="1108"/>
      <c r="J20" s="1108"/>
      <c r="K20" s="1089"/>
      <c r="L20" s="1105"/>
      <c r="M20" s="1109"/>
    </row>
    <row r="21" spans="1:13" s="583" customFormat="1" ht="64.5" customHeight="1">
      <c r="A21" s="568" t="s">
        <v>212</v>
      </c>
      <c r="B21" s="569" t="str">
        <f>'[2]ORÇAMENTO DESONERADO'!C49</f>
        <v>96401</v>
      </c>
      <c r="C21" s="570" t="str">
        <f>'[2]ORÇAMENTO DESONERADO'!D49</f>
        <v>EXECUÇÃO DE IMPRIMAÇÃO COM ASFALTO DILUÍDO CM-30. AF_09/2017</v>
      </c>
      <c r="D21" s="1101"/>
      <c r="E21" s="1101"/>
      <c r="F21" s="1101"/>
      <c r="G21" s="1101"/>
      <c r="H21" s="1107"/>
      <c r="I21" s="1108"/>
      <c r="J21" s="1108"/>
      <c r="K21" s="1089"/>
      <c r="L21" s="1105"/>
      <c r="M21" s="1109"/>
    </row>
    <row r="22" spans="1:13" s="585" customFormat="1" ht="64.5" customHeight="1">
      <c r="A22" s="568" t="s">
        <v>212</v>
      </c>
      <c r="B22" s="591" t="str">
        <f>'[2]ORÇAMENTO DESONERADO'!C52</f>
        <v>004</v>
      </c>
      <c r="C22" s="570" t="str">
        <f>'[2]ORÇAMENTO DESONERADO'!D52</f>
        <v>CONSTRUÇÃO DE PAVIMENTO COM APLICAÇÃO DE CONCRETO BETUMINOSO USINADO A QUENTE (CBUQ), CAMADA DE ROLAMENTO, COM ESPESSURA DE 3,5 CM - EXCLUSIVE TRANSPORTE. AF_03/2017</v>
      </c>
      <c r="D22" s="1101"/>
      <c r="E22" s="1101"/>
      <c r="F22" s="1101"/>
      <c r="G22" s="1101"/>
      <c r="H22" s="1107"/>
      <c r="I22" s="1108"/>
      <c r="J22" s="1108"/>
      <c r="K22" s="1089"/>
      <c r="L22" s="1105"/>
      <c r="M22" s="1109"/>
    </row>
    <row r="23" spans="1:14" s="573" customFormat="1" ht="64.5" customHeight="1">
      <c r="A23" s="568" t="s">
        <v>212</v>
      </c>
      <c r="B23" s="591" t="s">
        <v>600</v>
      </c>
      <c r="C23" s="570" t="str">
        <f>'[2]ORÇAMENTO DESONERADO'!D52</f>
        <v>CONSTRUÇÃO DE PAVIMENTO COM APLICAÇÃO DE CONCRETO BETUMINOSO USINADO A QUENTE (CBUQ), CAMADA DE ROLAMENTO, COM ESPESSURA DE 3,5 CM - EXCLUSIVE TRANSPORTE. AF_03/2017</v>
      </c>
      <c r="D23" s="1100" t="s">
        <v>601</v>
      </c>
      <c r="E23" s="1101"/>
      <c r="F23" s="1101"/>
      <c r="G23" s="1101"/>
      <c r="H23" s="576">
        <v>3</v>
      </c>
      <c r="I23" s="577">
        <v>0.5</v>
      </c>
      <c r="J23" s="577">
        <f>ROUND(H23*I23,2)</f>
        <v>1.5</v>
      </c>
      <c r="K23" s="578" t="s">
        <v>212</v>
      </c>
      <c r="L23" s="579">
        <v>5837</v>
      </c>
      <c r="M23" s="580" t="s">
        <v>592</v>
      </c>
      <c r="N23" s="572"/>
    </row>
    <row r="24" spans="1:13" s="573" customFormat="1" ht="64.5" customHeight="1">
      <c r="A24" s="568" t="s">
        <v>212</v>
      </c>
      <c r="B24" s="591" t="s">
        <v>600</v>
      </c>
      <c r="C24" s="570" t="str">
        <f>'[2]ORÇAMENTO DESONERADO'!D52</f>
        <v>CONSTRUÇÃO DE PAVIMENTO COM APLICAÇÃO DE CONCRETO BETUMINOSO USINADO A QUENTE (CBUQ), CAMADA DE ROLAMENTO, COM ESPESSURA DE 3,5 CM - EXCLUSIVE TRANSPORTE. AF_03/2017</v>
      </c>
      <c r="D24" s="1100" t="s">
        <v>602</v>
      </c>
      <c r="E24" s="1101"/>
      <c r="F24" s="1101"/>
      <c r="G24" s="1101"/>
      <c r="H24" s="576">
        <v>4</v>
      </c>
      <c r="I24" s="577">
        <v>0.5</v>
      </c>
      <c r="J24" s="577">
        <f>ROUND(H24*I24,2)</f>
        <v>2</v>
      </c>
      <c r="K24" s="578" t="s">
        <v>212</v>
      </c>
      <c r="L24" s="579">
        <v>95632</v>
      </c>
      <c r="M24" s="580" t="s">
        <v>592</v>
      </c>
    </row>
    <row r="25" spans="1:13" s="583" customFormat="1" ht="64.5" customHeight="1">
      <c r="A25" s="568" t="s">
        <v>212</v>
      </c>
      <c r="B25" s="584">
        <v>96388</v>
      </c>
      <c r="C25" s="586" t="str">
        <f>'[2]ORÇAMENTO DESONERADO'!D39</f>
        <v>EXECUÇÃO E COMPACTAÇÃO DE BASE E OU SUB BASE PARA PAVIMENTAÇÃO DE SOLOS DE COMPORTAMENTO LATERÍTICO (ARENOSO) - EXCLUSIVE SOLO, ESCAVAÇÃO, CARGA E TRANSPORTE. AF_11/2019</v>
      </c>
      <c r="D25" s="1100" t="s">
        <v>603</v>
      </c>
      <c r="E25" s="1101"/>
      <c r="F25" s="1101"/>
      <c r="G25" s="1101"/>
      <c r="H25" s="1086">
        <v>4</v>
      </c>
      <c r="I25" s="1087">
        <v>0.5</v>
      </c>
      <c r="J25" s="1087">
        <f>ROUND(H25*I25,2)</f>
        <v>2</v>
      </c>
      <c r="K25" s="1088" t="s">
        <v>212</v>
      </c>
      <c r="L25" s="1110" t="s">
        <v>370</v>
      </c>
      <c r="M25" s="1099" t="s">
        <v>592</v>
      </c>
    </row>
    <row r="26" spans="1:13" s="583" customFormat="1" ht="64.5" customHeight="1">
      <c r="A26" s="568" t="s">
        <v>212</v>
      </c>
      <c r="B26" s="578" t="s">
        <v>600</v>
      </c>
      <c r="C26" s="570" t="str">
        <f>'[2]ORÇAMENTO DESONERADO'!D52</f>
        <v>CONSTRUÇÃO DE PAVIMENTO COM APLICAÇÃO DE CONCRETO BETUMINOSO USINADO A QUENTE (CBUQ), CAMADA DE ROLAMENTO, COM ESPESSURA DE 3,5 CM - EXCLUSIVE TRANSPORTE. AF_03/2017</v>
      </c>
      <c r="D26" s="1100"/>
      <c r="E26" s="1101"/>
      <c r="F26" s="1101"/>
      <c r="G26" s="1101"/>
      <c r="H26" s="1086"/>
      <c r="I26" s="1087"/>
      <c r="J26" s="1087"/>
      <c r="K26" s="1088"/>
      <c r="L26" s="1110"/>
      <c r="M26" s="1099"/>
    </row>
    <row r="27" spans="1:13" s="595" customFormat="1" ht="34.5" customHeight="1">
      <c r="A27" s="1111" t="s">
        <v>604</v>
      </c>
      <c r="B27" s="1112"/>
      <c r="C27" s="1112"/>
      <c r="D27" s="1112"/>
      <c r="E27" s="1112"/>
      <c r="F27" s="1112"/>
      <c r="G27" s="1112"/>
      <c r="H27" s="1112"/>
      <c r="I27" s="1113"/>
      <c r="J27" s="592">
        <f>ROUNDUP(SUM(J11:J26),0)</f>
        <v>22</v>
      </c>
      <c r="K27" s="593"/>
      <c r="L27" s="593"/>
      <c r="M27" s="594"/>
    </row>
    <row r="28" spans="1:13" s="585" customFormat="1" ht="15" customHeight="1">
      <c r="A28" s="596"/>
      <c r="B28" s="583"/>
      <c r="C28" s="583"/>
      <c r="D28" s="583"/>
      <c r="E28" s="583"/>
      <c r="F28" s="583"/>
      <c r="G28" s="583"/>
      <c r="H28" s="583"/>
      <c r="I28" s="583"/>
      <c r="J28" s="583"/>
      <c r="K28" s="583"/>
      <c r="L28" s="583"/>
      <c r="M28" s="597"/>
    </row>
    <row r="29" spans="1:14" s="573" customFormat="1" ht="34.5" customHeight="1">
      <c r="A29" s="1114" t="s">
        <v>605</v>
      </c>
      <c r="B29" s="1097"/>
      <c r="C29" s="1097"/>
      <c r="D29" s="1097"/>
      <c r="E29" s="1097"/>
      <c r="F29" s="1097"/>
      <c r="G29" s="1097"/>
      <c r="H29" s="1097"/>
      <c r="I29" s="1097"/>
      <c r="J29" s="1097"/>
      <c r="K29" s="1097"/>
      <c r="L29" s="1097"/>
      <c r="M29" s="1115"/>
      <c r="N29" s="572"/>
    </row>
    <row r="30" spans="1:13" s="583" customFormat="1" ht="34.5" customHeight="1">
      <c r="A30" s="1096" t="s">
        <v>209</v>
      </c>
      <c r="B30" s="1097" t="s">
        <v>82</v>
      </c>
      <c r="C30" s="1098" t="s">
        <v>585</v>
      </c>
      <c r="D30" s="1071" t="s">
        <v>225</v>
      </c>
      <c r="E30" s="1071"/>
      <c r="F30" s="1071"/>
      <c r="G30" s="1071"/>
      <c r="H30" s="1071"/>
      <c r="I30" s="1071"/>
      <c r="J30" s="1071"/>
      <c r="K30" s="1071"/>
      <c r="L30" s="1071"/>
      <c r="M30" s="1072"/>
    </row>
    <row r="31" spans="1:13" s="583" customFormat="1" ht="34.5" customHeight="1">
      <c r="A31" s="1096"/>
      <c r="B31" s="1097"/>
      <c r="C31" s="1098"/>
      <c r="D31" s="1071" t="s">
        <v>6</v>
      </c>
      <c r="E31" s="1071"/>
      <c r="F31" s="1071"/>
      <c r="G31" s="1071"/>
      <c r="H31" s="564" t="s">
        <v>587</v>
      </c>
      <c r="I31" s="564" t="s">
        <v>588</v>
      </c>
      <c r="J31" s="564" t="s">
        <v>589</v>
      </c>
      <c r="K31" s="564" t="s">
        <v>209</v>
      </c>
      <c r="L31" s="565" t="s">
        <v>82</v>
      </c>
      <c r="M31" s="566" t="s">
        <v>590</v>
      </c>
    </row>
    <row r="32" spans="1:13" s="583" customFormat="1" ht="64.5" customHeight="1">
      <c r="A32" s="568" t="s">
        <v>212</v>
      </c>
      <c r="B32" s="584" t="s">
        <v>606</v>
      </c>
      <c r="C32" s="570" t="str">
        <f>'[2]ORÇAMENTO DESONERADO'!D50</f>
        <v>EXECUÇÃO DE PINTURA DE LIGAÇÃO COM EMULSÃO ASFÁLTICA RR-2C. AF_11/2019</v>
      </c>
      <c r="D32" s="1116" t="s">
        <v>607</v>
      </c>
      <c r="E32" s="1117"/>
      <c r="F32" s="1117"/>
      <c r="G32" s="1118"/>
      <c r="H32" s="1107">
        <v>2</v>
      </c>
      <c r="I32" s="1108">
        <v>0.25</v>
      </c>
      <c r="J32" s="1108">
        <f>ROUND(H32*I32,2)</f>
        <v>0.5</v>
      </c>
      <c r="K32" s="1089" t="s">
        <v>212</v>
      </c>
      <c r="L32" s="1105">
        <v>5841</v>
      </c>
      <c r="M32" s="1109" t="s">
        <v>608</v>
      </c>
    </row>
    <row r="33" spans="1:13" s="598" customFormat="1" ht="64.5" customHeight="1">
      <c r="A33" s="568" t="s">
        <v>212</v>
      </c>
      <c r="B33" s="584">
        <v>96401</v>
      </c>
      <c r="C33" s="570" t="str">
        <f>'[2]ORÇAMENTO DESONERADO'!D49</f>
        <v>EXECUÇÃO DE IMPRIMAÇÃO COM ASFALTO DILUÍDO CM-30. AF_09/2017</v>
      </c>
      <c r="D33" s="1119"/>
      <c r="E33" s="1120"/>
      <c r="F33" s="1120"/>
      <c r="G33" s="1121"/>
      <c r="H33" s="1107"/>
      <c r="I33" s="1108"/>
      <c r="J33" s="1108"/>
      <c r="K33" s="1089"/>
      <c r="L33" s="1105"/>
      <c r="M33" s="1109"/>
    </row>
    <row r="34" spans="1:13" s="598" customFormat="1" ht="64.5" customHeight="1">
      <c r="A34" s="568" t="s">
        <v>212</v>
      </c>
      <c r="B34" s="578">
        <v>72947</v>
      </c>
      <c r="C34" s="575" t="str">
        <f>'[2]ORÇAMENTO DESONERADO'!D56</f>
        <v>SINALIZACAO HORIZONTAL COM TINTA RETRORREFLETIVA A BASE DE RESINA ACRILICA COM MICROESFERAS DE VIDRO</v>
      </c>
      <c r="D34" s="1123" t="s">
        <v>609</v>
      </c>
      <c r="E34" s="1124"/>
      <c r="F34" s="1124"/>
      <c r="G34" s="1125"/>
      <c r="H34" s="587">
        <v>1</v>
      </c>
      <c r="I34" s="588">
        <v>1</v>
      </c>
      <c r="J34" s="588">
        <f>ROUND(H34*I34,2)</f>
        <v>1</v>
      </c>
      <c r="K34" s="571" t="s">
        <v>212</v>
      </c>
      <c r="L34" s="579">
        <v>96159</v>
      </c>
      <c r="M34" s="589" t="s">
        <v>608</v>
      </c>
    </row>
    <row r="35" spans="1:13" s="598" customFormat="1" ht="64.5" customHeight="1">
      <c r="A35" s="568" t="s">
        <v>212</v>
      </c>
      <c r="B35" s="578">
        <v>72947</v>
      </c>
      <c r="C35" s="575" t="str">
        <f>'[2]ORÇAMENTO DESONERADO'!D56</f>
        <v>SINALIZACAO HORIZONTAL COM TINTA RETRORREFLETIVA A BASE DE RESINA ACRILICA COM MICROESFERAS DE VIDRO</v>
      </c>
      <c r="D35" s="1123" t="s">
        <v>610</v>
      </c>
      <c r="E35" s="1124"/>
      <c r="F35" s="1124"/>
      <c r="G35" s="1125"/>
      <c r="H35" s="576">
        <v>1</v>
      </c>
      <c r="I35" s="577">
        <v>0</v>
      </c>
      <c r="J35" s="588">
        <f>ROUND(H35*I35,2)</f>
        <v>0</v>
      </c>
      <c r="K35" s="571" t="s">
        <v>212</v>
      </c>
      <c r="L35" s="579">
        <v>5824</v>
      </c>
      <c r="M35" s="589" t="s">
        <v>611</v>
      </c>
    </row>
    <row r="36" spans="1:13" s="598" customFormat="1" ht="34.5" customHeight="1">
      <c r="A36" s="1111" t="s">
        <v>604</v>
      </c>
      <c r="B36" s="1112"/>
      <c r="C36" s="1112"/>
      <c r="D36" s="1112"/>
      <c r="E36" s="1112"/>
      <c r="F36" s="1112"/>
      <c r="G36" s="1112"/>
      <c r="H36" s="1112"/>
      <c r="I36" s="1113"/>
      <c r="J36" s="592">
        <f>ROUNDUP(SUM(J32:J35),0)</f>
        <v>2</v>
      </c>
      <c r="K36" s="593"/>
      <c r="L36" s="593"/>
      <c r="M36" s="594"/>
    </row>
    <row r="37" spans="1:13" s="598" customFormat="1" ht="15" customHeight="1">
      <c r="A37" s="596"/>
      <c r="B37" s="583"/>
      <c r="C37" s="583"/>
      <c r="D37" s="583"/>
      <c r="E37" s="583"/>
      <c r="F37" s="583"/>
      <c r="G37" s="583"/>
      <c r="H37" s="583"/>
      <c r="I37" s="583"/>
      <c r="J37" s="583"/>
      <c r="K37" s="583"/>
      <c r="L37" s="583"/>
      <c r="M37" s="597"/>
    </row>
    <row r="38" spans="1:13" s="598" customFormat="1" ht="34.5" customHeight="1">
      <c r="A38" s="1114" t="s">
        <v>612</v>
      </c>
      <c r="B38" s="1097"/>
      <c r="C38" s="1097"/>
      <c r="D38" s="1097"/>
      <c r="E38" s="1097"/>
      <c r="F38" s="1097"/>
      <c r="G38" s="1097"/>
      <c r="H38" s="1097"/>
      <c r="I38" s="1097"/>
      <c r="J38" s="1097"/>
      <c r="K38" s="1097"/>
      <c r="L38" s="1097"/>
      <c r="M38" s="1115"/>
    </row>
    <row r="39" spans="1:13" s="598" customFormat="1" ht="34.5" customHeight="1">
      <c r="A39" s="1096" t="s">
        <v>209</v>
      </c>
      <c r="B39" s="1097" t="s">
        <v>82</v>
      </c>
      <c r="C39" s="1098" t="s">
        <v>585</v>
      </c>
      <c r="D39" s="1071" t="s">
        <v>225</v>
      </c>
      <c r="E39" s="1071"/>
      <c r="F39" s="1071"/>
      <c r="G39" s="1071"/>
      <c r="H39" s="1071"/>
      <c r="I39" s="1071"/>
      <c r="J39" s="1071"/>
      <c r="K39" s="1071"/>
      <c r="L39" s="1071"/>
      <c r="M39" s="1072"/>
    </row>
    <row r="40" spans="1:13" s="583" customFormat="1" ht="34.5" customHeight="1">
      <c r="A40" s="1096"/>
      <c r="B40" s="1097"/>
      <c r="C40" s="1098"/>
      <c r="D40" s="1071" t="s">
        <v>6</v>
      </c>
      <c r="E40" s="1071"/>
      <c r="F40" s="1071"/>
      <c r="G40" s="1071"/>
      <c r="H40" s="564" t="s">
        <v>587</v>
      </c>
      <c r="I40" s="564" t="s">
        <v>588</v>
      </c>
      <c r="J40" s="564" t="s">
        <v>589</v>
      </c>
      <c r="K40" s="564" t="s">
        <v>209</v>
      </c>
      <c r="L40" s="565" t="s">
        <v>82</v>
      </c>
      <c r="M40" s="566" t="s">
        <v>590</v>
      </c>
    </row>
    <row r="41" spans="1:13" s="583" customFormat="1" ht="64.5" customHeight="1">
      <c r="A41" s="568" t="s">
        <v>212</v>
      </c>
      <c r="B41" s="584">
        <v>72886</v>
      </c>
      <c r="C41" s="570" t="str">
        <f>'[2]ORÇAMENTO DESONERADO'!D33</f>
        <v>TRANSPORTE COM CAMINHÃO BASCULANTE DE 6 M3, EM VIA URBANA EM LEITO NATURAL (UNIDADE: M3XKM). AF_01/2018</v>
      </c>
      <c r="D41" s="1126" t="s">
        <v>613</v>
      </c>
      <c r="E41" s="1127"/>
      <c r="F41" s="1127"/>
      <c r="G41" s="1128"/>
      <c r="H41" s="1132">
        <v>10</v>
      </c>
      <c r="I41" s="1103">
        <v>1</v>
      </c>
      <c r="J41" s="1103">
        <f>ROUND(H41*I41,2)</f>
        <v>10</v>
      </c>
      <c r="K41" s="1088" t="s">
        <v>212</v>
      </c>
      <c r="L41" s="1089" t="s">
        <v>614</v>
      </c>
      <c r="M41" s="1099" t="s">
        <v>611</v>
      </c>
    </row>
    <row r="42" spans="1:13" s="583" customFormat="1" ht="64.5" customHeight="1">
      <c r="A42" s="568" t="s">
        <v>212</v>
      </c>
      <c r="B42" s="584">
        <v>72886</v>
      </c>
      <c r="C42" s="570" t="str">
        <f>'[2]ORÇAMENTO DESONERADO'!D33</f>
        <v>TRANSPORTE COM CAMINHÃO BASCULANTE DE 6 M3, EM VIA URBANA EM LEITO NATURAL (UNIDADE: M3XKM). AF_01/2018</v>
      </c>
      <c r="D42" s="1129"/>
      <c r="E42" s="1130"/>
      <c r="F42" s="1130"/>
      <c r="G42" s="1131"/>
      <c r="H42" s="1133"/>
      <c r="I42" s="1122"/>
      <c r="J42" s="1122"/>
      <c r="K42" s="1088"/>
      <c r="L42" s="1089"/>
      <c r="M42" s="1099"/>
    </row>
    <row r="43" spans="1:13" s="583" customFormat="1" ht="34.5" customHeight="1">
      <c r="A43" s="1111" t="s">
        <v>604</v>
      </c>
      <c r="B43" s="1112"/>
      <c r="C43" s="1112"/>
      <c r="D43" s="1112"/>
      <c r="E43" s="1112"/>
      <c r="F43" s="1112"/>
      <c r="G43" s="1112"/>
      <c r="H43" s="1112"/>
      <c r="I43" s="1113"/>
      <c r="J43" s="592">
        <f>ROUNDUP(SUM(J41),0)</f>
        <v>10</v>
      </c>
      <c r="K43" s="593"/>
      <c r="L43" s="593"/>
      <c r="M43" s="594"/>
    </row>
    <row r="44" spans="1:13" s="583" customFormat="1" ht="15" customHeight="1">
      <c r="A44" s="596"/>
      <c r="M44" s="597"/>
    </row>
    <row r="45" spans="1:13" s="583" customFormat="1" ht="34.5" customHeight="1">
      <c r="A45" s="1114" t="s">
        <v>615</v>
      </c>
      <c r="B45" s="1097"/>
      <c r="C45" s="1097"/>
      <c r="D45" s="1097"/>
      <c r="E45" s="1097"/>
      <c r="F45" s="1097"/>
      <c r="G45" s="1097"/>
      <c r="H45" s="1097"/>
      <c r="I45" s="1097"/>
      <c r="J45" s="1097"/>
      <c r="K45" s="1097"/>
      <c r="L45" s="1097"/>
      <c r="M45" s="1115"/>
    </row>
    <row r="46" spans="1:13" s="583" customFormat="1" ht="34.5" customHeight="1">
      <c r="A46" s="1096" t="s">
        <v>209</v>
      </c>
      <c r="B46" s="1097" t="s">
        <v>82</v>
      </c>
      <c r="C46" s="1098" t="s">
        <v>585</v>
      </c>
      <c r="D46" s="1071" t="s">
        <v>225</v>
      </c>
      <c r="E46" s="1071"/>
      <c r="F46" s="1071"/>
      <c r="G46" s="1071"/>
      <c r="H46" s="1071"/>
      <c r="I46" s="1071"/>
      <c r="J46" s="1071"/>
      <c r="K46" s="1071"/>
      <c r="L46" s="1071"/>
      <c r="M46" s="1072"/>
    </row>
    <row r="47" spans="1:13" s="583" customFormat="1" ht="34.5" customHeight="1">
      <c r="A47" s="1096"/>
      <c r="B47" s="1097"/>
      <c r="C47" s="1098"/>
      <c r="D47" s="1071" t="s">
        <v>6</v>
      </c>
      <c r="E47" s="1071"/>
      <c r="F47" s="1071"/>
      <c r="G47" s="1071"/>
      <c r="H47" s="564" t="s">
        <v>587</v>
      </c>
      <c r="I47" s="564" t="s">
        <v>588</v>
      </c>
      <c r="J47" s="564" t="s">
        <v>589</v>
      </c>
      <c r="K47" s="564" t="s">
        <v>209</v>
      </c>
      <c r="L47" s="565" t="s">
        <v>82</v>
      </c>
      <c r="M47" s="566" t="s">
        <v>590</v>
      </c>
    </row>
    <row r="48" spans="1:13" s="583" customFormat="1" ht="64.5" customHeight="1">
      <c r="A48" s="568" t="s">
        <v>212</v>
      </c>
      <c r="B48" s="578">
        <v>95303</v>
      </c>
      <c r="C48" s="599" t="str">
        <f>'[2]ORÇAMENTO DESONERADO'!D51</f>
        <v> TRANSPORTE COM CAMINHÃO BASCULANTE DE 18 M³, EM VIA URBANA PAVIMENTADA, ADICIONAL PARA DMT EXCEDENTE A 30 KM (UNIDADE: M3XKM). AF_07/2020</v>
      </c>
      <c r="D48" s="1126" t="s">
        <v>616</v>
      </c>
      <c r="E48" s="1127"/>
      <c r="F48" s="1127"/>
      <c r="G48" s="1128"/>
      <c r="H48" s="1086">
        <v>10</v>
      </c>
      <c r="I48" s="1087">
        <v>1</v>
      </c>
      <c r="J48" s="1103">
        <f>ROUND(H48*I48,2)</f>
        <v>10</v>
      </c>
      <c r="K48" s="1088" t="s">
        <v>212</v>
      </c>
      <c r="L48" s="1089">
        <v>91386</v>
      </c>
      <c r="M48" s="1099" t="s">
        <v>611</v>
      </c>
    </row>
    <row r="49" spans="1:13" s="583" customFormat="1" ht="64.5" customHeight="1">
      <c r="A49" s="568" t="s">
        <v>212</v>
      </c>
      <c r="B49" s="578">
        <v>95997</v>
      </c>
      <c r="C49" s="570" t="str">
        <f>'[2]ORÇAMENTO DESONERADO'!D52</f>
        <v>CONSTRUÇÃO DE PAVIMENTO COM APLICAÇÃO DE CONCRETO BETUMINOSO USINADO A QUENTE (CBUQ), CAMADA DE ROLAMENTO, COM ESPESSURA DE 3,5 CM - EXCLUSIVE TRANSPORTE. AF_03/2017</v>
      </c>
      <c r="D49" s="1134"/>
      <c r="E49" s="1135"/>
      <c r="F49" s="1135"/>
      <c r="G49" s="1136"/>
      <c r="H49" s="1086"/>
      <c r="I49" s="1087"/>
      <c r="J49" s="1104"/>
      <c r="K49" s="1088"/>
      <c r="L49" s="1089"/>
      <c r="M49" s="1099"/>
    </row>
    <row r="50" spans="1:13" s="583" customFormat="1" ht="34.5" customHeight="1">
      <c r="A50" s="1111" t="s">
        <v>604</v>
      </c>
      <c r="B50" s="1112"/>
      <c r="C50" s="1112"/>
      <c r="D50" s="1112"/>
      <c r="E50" s="1112"/>
      <c r="F50" s="1112"/>
      <c r="G50" s="1112"/>
      <c r="H50" s="1112"/>
      <c r="I50" s="1113"/>
      <c r="J50" s="592">
        <f>ROUNDUP(SUM(J48),0)</f>
        <v>10</v>
      </c>
      <c r="K50" s="593"/>
      <c r="L50" s="593"/>
      <c r="M50" s="594"/>
    </row>
    <row r="51" spans="1:13" s="583" customFormat="1" ht="15" customHeight="1">
      <c r="A51" s="596"/>
      <c r="M51" s="597"/>
    </row>
    <row r="52" spans="1:13" s="583" customFormat="1" ht="34.5" customHeight="1">
      <c r="A52" s="1114" t="s">
        <v>617</v>
      </c>
      <c r="B52" s="1097"/>
      <c r="C52" s="1097"/>
      <c r="D52" s="1097"/>
      <c r="E52" s="1097"/>
      <c r="F52" s="1097"/>
      <c r="G52" s="1097"/>
      <c r="H52" s="1097"/>
      <c r="I52" s="1097"/>
      <c r="J52" s="1097"/>
      <c r="K52" s="1097"/>
      <c r="L52" s="1097"/>
      <c r="M52" s="1115"/>
    </row>
    <row r="53" spans="1:13" s="583" customFormat="1" ht="34.5" customHeight="1">
      <c r="A53" s="1096" t="s">
        <v>209</v>
      </c>
      <c r="B53" s="1097" t="s">
        <v>82</v>
      </c>
      <c r="C53" s="1098" t="s">
        <v>585</v>
      </c>
      <c r="D53" s="1071" t="s">
        <v>225</v>
      </c>
      <c r="E53" s="1071"/>
      <c r="F53" s="1071"/>
      <c r="G53" s="1071"/>
      <c r="H53" s="1071"/>
      <c r="I53" s="1071"/>
      <c r="J53" s="1071"/>
      <c r="K53" s="1071"/>
      <c r="L53" s="1071"/>
      <c r="M53" s="1072"/>
    </row>
    <row r="54" spans="1:13" s="583" customFormat="1" ht="34.5" customHeight="1">
      <c r="A54" s="1096"/>
      <c r="B54" s="1097"/>
      <c r="C54" s="1098"/>
      <c r="D54" s="1071" t="s">
        <v>6</v>
      </c>
      <c r="E54" s="1071"/>
      <c r="F54" s="1071"/>
      <c r="G54" s="1071"/>
      <c r="H54" s="564" t="s">
        <v>587</v>
      </c>
      <c r="I54" s="564" t="s">
        <v>588</v>
      </c>
      <c r="J54" s="564" t="s">
        <v>589</v>
      </c>
      <c r="K54" s="564" t="s">
        <v>209</v>
      </c>
      <c r="L54" s="565" t="s">
        <v>82</v>
      </c>
      <c r="M54" s="566" t="s">
        <v>590</v>
      </c>
    </row>
    <row r="55" spans="1:13" s="583" customFormat="1" ht="64.5" customHeight="1">
      <c r="A55" s="568" t="s">
        <v>212</v>
      </c>
      <c r="B55" s="584">
        <v>72961</v>
      </c>
      <c r="C55" s="570" t="str">
        <f>'[2]ORÇAMENTO DESONERADO'!D38</f>
        <v>TRANSPORTE COM CAMINHÃO BASCULANTE DE 6 M3, EM VIA URBANA EM LEITO NATURAL (UNIDADE: M3XKM). AF_01/2018</v>
      </c>
      <c r="D55" s="1126" t="s">
        <v>359</v>
      </c>
      <c r="E55" s="1127"/>
      <c r="F55" s="1127"/>
      <c r="G55" s="1128"/>
      <c r="H55" s="1086">
        <v>4</v>
      </c>
      <c r="I55" s="1087">
        <v>1</v>
      </c>
      <c r="J55" s="1087">
        <f>ROUND(H55*I55,2)</f>
        <v>4</v>
      </c>
      <c r="K55" s="1088" t="s">
        <v>212</v>
      </c>
      <c r="L55" s="1089">
        <v>5901</v>
      </c>
      <c r="M55" s="1099" t="s">
        <v>611</v>
      </c>
    </row>
    <row r="56" spans="1:13" s="583" customFormat="1" ht="64.5" customHeight="1">
      <c r="A56" s="568" t="s">
        <v>212</v>
      </c>
      <c r="B56" s="584">
        <v>96387</v>
      </c>
      <c r="C56" s="570" t="str">
        <f>'[2]ORÇAMENTO DESONERADO'!D39</f>
        <v>EXECUÇÃO E COMPACTAÇÃO DE BASE E OU SUB BASE PARA PAVIMENTAÇÃO DE SOLOS DE COMPORTAMENTO LATERÍTICO (ARENOSO) - EXCLUSIVE SOLO, ESCAVAÇÃO, CARGA E TRANSPORTE. AF_11/2019</v>
      </c>
      <c r="D56" s="1129"/>
      <c r="E56" s="1130"/>
      <c r="F56" s="1130"/>
      <c r="G56" s="1131"/>
      <c r="H56" s="1086"/>
      <c r="I56" s="1087"/>
      <c r="J56" s="1087"/>
      <c r="K56" s="1088"/>
      <c r="L56" s="1089"/>
      <c r="M56" s="1099"/>
    </row>
    <row r="57" spans="1:13" s="583" customFormat="1" ht="34.5" customHeight="1">
      <c r="A57" s="1111" t="s">
        <v>604</v>
      </c>
      <c r="B57" s="1112"/>
      <c r="C57" s="1112"/>
      <c r="D57" s="1112"/>
      <c r="E57" s="1112"/>
      <c r="F57" s="1112"/>
      <c r="G57" s="1112"/>
      <c r="H57" s="1112"/>
      <c r="I57" s="1113"/>
      <c r="J57" s="592">
        <f>ROUNDUP(SUM(J55),0)</f>
        <v>4</v>
      </c>
      <c r="K57" s="593"/>
      <c r="L57" s="593"/>
      <c r="M57" s="594"/>
    </row>
    <row r="58" spans="1:13" s="583" customFormat="1" ht="15" customHeight="1">
      <c r="A58" s="596"/>
      <c r="M58" s="597"/>
    </row>
    <row r="59" spans="1:13" s="583" customFormat="1" ht="34.5" customHeight="1">
      <c r="A59" s="1114" t="s">
        <v>618</v>
      </c>
      <c r="B59" s="1097"/>
      <c r="C59" s="1097"/>
      <c r="D59" s="1097"/>
      <c r="E59" s="1097"/>
      <c r="F59" s="1097"/>
      <c r="G59" s="1097"/>
      <c r="H59" s="1097"/>
      <c r="I59" s="1097"/>
      <c r="J59" s="1097"/>
      <c r="K59" s="1097"/>
      <c r="L59" s="1097"/>
      <c r="M59" s="1115"/>
    </row>
    <row r="60" spans="1:13" s="583" customFormat="1" ht="34.5" customHeight="1">
      <c r="A60" s="1096" t="s">
        <v>209</v>
      </c>
      <c r="B60" s="1097" t="s">
        <v>82</v>
      </c>
      <c r="C60" s="1098" t="s">
        <v>585</v>
      </c>
      <c r="D60" s="1071" t="s">
        <v>225</v>
      </c>
      <c r="E60" s="1071"/>
      <c r="F60" s="1071"/>
      <c r="G60" s="1071"/>
      <c r="H60" s="1071"/>
      <c r="I60" s="1071"/>
      <c r="J60" s="1071"/>
      <c r="K60" s="1071"/>
      <c r="L60" s="1071"/>
      <c r="M60" s="1072"/>
    </row>
    <row r="61" spans="1:13" s="600" customFormat="1" ht="34.5" customHeight="1">
      <c r="A61" s="1096"/>
      <c r="B61" s="1097"/>
      <c r="C61" s="1098"/>
      <c r="D61" s="1071" t="s">
        <v>6</v>
      </c>
      <c r="E61" s="1071"/>
      <c r="F61" s="1071"/>
      <c r="G61" s="1071"/>
      <c r="H61" s="564" t="s">
        <v>587</v>
      </c>
      <c r="I61" s="564" t="s">
        <v>588</v>
      </c>
      <c r="J61" s="564" t="s">
        <v>589</v>
      </c>
      <c r="K61" s="564" t="s">
        <v>209</v>
      </c>
      <c r="L61" s="565" t="s">
        <v>82</v>
      </c>
      <c r="M61" s="566" t="s">
        <v>590</v>
      </c>
    </row>
    <row r="62" spans="1:13" s="600" customFormat="1" ht="64.5" customHeight="1">
      <c r="A62" s="568" t="s">
        <v>212</v>
      </c>
      <c r="B62" s="584" t="s">
        <v>606</v>
      </c>
      <c r="C62" s="570" t="str">
        <f>'[2]ORÇAMENTO DESONERADO'!D50</f>
        <v>EXECUÇÃO DE PINTURA DE LIGAÇÃO COM EMULSÃO ASFÁLTICA RR-2C. AF_11/2019</v>
      </c>
      <c r="D62" s="1126" t="s">
        <v>619</v>
      </c>
      <c r="E62" s="1127"/>
      <c r="F62" s="1127"/>
      <c r="G62" s="1128"/>
      <c r="H62" s="1086">
        <v>4</v>
      </c>
      <c r="I62" s="1087">
        <v>1</v>
      </c>
      <c r="J62" s="1087">
        <f>ROUND(H62*I62,2)</f>
        <v>4</v>
      </c>
      <c r="K62" s="1088" t="s">
        <v>212</v>
      </c>
      <c r="L62" s="1089">
        <v>83362</v>
      </c>
      <c r="M62" s="1099" t="s">
        <v>611</v>
      </c>
    </row>
    <row r="63" spans="1:13" s="600" customFormat="1" ht="64.5" customHeight="1">
      <c r="A63" s="568" t="s">
        <v>212</v>
      </c>
      <c r="B63" s="584">
        <v>96401</v>
      </c>
      <c r="C63" s="570" t="str">
        <f>'[2]ORÇAMENTO DESONERADO'!D49</f>
        <v>EXECUÇÃO DE IMPRIMAÇÃO COM ASFALTO DILUÍDO CM-30. AF_09/2017</v>
      </c>
      <c r="D63" s="1134"/>
      <c r="E63" s="1135"/>
      <c r="F63" s="1135"/>
      <c r="G63" s="1136"/>
      <c r="H63" s="1086"/>
      <c r="I63" s="1087"/>
      <c r="J63" s="1087"/>
      <c r="K63" s="1088"/>
      <c r="L63" s="1089"/>
      <c r="M63" s="1099"/>
    </row>
    <row r="64" spans="1:13" s="600" customFormat="1" ht="34.5" customHeight="1">
      <c r="A64" s="1111" t="s">
        <v>604</v>
      </c>
      <c r="B64" s="1112"/>
      <c r="C64" s="1112"/>
      <c r="D64" s="1112"/>
      <c r="E64" s="1112"/>
      <c r="F64" s="1112"/>
      <c r="G64" s="1112"/>
      <c r="H64" s="1112"/>
      <c r="I64" s="1113"/>
      <c r="J64" s="592">
        <f>ROUNDUP(SUM(J62),0)</f>
        <v>4</v>
      </c>
      <c r="K64" s="593"/>
      <c r="L64" s="593"/>
      <c r="M64" s="594"/>
    </row>
    <row r="65" spans="1:13" s="600" customFormat="1" ht="15" customHeight="1">
      <c r="A65" s="596"/>
      <c r="B65" s="583"/>
      <c r="C65" s="583"/>
      <c r="D65" s="583"/>
      <c r="E65" s="583"/>
      <c r="F65" s="583"/>
      <c r="G65" s="583"/>
      <c r="H65" s="583"/>
      <c r="I65" s="583"/>
      <c r="J65" s="583"/>
      <c r="K65" s="583"/>
      <c r="L65" s="583"/>
      <c r="M65" s="597"/>
    </row>
    <row r="66" spans="1:13" s="600" customFormat="1" ht="34.5" customHeight="1">
      <c r="A66" s="1137" t="s">
        <v>620</v>
      </c>
      <c r="B66" s="1138"/>
      <c r="C66" s="1138"/>
      <c r="D66" s="1138"/>
      <c r="E66" s="1138"/>
      <c r="F66" s="1138"/>
      <c r="G66" s="1138"/>
      <c r="H66" s="1138"/>
      <c r="I66" s="1138"/>
      <c r="J66" s="1138"/>
      <c r="K66" s="1138"/>
      <c r="L66" s="1138"/>
      <c r="M66" s="1139"/>
    </row>
    <row r="67" spans="1:13" s="600" customFormat="1" ht="34.5" customHeight="1">
      <c r="A67" s="1140" t="s">
        <v>657</v>
      </c>
      <c r="B67" s="1124"/>
      <c r="C67" s="1124"/>
      <c r="D67" s="1124"/>
      <c r="E67" s="1124"/>
      <c r="F67" s="1124"/>
      <c r="G67" s="1124"/>
      <c r="H67" s="1124"/>
      <c r="I67" s="1124"/>
      <c r="J67" s="1124"/>
      <c r="K67" s="1124"/>
      <c r="L67" s="1124"/>
      <c r="M67" s="1141"/>
    </row>
    <row r="68" spans="1:13" s="600" customFormat="1" ht="34.5" customHeight="1" thickBot="1">
      <c r="A68" s="1142" t="s">
        <v>621</v>
      </c>
      <c r="B68" s="1143"/>
      <c r="C68" s="1143"/>
      <c r="D68" s="1143"/>
      <c r="E68" s="1143"/>
      <c r="F68" s="1143"/>
      <c r="G68" s="1143"/>
      <c r="H68" s="1143"/>
      <c r="I68" s="1143"/>
      <c r="J68" s="1143"/>
      <c r="K68" s="1143"/>
      <c r="L68" s="1143"/>
      <c r="M68" s="1144"/>
    </row>
    <row r="72" ht="14.25">
      <c r="M72" s="602">
        <f>'[2]COMPOS.MOBILIZAÇÃO'!M23</f>
        <v>86825.239</v>
      </c>
    </row>
  </sheetData>
  <sheetProtection/>
  <mergeCells count="122">
    <mergeCell ref="M62:M63"/>
    <mergeCell ref="A64:I64"/>
    <mergeCell ref="A66:M66"/>
    <mergeCell ref="A67:M67"/>
    <mergeCell ref="A68:M68"/>
    <mergeCell ref="D62:G63"/>
    <mergeCell ref="H62:H63"/>
    <mergeCell ref="I62:I63"/>
    <mergeCell ref="J62:J63"/>
    <mergeCell ref="K62:K63"/>
    <mergeCell ref="L62:L63"/>
    <mergeCell ref="M55:M56"/>
    <mergeCell ref="A57:I57"/>
    <mergeCell ref="A59:M59"/>
    <mergeCell ref="A60:A61"/>
    <mergeCell ref="B60:B61"/>
    <mergeCell ref="C60:C61"/>
    <mergeCell ref="D60:M60"/>
    <mergeCell ref="D61:G61"/>
    <mergeCell ref="D55:G56"/>
    <mergeCell ref="H55:H56"/>
    <mergeCell ref="I55:I56"/>
    <mergeCell ref="J55:J56"/>
    <mergeCell ref="K55:K56"/>
    <mergeCell ref="L55:L56"/>
    <mergeCell ref="M48:M49"/>
    <mergeCell ref="A50:I50"/>
    <mergeCell ref="A52:M52"/>
    <mergeCell ref="A53:A54"/>
    <mergeCell ref="B53:B54"/>
    <mergeCell ref="C53:C54"/>
    <mergeCell ref="D53:M53"/>
    <mergeCell ref="D54:G54"/>
    <mergeCell ref="D48:G49"/>
    <mergeCell ref="H48:H49"/>
    <mergeCell ref="I48:I49"/>
    <mergeCell ref="J48:J49"/>
    <mergeCell ref="K48:K49"/>
    <mergeCell ref="L48:L49"/>
    <mergeCell ref="M41:M42"/>
    <mergeCell ref="A43:I43"/>
    <mergeCell ref="A45:M45"/>
    <mergeCell ref="A46:A47"/>
    <mergeCell ref="B46:B47"/>
    <mergeCell ref="C46:C47"/>
    <mergeCell ref="D46:M46"/>
    <mergeCell ref="D47:G47"/>
    <mergeCell ref="D41:G42"/>
    <mergeCell ref="H41:H42"/>
    <mergeCell ref="I41:I42"/>
    <mergeCell ref="J41:J42"/>
    <mergeCell ref="K41:K42"/>
    <mergeCell ref="L41:L42"/>
    <mergeCell ref="M32:M33"/>
    <mergeCell ref="D34:G34"/>
    <mergeCell ref="D35:G35"/>
    <mergeCell ref="A36:I36"/>
    <mergeCell ref="A38:M38"/>
    <mergeCell ref="A39:A40"/>
    <mergeCell ref="B39:B40"/>
    <mergeCell ref="C39:C40"/>
    <mergeCell ref="D39:M39"/>
    <mergeCell ref="D40:G40"/>
    <mergeCell ref="D32:G33"/>
    <mergeCell ref="H32:H33"/>
    <mergeCell ref="I32:I33"/>
    <mergeCell ref="J32:J33"/>
    <mergeCell ref="K32:K33"/>
    <mergeCell ref="L32:L33"/>
    <mergeCell ref="L25:L26"/>
    <mergeCell ref="M25:M26"/>
    <mergeCell ref="A27:I27"/>
    <mergeCell ref="A29:M29"/>
    <mergeCell ref="A30:A31"/>
    <mergeCell ref="B30:B31"/>
    <mergeCell ref="C30:C31"/>
    <mergeCell ref="D30:M30"/>
    <mergeCell ref="D31:G31"/>
    <mergeCell ref="K18:K22"/>
    <mergeCell ref="L18:L22"/>
    <mergeCell ref="M18:M22"/>
    <mergeCell ref="D23:G23"/>
    <mergeCell ref="D24:G24"/>
    <mergeCell ref="D25:G26"/>
    <mergeCell ref="H25:H26"/>
    <mergeCell ref="I25:I26"/>
    <mergeCell ref="J25:J26"/>
    <mergeCell ref="K25:K26"/>
    <mergeCell ref="D16:G16"/>
    <mergeCell ref="D17:G17"/>
    <mergeCell ref="D18:G22"/>
    <mergeCell ref="H18:H22"/>
    <mergeCell ref="I18:I22"/>
    <mergeCell ref="J18:J22"/>
    <mergeCell ref="M11:M12"/>
    <mergeCell ref="D13:G13"/>
    <mergeCell ref="D14:G15"/>
    <mergeCell ref="H14:H15"/>
    <mergeCell ref="I14:I15"/>
    <mergeCell ref="J14:J15"/>
    <mergeCell ref="K14:K15"/>
    <mergeCell ref="L14:L15"/>
    <mergeCell ref="M14:M15"/>
    <mergeCell ref="D11:G12"/>
    <mergeCell ref="H11:H12"/>
    <mergeCell ref="I11:I12"/>
    <mergeCell ref="J11:J12"/>
    <mergeCell ref="K11:K12"/>
    <mergeCell ref="L11:L12"/>
    <mergeCell ref="A7:M7"/>
    <mergeCell ref="A8:M8"/>
    <mergeCell ref="A9:A10"/>
    <mergeCell ref="B9:B10"/>
    <mergeCell ref="C9:C10"/>
    <mergeCell ref="D9:M9"/>
    <mergeCell ref="D10:G10"/>
    <mergeCell ref="A1:K1"/>
    <mergeCell ref="A2:M2"/>
    <mergeCell ref="A3:M3"/>
    <mergeCell ref="A4:M4"/>
    <mergeCell ref="A5:K5"/>
    <mergeCell ref="B6:M6"/>
  </mergeCells>
  <printOptions/>
  <pageMargins left="0.511811024" right="0.511811024" top="0.787401575" bottom="0.787401575" header="0.31496062" footer="0.31496062"/>
  <pageSetup fitToHeight="0" fitToWidth="1" horizontalDpi="1200" verticalDpi="1200" orientation="portrait" paperSize="9" scale="4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F50"/>
  <sheetViews>
    <sheetView view="pageBreakPreview" zoomScale="60" zoomScaleNormal="70" zoomScalePageLayoutView="0" workbookViewId="0" topLeftCell="A1">
      <selection activeCell="D53" sqref="D53"/>
    </sheetView>
  </sheetViews>
  <sheetFormatPr defaultColWidth="9.140625" defaultRowHeight="12.75"/>
  <cols>
    <col min="1" max="1" width="13.421875" style="246" customWidth="1"/>
    <col min="2" max="2" width="77.57421875" style="246" customWidth="1"/>
    <col min="3" max="3" width="16.8515625" style="246" customWidth="1"/>
    <col min="4" max="4" width="18.57421875" style="246" customWidth="1"/>
    <col min="5" max="5" width="16.8515625" style="246" customWidth="1"/>
    <col min="6" max="6" width="18.57421875" style="246" customWidth="1"/>
    <col min="7" max="16384" width="9.140625" style="246" customWidth="1"/>
  </cols>
  <sheetData>
    <row r="1" spans="1:6" s="244" customFormat="1" ht="19.5" customHeight="1">
      <c r="A1" s="1164"/>
      <c r="B1" s="1165"/>
      <c r="C1" s="1165"/>
      <c r="D1" s="1165"/>
      <c r="E1" s="1165"/>
      <c r="F1" s="1166"/>
    </row>
    <row r="2" spans="1:6" s="245" customFormat="1" ht="19.5" customHeight="1">
      <c r="A2" s="1167" t="s">
        <v>24</v>
      </c>
      <c r="B2" s="1168"/>
      <c r="C2" s="1168"/>
      <c r="D2" s="1168"/>
      <c r="E2" s="1168"/>
      <c r="F2" s="1169"/>
    </row>
    <row r="3" spans="1:6" s="245" customFormat="1" ht="19.5" customHeight="1">
      <c r="A3" s="1170" t="s">
        <v>213</v>
      </c>
      <c r="B3" s="1171"/>
      <c r="C3" s="1171"/>
      <c r="D3" s="1171"/>
      <c r="E3" s="1171"/>
      <c r="F3" s="1172"/>
    </row>
    <row r="4" spans="1:6" s="245" customFormat="1" ht="19.5" customHeight="1">
      <c r="A4" s="1170" t="s">
        <v>23</v>
      </c>
      <c r="B4" s="1171"/>
      <c r="C4" s="1171"/>
      <c r="D4" s="1171"/>
      <c r="E4" s="1171"/>
      <c r="F4" s="1172"/>
    </row>
    <row r="5" spans="1:6" s="245" customFormat="1" ht="19.5" customHeight="1" thickBot="1">
      <c r="A5" s="1173"/>
      <c r="B5" s="1174"/>
      <c r="C5" s="1174"/>
      <c r="D5" s="1174"/>
      <c r="E5" s="1174"/>
      <c r="F5" s="1175"/>
    </row>
    <row r="6" spans="1:6" ht="34.5" customHeight="1" thickBot="1" thickTop="1">
      <c r="A6" s="1176" t="s">
        <v>347</v>
      </c>
      <c r="B6" s="1177"/>
      <c r="C6" s="1177"/>
      <c r="D6" s="1177"/>
      <c r="E6" s="1177"/>
      <c r="F6" s="1178"/>
    </row>
    <row r="7" spans="1:6" ht="79.5" customHeight="1" thickTop="1">
      <c r="A7" s="1154" t="str">
        <f>'ORÇAMENTO GERAL'!C6</f>
        <v>EXECUÇÃO DOS SERVIÇOS DE DRENAGEM SUPERFICIAL E PROFUNDA E PAVIMENTAÇÃO DAS RUAS UNIÃO E JARDIM DOS ESPORTES NO BAIRRO DO ICUI- NO MUNICÍPIO DE ANANINDEUA - PA.</v>
      </c>
      <c r="B7" s="1155"/>
      <c r="C7" s="1155"/>
      <c r="D7" s="1155"/>
      <c r="E7" s="1155"/>
      <c r="F7" s="1156"/>
    </row>
    <row r="8" spans="1:6" ht="18.75">
      <c r="A8" s="1157" t="s">
        <v>82</v>
      </c>
      <c r="B8" s="1159" t="s">
        <v>83</v>
      </c>
      <c r="C8" s="1161" t="s">
        <v>348</v>
      </c>
      <c r="D8" s="1162"/>
      <c r="E8" s="1161" t="s">
        <v>349</v>
      </c>
      <c r="F8" s="1163"/>
    </row>
    <row r="9" spans="1:6" s="244" customFormat="1" ht="18.75">
      <c r="A9" s="1158"/>
      <c r="B9" s="1160"/>
      <c r="C9" s="247" t="s">
        <v>84</v>
      </c>
      <c r="D9" s="247" t="s">
        <v>85</v>
      </c>
      <c r="E9" s="247" t="s">
        <v>84</v>
      </c>
      <c r="F9" s="248" t="s">
        <v>85</v>
      </c>
    </row>
    <row r="10" spans="1:6" s="244" customFormat="1" ht="24.75" customHeight="1">
      <c r="A10" s="1145" t="s">
        <v>86</v>
      </c>
      <c r="B10" s="1146"/>
      <c r="C10" s="1146"/>
      <c r="D10" s="1147"/>
      <c r="E10" s="249"/>
      <c r="F10" s="250"/>
    </row>
    <row r="11" spans="1:6" s="244" customFormat="1" ht="18" customHeight="1">
      <c r="A11" s="251" t="s">
        <v>87</v>
      </c>
      <c r="B11" s="252" t="s">
        <v>88</v>
      </c>
      <c r="C11" s="529">
        <v>0</v>
      </c>
      <c r="D11" s="253">
        <v>0</v>
      </c>
      <c r="E11" s="253">
        <v>20</v>
      </c>
      <c r="F11" s="254">
        <v>20</v>
      </c>
    </row>
    <row r="12" spans="1:6" s="244" customFormat="1" ht="18" customHeight="1">
      <c r="A12" s="251" t="s">
        <v>89</v>
      </c>
      <c r="B12" s="252" t="s">
        <v>90</v>
      </c>
      <c r="C12" s="529">
        <v>1.5</v>
      </c>
      <c r="D12" s="253">
        <v>1.5</v>
      </c>
      <c r="E12" s="253">
        <v>1.5</v>
      </c>
      <c r="F12" s="254">
        <v>1.5</v>
      </c>
    </row>
    <row r="13" spans="1:6" s="244" customFormat="1" ht="18" customHeight="1">
      <c r="A13" s="251" t="s">
        <v>91</v>
      </c>
      <c r="B13" s="252" t="s">
        <v>92</v>
      </c>
      <c r="C13" s="529">
        <v>1</v>
      </c>
      <c r="D13" s="253">
        <v>1</v>
      </c>
      <c r="E13" s="253">
        <v>1</v>
      </c>
      <c r="F13" s="254">
        <v>1</v>
      </c>
    </row>
    <row r="14" spans="1:6" s="244" customFormat="1" ht="18" customHeight="1">
      <c r="A14" s="251" t="s">
        <v>93</v>
      </c>
      <c r="B14" s="252" t="s">
        <v>94</v>
      </c>
      <c r="C14" s="529">
        <v>0.2</v>
      </c>
      <c r="D14" s="253">
        <v>0.2</v>
      </c>
      <c r="E14" s="253">
        <v>0.2</v>
      </c>
      <c r="F14" s="254">
        <v>0.2</v>
      </c>
    </row>
    <row r="15" spans="1:6" s="244" customFormat="1" ht="18" customHeight="1">
      <c r="A15" s="251" t="s">
        <v>95</v>
      </c>
      <c r="B15" s="252" t="s">
        <v>96</v>
      </c>
      <c r="C15" s="529">
        <v>0.6</v>
      </c>
      <c r="D15" s="253">
        <v>0.6</v>
      </c>
      <c r="E15" s="253">
        <v>0.6</v>
      </c>
      <c r="F15" s="254">
        <v>0.6</v>
      </c>
    </row>
    <row r="16" spans="1:6" s="244" customFormat="1" ht="18" customHeight="1">
      <c r="A16" s="251" t="s">
        <v>97</v>
      </c>
      <c r="B16" s="252" t="s">
        <v>98</v>
      </c>
      <c r="C16" s="529">
        <v>2.5</v>
      </c>
      <c r="D16" s="253">
        <v>2.5</v>
      </c>
      <c r="E16" s="253">
        <v>2.5</v>
      </c>
      <c r="F16" s="254">
        <v>2.5</v>
      </c>
    </row>
    <row r="17" spans="1:6" s="244" customFormat="1" ht="18" customHeight="1">
      <c r="A17" s="251" t="s">
        <v>99</v>
      </c>
      <c r="B17" s="252" t="s">
        <v>100</v>
      </c>
      <c r="C17" s="529">
        <v>3</v>
      </c>
      <c r="D17" s="253">
        <v>3</v>
      </c>
      <c r="E17" s="253">
        <v>3</v>
      </c>
      <c r="F17" s="254">
        <v>3</v>
      </c>
    </row>
    <row r="18" spans="1:6" s="244" customFormat="1" ht="18" customHeight="1">
      <c r="A18" s="251" t="s">
        <v>101</v>
      </c>
      <c r="B18" s="252" t="s">
        <v>102</v>
      </c>
      <c r="C18" s="529">
        <v>8</v>
      </c>
      <c r="D18" s="253">
        <v>8</v>
      </c>
      <c r="E18" s="253">
        <v>8</v>
      </c>
      <c r="F18" s="254">
        <v>8</v>
      </c>
    </row>
    <row r="19" spans="1:6" s="244" customFormat="1" ht="18" customHeight="1">
      <c r="A19" s="251" t="s">
        <v>103</v>
      </c>
      <c r="B19" s="252" t="s">
        <v>104</v>
      </c>
      <c r="C19" s="529">
        <v>0</v>
      </c>
      <c r="D19" s="253">
        <v>0</v>
      </c>
      <c r="E19" s="253">
        <v>0</v>
      </c>
      <c r="F19" s="254">
        <v>0</v>
      </c>
    </row>
    <row r="20" spans="1:6" s="244" customFormat="1" ht="18.75" customHeight="1">
      <c r="A20" s="255" t="s">
        <v>64</v>
      </c>
      <c r="B20" s="256" t="s">
        <v>105</v>
      </c>
      <c r="C20" s="530">
        <f>SUM(C11:C19)</f>
        <v>16.8</v>
      </c>
      <c r="D20" s="257">
        <v>16.8</v>
      </c>
      <c r="E20" s="257">
        <v>36.8</v>
      </c>
      <c r="F20" s="258">
        <v>36.8</v>
      </c>
    </row>
    <row r="21" spans="1:6" s="244" customFormat="1" ht="24.75" customHeight="1">
      <c r="A21" s="1145" t="s">
        <v>106</v>
      </c>
      <c r="B21" s="1146"/>
      <c r="C21" s="1146"/>
      <c r="D21" s="1147"/>
      <c r="E21" s="249"/>
      <c r="F21" s="250"/>
    </row>
    <row r="22" spans="1:6" s="244" customFormat="1" ht="18" customHeight="1">
      <c r="A22" s="251" t="s">
        <v>107</v>
      </c>
      <c r="B22" s="252" t="s">
        <v>108</v>
      </c>
      <c r="C22" s="253">
        <v>18.11</v>
      </c>
      <c r="D22" s="253">
        <v>0</v>
      </c>
      <c r="E22" s="253">
        <v>18.11</v>
      </c>
      <c r="F22" s="254">
        <v>0</v>
      </c>
    </row>
    <row r="23" spans="1:6" s="244" customFormat="1" ht="18" customHeight="1">
      <c r="A23" s="251" t="s">
        <v>109</v>
      </c>
      <c r="B23" s="252" t="s">
        <v>110</v>
      </c>
      <c r="C23" s="253">
        <v>4.15</v>
      </c>
      <c r="D23" s="253">
        <v>0</v>
      </c>
      <c r="E23" s="253">
        <v>4.15</v>
      </c>
      <c r="F23" s="254">
        <v>0</v>
      </c>
    </row>
    <row r="24" spans="1:6" s="244" customFormat="1" ht="18" customHeight="1">
      <c r="A24" s="251" t="s">
        <v>111</v>
      </c>
      <c r="B24" s="252" t="s">
        <v>112</v>
      </c>
      <c r="C24" s="253">
        <v>0.89</v>
      </c>
      <c r="D24" s="253">
        <v>0.67</v>
      </c>
      <c r="E24" s="253">
        <v>0.89</v>
      </c>
      <c r="F24" s="254">
        <v>0.67</v>
      </c>
    </row>
    <row r="25" spans="1:6" s="244" customFormat="1" ht="18" customHeight="1">
      <c r="A25" s="251" t="s">
        <v>113</v>
      </c>
      <c r="B25" s="252" t="s">
        <v>114</v>
      </c>
      <c r="C25" s="253">
        <v>10.98</v>
      </c>
      <c r="D25" s="253">
        <v>8.33</v>
      </c>
      <c r="E25" s="253">
        <v>10.98</v>
      </c>
      <c r="F25" s="254">
        <v>8.33</v>
      </c>
    </row>
    <row r="26" spans="1:6" s="244" customFormat="1" ht="18" customHeight="1">
      <c r="A26" s="251" t="s">
        <v>115</v>
      </c>
      <c r="B26" s="252" t="s">
        <v>116</v>
      </c>
      <c r="C26" s="253">
        <v>0.07</v>
      </c>
      <c r="D26" s="253">
        <v>0.06</v>
      </c>
      <c r="E26" s="253">
        <v>0.07</v>
      </c>
      <c r="F26" s="254">
        <v>0.06</v>
      </c>
    </row>
    <row r="27" spans="1:6" s="244" customFormat="1" ht="18" customHeight="1">
      <c r="A27" s="251" t="s">
        <v>117</v>
      </c>
      <c r="B27" s="252" t="s">
        <v>118</v>
      </c>
      <c r="C27" s="253">
        <v>0.73</v>
      </c>
      <c r="D27" s="253">
        <v>0.56</v>
      </c>
      <c r="E27" s="253">
        <v>0.73</v>
      </c>
      <c r="F27" s="254">
        <v>0.56</v>
      </c>
    </row>
    <row r="28" spans="1:6" s="244" customFormat="1" ht="18" customHeight="1">
      <c r="A28" s="251" t="s">
        <v>119</v>
      </c>
      <c r="B28" s="252" t="s">
        <v>120</v>
      </c>
      <c r="C28" s="253">
        <v>2.68</v>
      </c>
      <c r="D28" s="253">
        <v>0</v>
      </c>
      <c r="E28" s="253">
        <v>2.68</v>
      </c>
      <c r="F28" s="254">
        <v>0</v>
      </c>
    </row>
    <row r="29" spans="1:6" s="244" customFormat="1" ht="18" customHeight="1">
      <c r="A29" s="251" t="s">
        <v>121</v>
      </c>
      <c r="B29" s="252" t="s">
        <v>122</v>
      </c>
      <c r="C29" s="253">
        <v>0.11</v>
      </c>
      <c r="D29" s="253">
        <v>0.08</v>
      </c>
      <c r="E29" s="253">
        <v>0.11</v>
      </c>
      <c r="F29" s="254">
        <v>0.08</v>
      </c>
    </row>
    <row r="30" spans="1:6" s="244" customFormat="1" ht="18" customHeight="1">
      <c r="A30" s="251" t="s">
        <v>123</v>
      </c>
      <c r="B30" s="252" t="s">
        <v>124</v>
      </c>
      <c r="C30" s="253">
        <v>9.27</v>
      </c>
      <c r="D30" s="253">
        <v>7.03</v>
      </c>
      <c r="E30" s="253">
        <v>9.27</v>
      </c>
      <c r="F30" s="254">
        <v>7.03</v>
      </c>
    </row>
    <row r="31" spans="1:6" s="244" customFormat="1" ht="18" customHeight="1">
      <c r="A31" s="251" t="s">
        <v>125</v>
      </c>
      <c r="B31" s="252" t="s">
        <v>126</v>
      </c>
      <c r="C31" s="253">
        <v>0.03</v>
      </c>
      <c r="D31" s="253">
        <v>0.03</v>
      </c>
      <c r="E31" s="253">
        <v>0.03</v>
      </c>
      <c r="F31" s="254">
        <v>0.03</v>
      </c>
    </row>
    <row r="32" spans="1:6" s="244" customFormat="1" ht="18.75" customHeight="1">
      <c r="A32" s="255" t="s">
        <v>67</v>
      </c>
      <c r="B32" s="256" t="s">
        <v>127</v>
      </c>
      <c r="C32" s="257">
        <v>47.02</v>
      </c>
      <c r="D32" s="257">
        <v>16.76</v>
      </c>
      <c r="E32" s="257">
        <v>47.02</v>
      </c>
      <c r="F32" s="258">
        <v>16.76</v>
      </c>
    </row>
    <row r="33" spans="1:6" s="244" customFormat="1" ht="24.75" customHeight="1">
      <c r="A33" s="1145" t="s">
        <v>128</v>
      </c>
      <c r="B33" s="1146"/>
      <c r="C33" s="1146"/>
      <c r="D33" s="1147"/>
      <c r="E33" s="249"/>
      <c r="F33" s="250"/>
    </row>
    <row r="34" spans="1:6" s="244" customFormat="1" ht="18" customHeight="1">
      <c r="A34" s="251" t="s">
        <v>129</v>
      </c>
      <c r="B34" s="252" t="s">
        <v>130</v>
      </c>
      <c r="C34" s="253">
        <v>5.69</v>
      </c>
      <c r="D34" s="253">
        <v>4.32</v>
      </c>
      <c r="E34" s="253">
        <v>5.69</v>
      </c>
      <c r="F34" s="254">
        <v>4.32</v>
      </c>
    </row>
    <row r="35" spans="1:6" s="244" customFormat="1" ht="18" customHeight="1">
      <c r="A35" s="251" t="s">
        <v>131</v>
      </c>
      <c r="B35" s="252" t="s">
        <v>132</v>
      </c>
      <c r="C35" s="253">
        <v>0.13</v>
      </c>
      <c r="D35" s="253">
        <v>0.1</v>
      </c>
      <c r="E35" s="253">
        <v>0.13</v>
      </c>
      <c r="F35" s="254">
        <v>0.1</v>
      </c>
    </row>
    <row r="36" spans="1:6" s="244" customFormat="1" ht="18" customHeight="1">
      <c r="A36" s="251" t="s">
        <v>133</v>
      </c>
      <c r="B36" s="252" t="s">
        <v>134</v>
      </c>
      <c r="C36" s="253">
        <v>4.47</v>
      </c>
      <c r="D36" s="253">
        <v>3.39</v>
      </c>
      <c r="E36" s="253">
        <v>4.47</v>
      </c>
      <c r="F36" s="254">
        <v>3.39</v>
      </c>
    </row>
    <row r="37" spans="1:6" s="244" customFormat="1" ht="18" customHeight="1">
      <c r="A37" s="251" t="s">
        <v>135</v>
      </c>
      <c r="B37" s="252" t="s">
        <v>136</v>
      </c>
      <c r="C37" s="253">
        <v>3.93</v>
      </c>
      <c r="D37" s="253">
        <v>2.98</v>
      </c>
      <c r="E37" s="253">
        <v>3.93</v>
      </c>
      <c r="F37" s="254">
        <v>2.98</v>
      </c>
    </row>
    <row r="38" spans="1:6" s="244" customFormat="1" ht="18" customHeight="1">
      <c r="A38" s="251" t="s">
        <v>137</v>
      </c>
      <c r="B38" s="252" t="s">
        <v>138</v>
      </c>
      <c r="C38" s="253">
        <v>0.48</v>
      </c>
      <c r="D38" s="253">
        <v>0.36</v>
      </c>
      <c r="E38" s="253">
        <v>0.48</v>
      </c>
      <c r="F38" s="254">
        <v>0.36</v>
      </c>
    </row>
    <row r="39" spans="1:6" s="244" customFormat="1" ht="18.75" customHeight="1">
      <c r="A39" s="255" t="s">
        <v>20</v>
      </c>
      <c r="B39" s="256" t="s">
        <v>139</v>
      </c>
      <c r="C39" s="257">
        <v>14.7</v>
      </c>
      <c r="D39" s="257">
        <v>11.15</v>
      </c>
      <c r="E39" s="257">
        <v>14.7</v>
      </c>
      <c r="F39" s="258">
        <v>11.15</v>
      </c>
    </row>
    <row r="40" spans="1:6" s="244" customFormat="1" ht="24.75" customHeight="1">
      <c r="A40" s="1145" t="s">
        <v>140</v>
      </c>
      <c r="B40" s="1146"/>
      <c r="C40" s="1146"/>
      <c r="D40" s="1147"/>
      <c r="E40" s="249"/>
      <c r="F40" s="250"/>
    </row>
    <row r="41" spans="1:6" s="244" customFormat="1" ht="18" customHeight="1">
      <c r="A41" s="251" t="s">
        <v>141</v>
      </c>
      <c r="B41" s="252" t="s">
        <v>142</v>
      </c>
      <c r="C41" s="253">
        <v>7.9</v>
      </c>
      <c r="D41" s="253">
        <v>2.82</v>
      </c>
      <c r="E41" s="253">
        <v>17.3</v>
      </c>
      <c r="F41" s="254">
        <v>6.17</v>
      </c>
    </row>
    <row r="42" spans="1:6" s="244" customFormat="1" ht="37.5">
      <c r="A42" s="251" t="s">
        <v>143</v>
      </c>
      <c r="B42" s="259" t="s">
        <v>144</v>
      </c>
      <c r="C42" s="260">
        <v>0.48</v>
      </c>
      <c r="D42" s="260">
        <v>0.36</v>
      </c>
      <c r="E42" s="260">
        <v>0.5</v>
      </c>
      <c r="F42" s="261">
        <v>0.38</v>
      </c>
    </row>
    <row r="43" spans="1:6" s="244" customFormat="1" ht="18.75" customHeight="1" thickBot="1">
      <c r="A43" s="262" t="s">
        <v>12</v>
      </c>
      <c r="B43" s="263" t="s">
        <v>145</v>
      </c>
      <c r="C43" s="264">
        <v>8.38</v>
      </c>
      <c r="D43" s="264">
        <v>3.18</v>
      </c>
      <c r="E43" s="264">
        <v>17.8</v>
      </c>
      <c r="F43" s="265">
        <v>6.55</v>
      </c>
    </row>
    <row r="44" spans="1:6" s="244" customFormat="1" ht="24.75" customHeight="1" hidden="1">
      <c r="A44" s="1148" t="s">
        <v>146</v>
      </c>
      <c r="B44" s="1149"/>
      <c r="C44" s="1149"/>
      <c r="D44" s="1150"/>
      <c r="E44" s="249"/>
      <c r="F44" s="250"/>
    </row>
    <row r="45" spans="1:6" s="244" customFormat="1" ht="18.75" hidden="1">
      <c r="A45" s="251" t="s">
        <v>147</v>
      </c>
      <c r="B45" s="252"/>
      <c r="C45" s="252"/>
      <c r="D45" s="252"/>
      <c r="E45" s="252"/>
      <c r="F45" s="266"/>
    </row>
    <row r="46" spans="1:6" s="244" customFormat="1" ht="18.75" customHeight="1" hidden="1">
      <c r="A46" s="255" t="s">
        <v>74</v>
      </c>
      <c r="B46" s="256" t="s">
        <v>148</v>
      </c>
      <c r="C46" s="257">
        <v>0</v>
      </c>
      <c r="D46" s="257">
        <v>0</v>
      </c>
      <c r="E46" s="257">
        <v>0</v>
      </c>
      <c r="F46" s="258">
        <v>0</v>
      </c>
    </row>
    <row r="47" spans="1:6" s="244" customFormat="1" ht="26.25" customHeight="1" thickBot="1">
      <c r="A47" s="1151" t="s">
        <v>350</v>
      </c>
      <c r="B47" s="1152"/>
      <c r="C47" s="267">
        <f>(C20+C32+C39+C43)</f>
        <v>86.9</v>
      </c>
      <c r="D47" s="267">
        <f>D20+D32+D39+D43</f>
        <v>47.89</v>
      </c>
      <c r="E47" s="267">
        <f>(E20+E32+E39+E43)</f>
        <v>116.32</v>
      </c>
      <c r="F47" s="268">
        <f>F20+F32+F39+F43</f>
        <v>71.26</v>
      </c>
    </row>
    <row r="48" spans="1:4" s="244" customFormat="1" ht="18.75" customHeight="1">
      <c r="A48" s="1153" t="s">
        <v>567</v>
      </c>
      <c r="B48" s="1153"/>
      <c r="C48" s="1153"/>
      <c r="D48" s="1153"/>
    </row>
    <row r="49" s="244" customFormat="1" ht="18.75"/>
    <row r="50" s="244" customFormat="1" ht="21" customHeight="1">
      <c r="A50" s="244" t="s">
        <v>149</v>
      </c>
    </row>
  </sheetData>
  <sheetProtection/>
  <mergeCells count="18">
    <mergeCell ref="A1:F1"/>
    <mergeCell ref="A2:F2"/>
    <mergeCell ref="A3:F3"/>
    <mergeCell ref="A4:F4"/>
    <mergeCell ref="A5:F5"/>
    <mergeCell ref="A6:F6"/>
    <mergeCell ref="A7:F7"/>
    <mergeCell ref="A8:A9"/>
    <mergeCell ref="B8:B9"/>
    <mergeCell ref="C8:D8"/>
    <mergeCell ref="E8:F8"/>
    <mergeCell ref="A10:D10"/>
    <mergeCell ref="A21:D21"/>
    <mergeCell ref="A33:D33"/>
    <mergeCell ref="A40:D40"/>
    <mergeCell ref="A44:D44"/>
    <mergeCell ref="A47:B47"/>
    <mergeCell ref="A48:D48"/>
  </mergeCells>
  <printOptions/>
  <pageMargins left="0.511811024" right="0.511811024" top="0.787401575" bottom="0.787401575" header="0.31496062" footer="0.31496062"/>
  <pageSetup fitToHeight="0" fitToWidth="1" horizontalDpi="600" verticalDpi="600" orientation="portrait" paperSize="9"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view="pageBreakPreview" zoomScale="70" zoomScaleSheetLayoutView="70" zoomScalePageLayoutView="0" workbookViewId="0" topLeftCell="A22">
      <selection activeCell="O16" sqref="O16"/>
    </sheetView>
  </sheetViews>
  <sheetFormatPr defaultColWidth="9.140625" defaultRowHeight="12.75"/>
  <cols>
    <col min="1" max="1" width="21.57421875" style="239" customWidth="1"/>
    <col min="2" max="7" width="15.7109375" style="239" customWidth="1"/>
    <col min="8" max="8" width="26.140625" style="239" bestFit="1" customWidth="1"/>
    <col min="9" max="16384" width="9.140625" style="239" customWidth="1"/>
  </cols>
  <sheetData>
    <row r="1" spans="1:9" ht="13.5" customHeight="1">
      <c r="A1" s="1189"/>
      <c r="B1" s="1190"/>
      <c r="C1" s="1190"/>
      <c r="D1" s="1190"/>
      <c r="E1" s="1190"/>
      <c r="F1" s="1190"/>
      <c r="G1" s="1190"/>
      <c r="H1" s="1191"/>
      <c r="I1" s="270"/>
    </row>
    <row r="2" spans="1:9" ht="13.5" customHeight="1">
      <c r="A2" s="236"/>
      <c r="B2" s="271"/>
      <c r="C2" s="271"/>
      <c r="D2" s="271"/>
      <c r="E2" s="271"/>
      <c r="F2" s="271"/>
      <c r="G2" s="271"/>
      <c r="H2" s="237"/>
      <c r="I2" s="272"/>
    </row>
    <row r="3" spans="1:9" ht="13.5" customHeight="1">
      <c r="A3" s="1192" t="s">
        <v>24</v>
      </c>
      <c r="B3" s="1193"/>
      <c r="C3" s="1193"/>
      <c r="D3" s="1193"/>
      <c r="E3" s="1193"/>
      <c r="F3" s="1193"/>
      <c r="G3" s="1193"/>
      <c r="H3" s="1194"/>
      <c r="I3" s="273"/>
    </row>
    <row r="4" spans="1:9" ht="13.5" customHeight="1">
      <c r="A4" s="1195" t="s">
        <v>351</v>
      </c>
      <c r="B4" s="1196"/>
      <c r="C4" s="1196"/>
      <c r="D4" s="1196"/>
      <c r="E4" s="1196"/>
      <c r="F4" s="1196"/>
      <c r="G4" s="1196"/>
      <c r="H4" s="1197"/>
      <c r="I4" s="274"/>
    </row>
    <row r="5" spans="1:9" ht="13.5" customHeight="1">
      <c r="A5" s="1195" t="s">
        <v>23</v>
      </c>
      <c r="B5" s="1196"/>
      <c r="C5" s="1196"/>
      <c r="D5" s="1196"/>
      <c r="E5" s="1196"/>
      <c r="F5" s="1196"/>
      <c r="G5" s="1196"/>
      <c r="H5" s="1197"/>
      <c r="I5" s="275"/>
    </row>
    <row r="6" spans="1:9" s="1" customFormat="1" ht="13.5" customHeight="1" thickBot="1">
      <c r="A6" s="238"/>
      <c r="B6" s="1198"/>
      <c r="C6" s="1198"/>
      <c r="D6" s="1198"/>
      <c r="E6" s="1199"/>
      <c r="F6" s="1199"/>
      <c r="G6" s="1199"/>
      <c r="H6" s="1200"/>
      <c r="I6" s="276"/>
    </row>
    <row r="7" spans="1:8" ht="21.75" customHeight="1" thickBot="1" thickTop="1">
      <c r="A7" s="1179" t="s">
        <v>150</v>
      </c>
      <c r="B7" s="1180"/>
      <c r="C7" s="1180"/>
      <c r="D7" s="1180"/>
      <c r="E7" s="1180"/>
      <c r="F7" s="1180"/>
      <c r="G7" s="1180"/>
      <c r="H7" s="1181"/>
    </row>
    <row r="8" spans="1:8" ht="66" customHeight="1" thickTop="1">
      <c r="A8" s="1182" t="str">
        <f>'ORÇAMENTO GERAL'!C6</f>
        <v>EXECUÇÃO DOS SERVIÇOS DE DRENAGEM SUPERFICIAL E PROFUNDA E PAVIMENTAÇÃO DAS RUAS UNIÃO E JARDIM DOS ESPORTES NO BAIRRO DO ICUI- NO MUNICÍPIO DE ANANINDEUA - PA.</v>
      </c>
      <c r="B8" s="1183"/>
      <c r="C8" s="1183"/>
      <c r="D8" s="1183"/>
      <c r="E8" s="1183"/>
      <c r="F8" s="1183"/>
      <c r="G8" s="1183"/>
      <c r="H8" s="1184"/>
    </row>
    <row r="9" spans="1:8" ht="57" thickBot="1">
      <c r="A9" s="278"/>
      <c r="B9" s="279"/>
      <c r="C9" s="279"/>
      <c r="D9" s="279"/>
      <c r="E9" s="279"/>
      <c r="F9" s="279"/>
      <c r="G9" s="280"/>
      <c r="H9" s="281" t="s">
        <v>314</v>
      </c>
    </row>
    <row r="10" spans="1:8" s="277" customFormat="1" ht="19.5" customHeight="1">
      <c r="A10" s="282"/>
      <c r="B10" s="283" t="s">
        <v>315</v>
      </c>
      <c r="C10" s="284"/>
      <c r="D10" s="284"/>
      <c r="E10" s="284"/>
      <c r="F10" s="284"/>
      <c r="G10" s="285"/>
      <c r="H10" s="286">
        <v>4.01</v>
      </c>
    </row>
    <row r="11" spans="1:8" s="277" customFormat="1" ht="19.5" customHeight="1">
      <c r="A11" s="287"/>
      <c r="B11" s="288" t="s">
        <v>316</v>
      </c>
      <c r="C11" s="289"/>
      <c r="D11" s="289"/>
      <c r="E11" s="289"/>
      <c r="F11" s="289"/>
      <c r="G11" s="290"/>
      <c r="H11" s="291">
        <v>1.11</v>
      </c>
    </row>
    <row r="12" spans="1:8" s="277" customFormat="1" ht="19.5" customHeight="1" thickBot="1">
      <c r="A12" s="292" t="s">
        <v>317</v>
      </c>
      <c r="B12" s="293"/>
      <c r="C12" s="293"/>
      <c r="D12" s="293"/>
      <c r="E12" s="293"/>
      <c r="F12" s="293"/>
      <c r="G12" s="294"/>
      <c r="H12" s="295">
        <f>H10+H11</f>
        <v>5.12</v>
      </c>
    </row>
    <row r="13" spans="1:8" s="277" customFormat="1" ht="19.5" customHeight="1">
      <c r="A13" s="296" t="s">
        <v>153</v>
      </c>
      <c r="B13" s="284"/>
      <c r="C13" s="284"/>
      <c r="D13" s="284"/>
      <c r="E13" s="284"/>
      <c r="F13" s="284"/>
      <c r="G13" s="285"/>
      <c r="H13" s="286"/>
    </row>
    <row r="14" spans="1:8" s="277" customFormat="1" ht="19.5" customHeight="1">
      <c r="A14" s="297" t="s">
        <v>318</v>
      </c>
      <c r="B14" s="298" t="s">
        <v>319</v>
      </c>
      <c r="C14" s="299"/>
      <c r="D14" s="299"/>
      <c r="E14" s="299"/>
      <c r="F14" s="299"/>
      <c r="G14" s="300"/>
      <c r="H14" s="291">
        <v>0.56</v>
      </c>
    </row>
    <row r="15" spans="1:8" s="277" customFormat="1" ht="19.5" customHeight="1">
      <c r="A15" s="297" t="s">
        <v>320</v>
      </c>
      <c r="B15" s="298" t="s">
        <v>321</v>
      </c>
      <c r="C15" s="299"/>
      <c r="D15" s="299"/>
      <c r="E15" s="299"/>
      <c r="F15" s="299"/>
      <c r="G15" s="300"/>
      <c r="H15" s="291">
        <v>0.4</v>
      </c>
    </row>
    <row r="16" spans="1:8" s="277" customFormat="1" ht="19.5" customHeight="1">
      <c r="A16" s="301" t="s">
        <v>317</v>
      </c>
      <c r="B16" s="302"/>
      <c r="C16" s="302"/>
      <c r="D16" s="302"/>
      <c r="E16" s="302"/>
      <c r="F16" s="302"/>
      <c r="G16" s="303"/>
      <c r="H16" s="304">
        <f>H14+H15</f>
        <v>0.9600000000000001</v>
      </c>
    </row>
    <row r="17" spans="1:8" s="277" customFormat="1" ht="35.25" customHeight="1">
      <c r="A17" s="305" t="s">
        <v>151</v>
      </c>
      <c r="B17" s="299"/>
      <c r="C17" s="299"/>
      <c r="D17" s="299"/>
      <c r="E17" s="299"/>
      <c r="F17" s="299"/>
      <c r="G17" s="300"/>
      <c r="H17" s="306" t="s">
        <v>152</v>
      </c>
    </row>
    <row r="18" spans="1:8" s="277" customFormat="1" ht="19.5" customHeight="1">
      <c r="A18" s="307" t="s">
        <v>322</v>
      </c>
      <c r="B18" s="308" t="s">
        <v>154</v>
      </c>
      <c r="C18" s="302"/>
      <c r="D18" s="302"/>
      <c r="E18" s="302"/>
      <c r="F18" s="302"/>
      <c r="G18" s="303"/>
      <c r="H18" s="304">
        <f>H19+H20</f>
        <v>10.65</v>
      </c>
    </row>
    <row r="19" spans="1:8" s="277" customFormat="1" ht="19.5" customHeight="1">
      <c r="A19" s="287" t="s">
        <v>155</v>
      </c>
      <c r="B19" s="298" t="s">
        <v>156</v>
      </c>
      <c r="C19" s="299"/>
      <c r="D19" s="299"/>
      <c r="E19" s="299"/>
      <c r="F19" s="299"/>
      <c r="G19" s="300"/>
      <c r="H19" s="291">
        <f>H25</f>
        <v>8.15</v>
      </c>
    </row>
    <row r="20" spans="1:8" s="277" customFormat="1" ht="19.5" customHeight="1">
      <c r="A20" s="287" t="s">
        <v>157</v>
      </c>
      <c r="B20" s="298" t="s">
        <v>158</v>
      </c>
      <c r="C20" s="299"/>
      <c r="D20" s="299"/>
      <c r="E20" s="299"/>
      <c r="F20" s="299"/>
      <c r="G20" s="300"/>
      <c r="H20" s="291">
        <v>2.5</v>
      </c>
    </row>
    <row r="21" spans="1:8" s="277" customFormat="1" ht="19.5" customHeight="1">
      <c r="A21" s="309" t="s">
        <v>199</v>
      </c>
      <c r="B21" s="308" t="s">
        <v>323</v>
      </c>
      <c r="C21" s="302"/>
      <c r="D21" s="302"/>
      <c r="E21" s="302"/>
      <c r="F21" s="302"/>
      <c r="G21" s="303"/>
      <c r="H21" s="304">
        <v>7.3</v>
      </c>
    </row>
    <row r="22" spans="1:8" s="277" customFormat="1" ht="19.5" customHeight="1">
      <c r="A22" s="310"/>
      <c r="B22" s="311"/>
      <c r="C22" s="311"/>
      <c r="D22" s="311"/>
      <c r="E22" s="311"/>
      <c r="F22" s="311"/>
      <c r="G22" s="311"/>
      <c r="H22" s="312"/>
    </row>
    <row r="23" spans="1:8" s="277" customFormat="1" ht="19.5" customHeight="1">
      <c r="A23" s="313"/>
      <c r="B23" s="87"/>
      <c r="C23" s="87"/>
      <c r="D23" s="87"/>
      <c r="E23" s="87"/>
      <c r="F23" s="87"/>
      <c r="G23" s="87"/>
      <c r="H23" s="314"/>
    </row>
    <row r="24" spans="1:8" s="277" customFormat="1" ht="19.5" customHeight="1" thickBot="1">
      <c r="A24" s="315" t="s">
        <v>324</v>
      </c>
      <c r="B24" s="316"/>
      <c r="C24" s="316"/>
      <c r="D24" s="316"/>
      <c r="E24" s="316"/>
      <c r="F24" s="316"/>
      <c r="G24" s="316"/>
      <c r="H24" s="317"/>
    </row>
    <row r="25" spans="1:8" s="277" customFormat="1" ht="19.5" customHeight="1">
      <c r="A25" s="282" t="s">
        <v>155</v>
      </c>
      <c r="B25" s="283" t="s">
        <v>156</v>
      </c>
      <c r="C25" s="284"/>
      <c r="D25" s="284"/>
      <c r="E25" s="284"/>
      <c r="F25" s="284"/>
      <c r="G25" s="285"/>
      <c r="H25" s="318">
        <f>H26+H27+H28</f>
        <v>8.15</v>
      </c>
    </row>
    <row r="26" spans="1:8" s="277" customFormat="1" ht="19.5" customHeight="1">
      <c r="A26" s="287" t="s">
        <v>159</v>
      </c>
      <c r="B26" s="298" t="s">
        <v>160</v>
      </c>
      <c r="C26" s="299"/>
      <c r="D26" s="299"/>
      <c r="E26" s="299"/>
      <c r="F26" s="299"/>
      <c r="G26" s="300"/>
      <c r="H26" s="319">
        <v>0.65</v>
      </c>
    </row>
    <row r="27" spans="1:8" s="277" customFormat="1" ht="19.5" customHeight="1">
      <c r="A27" s="287" t="s">
        <v>161</v>
      </c>
      <c r="B27" s="298" t="s">
        <v>162</v>
      </c>
      <c r="C27" s="299"/>
      <c r="D27" s="299"/>
      <c r="E27" s="299"/>
      <c r="F27" s="299"/>
      <c r="G27" s="300"/>
      <c r="H27" s="319">
        <v>3</v>
      </c>
    </row>
    <row r="28" spans="1:8" s="277" customFormat="1" ht="19.5" customHeight="1" thickBot="1">
      <c r="A28" s="320" t="s">
        <v>325</v>
      </c>
      <c r="B28" s="321" t="s">
        <v>326</v>
      </c>
      <c r="C28" s="322"/>
      <c r="D28" s="322"/>
      <c r="E28" s="322"/>
      <c r="F28" s="322"/>
      <c r="G28" s="323"/>
      <c r="H28" s="324">
        <v>4.5</v>
      </c>
    </row>
    <row r="29" spans="1:8" s="277" customFormat="1" ht="19.5" customHeight="1" thickBot="1">
      <c r="A29" s="325" t="s">
        <v>327</v>
      </c>
      <c r="B29" s="326"/>
      <c r="C29" s="326"/>
      <c r="D29" s="326"/>
      <c r="E29" s="326"/>
      <c r="F29" s="326"/>
      <c r="G29" s="326"/>
      <c r="H29" s="327"/>
    </row>
    <row r="30" spans="1:8" s="277" customFormat="1" ht="19.5" customHeight="1">
      <c r="A30" s="282" t="s">
        <v>157</v>
      </c>
      <c r="B30" s="283" t="s">
        <v>163</v>
      </c>
      <c r="C30" s="284"/>
      <c r="D30" s="284"/>
      <c r="E30" s="284"/>
      <c r="F30" s="284"/>
      <c r="G30" s="285"/>
      <c r="H30" s="318">
        <f>H31</f>
        <v>2.5</v>
      </c>
    </row>
    <row r="31" spans="1:8" s="277" customFormat="1" ht="19.5" customHeight="1" thickBot="1">
      <c r="A31" s="328" t="s">
        <v>164</v>
      </c>
      <c r="B31" s="321" t="s">
        <v>160</v>
      </c>
      <c r="C31" s="322"/>
      <c r="D31" s="322"/>
      <c r="E31" s="322"/>
      <c r="F31" s="322"/>
      <c r="G31" s="323"/>
      <c r="H31" s="329">
        <v>2.5</v>
      </c>
    </row>
    <row r="32" spans="1:8" ht="18.75">
      <c r="A32" s="330"/>
      <c r="B32" s="331"/>
      <c r="C32" s="331"/>
      <c r="D32" s="331"/>
      <c r="E32" s="331"/>
      <c r="F32" s="331"/>
      <c r="G32" s="331"/>
      <c r="H32" s="332"/>
    </row>
    <row r="33" spans="1:8" ht="18.75">
      <c r="A33" s="330"/>
      <c r="B33" s="331"/>
      <c r="C33" s="331"/>
      <c r="D33" s="331"/>
      <c r="E33" s="331"/>
      <c r="F33" s="331"/>
      <c r="G33" s="331"/>
      <c r="H33" s="332"/>
    </row>
    <row r="34" spans="1:8" ht="19.5" customHeight="1">
      <c r="A34" s="333" t="s">
        <v>328</v>
      </c>
      <c r="B34" s="334"/>
      <c r="C34" s="334"/>
      <c r="D34" s="334"/>
      <c r="E34" s="334"/>
      <c r="F34" s="334"/>
      <c r="G34" s="334"/>
      <c r="H34" s="335"/>
    </row>
    <row r="35" spans="1:8" ht="19.5" customHeight="1">
      <c r="A35" s="330" t="s">
        <v>329</v>
      </c>
      <c r="B35" s="331"/>
      <c r="C35" s="336">
        <f>H10/100</f>
        <v>0.0401</v>
      </c>
      <c r="D35" s="331"/>
      <c r="E35" s="331"/>
      <c r="F35" s="331" t="s">
        <v>329</v>
      </c>
      <c r="G35" s="331"/>
      <c r="H35" s="337">
        <f>C35</f>
        <v>0.0401</v>
      </c>
    </row>
    <row r="36" spans="1:8" ht="19.5" customHeight="1">
      <c r="A36" s="330" t="s">
        <v>330</v>
      </c>
      <c r="B36" s="331"/>
      <c r="C36" s="336">
        <f>H15/100</f>
        <v>0.004</v>
      </c>
      <c r="D36" s="331"/>
      <c r="E36" s="331"/>
      <c r="F36" s="331" t="s">
        <v>330</v>
      </c>
      <c r="G36" s="331"/>
      <c r="H36" s="337">
        <f>C36</f>
        <v>0.004</v>
      </c>
    </row>
    <row r="37" spans="1:8" ht="19.5" customHeight="1">
      <c r="A37" s="330" t="s">
        <v>331</v>
      </c>
      <c r="B37" s="331"/>
      <c r="C37" s="336">
        <f>H14/100</f>
        <v>0.005600000000000001</v>
      </c>
      <c r="D37" s="331"/>
      <c r="E37" s="331"/>
      <c r="F37" s="331" t="s">
        <v>331</v>
      </c>
      <c r="G37" s="331"/>
      <c r="H37" s="337">
        <f>C37</f>
        <v>0.005600000000000001</v>
      </c>
    </row>
    <row r="38" spans="1:8" ht="19.5" customHeight="1">
      <c r="A38" s="330" t="s">
        <v>332</v>
      </c>
      <c r="B38" s="331"/>
      <c r="C38" s="338">
        <f>1+C35+C36+C37</f>
        <v>1.0497</v>
      </c>
      <c r="D38" s="331"/>
      <c r="E38" s="331"/>
      <c r="F38" s="331" t="s">
        <v>332</v>
      </c>
      <c r="G38" s="331"/>
      <c r="H38" s="339">
        <f>1+H35+H36+H37</f>
        <v>1.0497</v>
      </c>
    </row>
    <row r="39" spans="1:8" ht="19.5" customHeight="1">
      <c r="A39" s="330" t="s">
        <v>333</v>
      </c>
      <c r="B39" s="331"/>
      <c r="C39" s="336">
        <f>H11/100</f>
        <v>0.0111</v>
      </c>
      <c r="D39" s="331"/>
      <c r="E39" s="331"/>
      <c r="F39" s="331" t="s">
        <v>333</v>
      </c>
      <c r="G39" s="331"/>
      <c r="H39" s="337">
        <f>C39</f>
        <v>0.0111</v>
      </c>
    </row>
    <row r="40" spans="1:8" ht="19.5" customHeight="1">
      <c r="A40" s="330" t="s">
        <v>334</v>
      </c>
      <c r="B40" s="331"/>
      <c r="C40" s="338">
        <f>1+C39</f>
        <v>1.0111</v>
      </c>
      <c r="D40" s="331"/>
      <c r="E40" s="331"/>
      <c r="F40" s="331" t="s">
        <v>334</v>
      </c>
      <c r="G40" s="331"/>
      <c r="H40" s="339">
        <f>1+H39</f>
        <v>1.0111</v>
      </c>
    </row>
    <row r="41" spans="1:8" ht="19.5" customHeight="1">
      <c r="A41" s="330" t="s">
        <v>262</v>
      </c>
      <c r="B41" s="331"/>
      <c r="C41" s="336">
        <f>H21/100</f>
        <v>0.073</v>
      </c>
      <c r="D41" s="331"/>
      <c r="E41" s="331"/>
      <c r="F41" s="331" t="s">
        <v>262</v>
      </c>
      <c r="G41" s="331"/>
      <c r="H41" s="337">
        <f>C41</f>
        <v>0.073</v>
      </c>
    </row>
    <row r="42" spans="1:8" ht="19.5" customHeight="1">
      <c r="A42" s="330" t="s">
        <v>335</v>
      </c>
      <c r="B42" s="331"/>
      <c r="C42" s="338">
        <f>1+C41</f>
        <v>1.073</v>
      </c>
      <c r="D42" s="331"/>
      <c r="E42" s="331"/>
      <c r="F42" s="331" t="s">
        <v>335</v>
      </c>
      <c r="G42" s="331"/>
      <c r="H42" s="339">
        <f>1+H41</f>
        <v>1.073</v>
      </c>
    </row>
    <row r="43" spans="1:8" ht="19.5" customHeight="1">
      <c r="A43" s="330"/>
      <c r="B43" s="331"/>
      <c r="C43" s="331"/>
      <c r="D43" s="331"/>
      <c r="E43" s="331"/>
      <c r="F43" s="331"/>
      <c r="G43" s="331"/>
      <c r="H43" s="332"/>
    </row>
    <row r="44" spans="1:8" ht="19.5" customHeight="1">
      <c r="A44" s="330" t="s">
        <v>336</v>
      </c>
      <c r="B44" s="331"/>
      <c r="C44" s="336">
        <f>H18/100</f>
        <v>0.1065</v>
      </c>
      <c r="D44" s="331"/>
      <c r="E44" s="331"/>
      <c r="F44" s="331" t="s">
        <v>336</v>
      </c>
      <c r="G44" s="331"/>
      <c r="H44" s="337">
        <f>C44-(H28/100)</f>
        <v>0.0615</v>
      </c>
    </row>
    <row r="45" spans="1:8" ht="19.5" customHeight="1">
      <c r="A45" s="330" t="s">
        <v>337</v>
      </c>
      <c r="B45" s="331"/>
      <c r="C45" s="338">
        <f>1-C44</f>
        <v>0.8935</v>
      </c>
      <c r="D45" s="331"/>
      <c r="E45" s="331"/>
      <c r="F45" s="331" t="s">
        <v>337</v>
      </c>
      <c r="G45" s="331"/>
      <c r="H45" s="339">
        <f>1-H44</f>
        <v>0.9385</v>
      </c>
    </row>
    <row r="46" spans="1:8" ht="18.75">
      <c r="A46" s="330"/>
      <c r="B46" s="331"/>
      <c r="C46" s="331"/>
      <c r="D46" s="331"/>
      <c r="E46" s="331"/>
      <c r="F46" s="331"/>
      <c r="G46" s="331"/>
      <c r="H46" s="332"/>
    </row>
    <row r="47" spans="1:8" s="277" customFormat="1" ht="21.75" customHeight="1">
      <c r="A47" s="340" t="s">
        <v>338</v>
      </c>
      <c r="B47" s="341"/>
      <c r="C47" s="342">
        <f>(C38*C40*C42)/C45-1</f>
        <v>0.2745722908897599</v>
      </c>
      <c r="D47" s="87"/>
      <c r="E47" s="87"/>
      <c r="F47" s="343" t="s">
        <v>339</v>
      </c>
      <c r="G47" s="344"/>
      <c r="H47" s="345">
        <f>(H38*H40*H42)/H45-1</f>
        <v>0.2134580094938736</v>
      </c>
    </row>
    <row r="48" spans="1:8" s="277" customFormat="1" ht="21.75" customHeight="1">
      <c r="A48" s="313"/>
      <c r="B48" s="87"/>
      <c r="C48" s="87"/>
      <c r="D48" s="87"/>
      <c r="E48" s="87"/>
      <c r="F48" s="87"/>
      <c r="G48" s="87"/>
      <c r="H48" s="346" t="s">
        <v>340</v>
      </c>
    </row>
    <row r="49" spans="1:8" ht="15" customHeight="1">
      <c r="A49" s="330"/>
      <c r="B49" s="331"/>
      <c r="C49" s="331"/>
      <c r="D49" s="331"/>
      <c r="E49" s="331"/>
      <c r="F49" s="1185" t="s">
        <v>341</v>
      </c>
      <c r="G49" s="1185"/>
      <c r="H49" s="1186"/>
    </row>
    <row r="50" spans="1:8" ht="19.5" thickBot="1">
      <c r="A50" s="347"/>
      <c r="B50" s="348"/>
      <c r="C50" s="348"/>
      <c r="D50" s="348"/>
      <c r="E50" s="348"/>
      <c r="F50" s="1187"/>
      <c r="G50" s="1187"/>
      <c r="H50" s="1188"/>
    </row>
  </sheetData>
  <sheetProtection/>
  <mergeCells count="9">
    <mergeCell ref="A7:H7"/>
    <mergeCell ref="A8:H8"/>
    <mergeCell ref="F49:H50"/>
    <mergeCell ref="A1:H1"/>
    <mergeCell ref="A3:H3"/>
    <mergeCell ref="A4:H4"/>
    <mergeCell ref="A5:H5"/>
    <mergeCell ref="B6:D6"/>
    <mergeCell ref="E6:H6"/>
  </mergeCells>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66" r:id="rId2"/>
  <drawing r:id="rId1"/>
</worksheet>
</file>

<file path=xl/worksheets/sheet15.xml><?xml version="1.0" encoding="utf-8"?>
<worksheet xmlns="http://schemas.openxmlformats.org/spreadsheetml/2006/main" xmlns:r="http://schemas.openxmlformats.org/officeDocument/2006/relationships">
  <dimension ref="A1:H28"/>
  <sheetViews>
    <sheetView view="pageBreakPreview" zoomScale="85" zoomScaleSheetLayoutView="85" zoomScalePageLayoutView="0" workbookViewId="0" topLeftCell="A4">
      <selection activeCell="H26" sqref="H26"/>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9.140625" style="2" customWidth="1"/>
    <col min="8" max="8" width="11.57421875" style="2" bestFit="1" customWidth="1"/>
    <col min="9" max="16384" width="9.140625" style="2" customWidth="1"/>
  </cols>
  <sheetData>
    <row r="1" spans="1:8" s="104" customFormat="1" ht="15" customHeight="1">
      <c r="A1" s="362"/>
      <c r="B1" s="957"/>
      <c r="C1" s="957"/>
      <c r="D1" s="957"/>
      <c r="E1" s="957"/>
      <c r="F1" s="957"/>
      <c r="G1" s="957"/>
      <c r="H1" s="958"/>
    </row>
    <row r="2" spans="1:8" s="104" customFormat="1" ht="15" customHeight="1">
      <c r="A2" s="959" t="s">
        <v>24</v>
      </c>
      <c r="B2" s="960"/>
      <c r="C2" s="960"/>
      <c r="D2" s="960"/>
      <c r="E2" s="960"/>
      <c r="F2" s="960"/>
      <c r="G2" s="960"/>
      <c r="H2" s="961"/>
    </row>
    <row r="3" spans="1:8" s="104" customFormat="1" ht="15" customHeight="1">
      <c r="A3" s="973" t="s">
        <v>213</v>
      </c>
      <c r="B3" s="974"/>
      <c r="C3" s="974"/>
      <c r="D3" s="974"/>
      <c r="E3" s="974"/>
      <c r="F3" s="974"/>
      <c r="G3" s="974"/>
      <c r="H3" s="975"/>
    </row>
    <row r="4" spans="1:8" s="104" customFormat="1" ht="15" customHeight="1">
      <c r="A4" s="973" t="s">
        <v>23</v>
      </c>
      <c r="B4" s="974"/>
      <c r="C4" s="974"/>
      <c r="D4" s="974"/>
      <c r="E4" s="974"/>
      <c r="F4" s="974"/>
      <c r="G4" s="974"/>
      <c r="H4" s="975"/>
    </row>
    <row r="5" spans="1:8" s="104" customFormat="1" ht="15" customHeight="1" thickBot="1">
      <c r="A5" s="363"/>
      <c r="B5" s="976"/>
      <c r="C5" s="976"/>
      <c r="D5" s="976"/>
      <c r="E5" s="976"/>
      <c r="F5" s="976"/>
      <c r="G5" s="976"/>
      <c r="H5" s="977"/>
    </row>
    <row r="6" spans="1:8" s="105" customFormat="1" ht="24.75" customHeight="1" thickBot="1" thickTop="1">
      <c r="A6" s="169" t="s">
        <v>356</v>
      </c>
      <c r="B6" s="269" t="s">
        <v>558</v>
      </c>
      <c r="C6" s="949"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949"/>
      <c r="E6" s="949"/>
      <c r="F6" s="949"/>
      <c r="G6" s="978" t="s">
        <v>382</v>
      </c>
      <c r="H6" s="979"/>
    </row>
    <row r="7" spans="1:8" s="105" customFormat="1" ht="40.5" customHeight="1" thickTop="1">
      <c r="A7" s="980" t="str">
        <f>'ORÇAMENTO GERAL'!C6</f>
        <v>EXECUÇÃO DOS SERVIÇOS DE DRENAGEM SUPERFICIAL E PROFUNDA E PAVIMENTAÇÃO DAS RUAS UNIÃO E JARDIM DOS ESPORTES NO BAIRRO DO ICUI- NO MUNICÍPIO DE ANANINDEUA - PA.</v>
      </c>
      <c r="B7" s="981"/>
      <c r="C7" s="981"/>
      <c r="D7" s="981"/>
      <c r="E7" s="981"/>
      <c r="F7" s="981"/>
      <c r="G7" s="981"/>
      <c r="H7" s="982"/>
    </row>
    <row r="8" spans="1:8" s="105" customFormat="1" ht="19.5" customHeight="1">
      <c r="A8" s="983" t="s">
        <v>214</v>
      </c>
      <c r="B8" s="984"/>
      <c r="C8" s="984"/>
      <c r="D8" s="984"/>
      <c r="E8" s="984"/>
      <c r="F8" s="984"/>
      <c r="G8" s="984"/>
      <c r="H8" s="985"/>
    </row>
    <row r="9" spans="1:8" s="105" customFormat="1" ht="19.5" customHeight="1">
      <c r="A9" s="349" t="s">
        <v>48</v>
      </c>
      <c r="B9" s="350" t="s">
        <v>355</v>
      </c>
      <c r="C9" s="351" t="s">
        <v>49</v>
      </c>
      <c r="D9" s="350" t="s">
        <v>50</v>
      </c>
      <c r="E9" s="351" t="s">
        <v>175</v>
      </c>
      <c r="F9" s="352" t="s">
        <v>51</v>
      </c>
      <c r="G9" s="986" t="s">
        <v>52</v>
      </c>
      <c r="H9" s="987"/>
    </row>
    <row r="10" spans="1:8" s="105" customFormat="1" ht="19.5" customHeight="1">
      <c r="A10" s="364">
        <v>1</v>
      </c>
      <c r="B10" s="353">
        <v>88309</v>
      </c>
      <c r="C10" s="198" t="s">
        <v>372</v>
      </c>
      <c r="D10" s="109" t="s">
        <v>294</v>
      </c>
      <c r="E10" s="241">
        <v>0.2128</v>
      </c>
      <c r="F10" s="110">
        <v>21.31</v>
      </c>
      <c r="G10" s="111"/>
      <c r="H10" s="112">
        <f>ROUND(E10*F10,2)</f>
        <v>4.53</v>
      </c>
    </row>
    <row r="11" spans="1:8" s="105" customFormat="1" ht="19.5" customHeight="1" thickBot="1">
      <c r="A11" s="364">
        <v>2</v>
      </c>
      <c r="B11" s="353">
        <v>88316</v>
      </c>
      <c r="C11" s="198" t="s">
        <v>218</v>
      </c>
      <c r="D11" s="109" t="s">
        <v>294</v>
      </c>
      <c r="E11" s="241">
        <v>0.4255</v>
      </c>
      <c r="F11" s="110">
        <v>17.09</v>
      </c>
      <c r="G11" s="111"/>
      <c r="H11" s="112">
        <f>ROUND(E11*F11,2)</f>
        <v>7.27</v>
      </c>
    </row>
    <row r="12" spans="1:8" s="105" customFormat="1" ht="19.5" customHeight="1" thickBot="1">
      <c r="A12" s="365"/>
      <c r="B12" s="114"/>
      <c r="C12" s="111"/>
      <c r="D12" s="114"/>
      <c r="E12" s="115" t="s">
        <v>219</v>
      </c>
      <c r="F12" s="116"/>
      <c r="G12" s="117"/>
      <c r="H12" s="118">
        <f>SUM(H10:H11)</f>
        <v>11.8</v>
      </c>
    </row>
    <row r="13" spans="1:8" s="105" customFormat="1" ht="19.5" customHeight="1">
      <c r="A13" s="988" t="s">
        <v>220</v>
      </c>
      <c r="B13" s="989"/>
      <c r="C13" s="989"/>
      <c r="D13" s="989"/>
      <c r="E13" s="989"/>
      <c r="F13" s="989"/>
      <c r="G13" s="989"/>
      <c r="H13" s="990"/>
    </row>
    <row r="14" spans="1:8" s="105" customFormat="1" ht="19.5" customHeight="1">
      <c r="A14" s="349" t="s">
        <v>48</v>
      </c>
      <c r="B14" s="350" t="s">
        <v>355</v>
      </c>
      <c r="C14" s="351" t="s">
        <v>49</v>
      </c>
      <c r="D14" s="350" t="s">
        <v>50</v>
      </c>
      <c r="E14" s="351" t="s">
        <v>175</v>
      </c>
      <c r="F14" s="352" t="s">
        <v>51</v>
      </c>
      <c r="G14" s="991" t="s">
        <v>52</v>
      </c>
      <c r="H14" s="992"/>
    </row>
    <row r="15" spans="1:8" s="105" customFormat="1" ht="19.5" customHeight="1">
      <c r="A15" s="364">
        <v>1</v>
      </c>
      <c r="B15" s="354">
        <v>87313</v>
      </c>
      <c r="C15" s="242" t="s">
        <v>375</v>
      </c>
      <c r="D15" s="127" t="s">
        <v>226</v>
      </c>
      <c r="E15" s="206">
        <v>0.02</v>
      </c>
      <c r="F15" s="207">
        <v>527.24</v>
      </c>
      <c r="G15" s="126"/>
      <c r="H15" s="112">
        <f>ROUND(E15*F15,2)</f>
        <v>10.54</v>
      </c>
    </row>
    <row r="16" spans="1:8" s="105" customFormat="1" ht="19.5" customHeight="1">
      <c r="A16" s="364">
        <v>2</v>
      </c>
      <c r="B16" s="354">
        <v>94969</v>
      </c>
      <c r="C16" s="242" t="s">
        <v>380</v>
      </c>
      <c r="D16" s="127" t="s">
        <v>226</v>
      </c>
      <c r="E16" s="206">
        <v>1.62</v>
      </c>
      <c r="F16" s="207">
        <v>424.22</v>
      </c>
      <c r="G16" s="126"/>
      <c r="H16" s="112">
        <f>ROUND(E16*F16,2)</f>
        <v>687.24</v>
      </c>
    </row>
    <row r="17" spans="1:8" s="105" customFormat="1" ht="19.5" customHeight="1" thickBot="1">
      <c r="A17" s="364">
        <v>3</v>
      </c>
      <c r="B17" s="354">
        <v>101616</v>
      </c>
      <c r="C17" s="242" t="s">
        <v>381</v>
      </c>
      <c r="D17" s="127" t="s">
        <v>377</v>
      </c>
      <c r="E17" s="206">
        <v>2.28</v>
      </c>
      <c r="F17" s="207">
        <v>4.95</v>
      </c>
      <c r="G17" s="126"/>
      <c r="H17" s="112">
        <f>ROUND(E17*F17,2)</f>
        <v>11.29</v>
      </c>
    </row>
    <row r="18" spans="1:8" s="105" customFormat="1" ht="19.5" customHeight="1" thickBot="1">
      <c r="A18" s="365"/>
      <c r="B18" s="114" t="s">
        <v>223</v>
      </c>
      <c r="C18" s="111"/>
      <c r="D18" s="114"/>
      <c r="E18" s="115" t="s">
        <v>224</v>
      </c>
      <c r="F18" s="128"/>
      <c r="G18" s="129"/>
      <c r="H18" s="118">
        <f>SUM(H15:H17)</f>
        <v>709.0699999999999</v>
      </c>
    </row>
    <row r="19" spans="1:8" s="105" customFormat="1" ht="19.5" customHeight="1">
      <c r="A19" s="993" t="s">
        <v>225</v>
      </c>
      <c r="B19" s="994"/>
      <c r="C19" s="994"/>
      <c r="D19" s="994"/>
      <c r="E19" s="994"/>
      <c r="F19" s="994"/>
      <c r="G19" s="994"/>
      <c r="H19" s="995"/>
    </row>
    <row r="20" spans="1:8" s="105" customFormat="1" ht="19.5" customHeight="1">
      <c r="A20" s="349" t="s">
        <v>48</v>
      </c>
      <c r="B20" s="350" t="s">
        <v>355</v>
      </c>
      <c r="C20" s="351" t="s">
        <v>49</v>
      </c>
      <c r="D20" s="350" t="s">
        <v>50</v>
      </c>
      <c r="E20" s="351" t="s">
        <v>175</v>
      </c>
      <c r="F20" s="352" t="s">
        <v>51</v>
      </c>
      <c r="G20" s="991" t="s">
        <v>52</v>
      </c>
      <c r="H20" s="992"/>
    </row>
    <row r="21" spans="1:8" s="105" customFormat="1" ht="19.5" customHeight="1">
      <c r="A21" s="364">
        <v>1</v>
      </c>
      <c r="B21" s="354">
        <v>5875</v>
      </c>
      <c r="C21" s="208" t="s">
        <v>373</v>
      </c>
      <c r="D21" s="127" t="s">
        <v>198</v>
      </c>
      <c r="E21" s="243">
        <v>0.1702</v>
      </c>
      <c r="F21" s="207">
        <v>106.6</v>
      </c>
      <c r="G21" s="126"/>
      <c r="H21" s="112">
        <f>ROUND(E21*F21,2)</f>
        <v>18.14</v>
      </c>
    </row>
    <row r="22" spans="1:8" s="105" customFormat="1" ht="19.5" customHeight="1">
      <c r="A22" s="364">
        <v>2</v>
      </c>
      <c r="B22" s="354">
        <v>5877</v>
      </c>
      <c r="C22" s="208" t="s">
        <v>374</v>
      </c>
      <c r="D22" s="127" t="s">
        <v>200</v>
      </c>
      <c r="E22" s="243">
        <v>0.0426</v>
      </c>
      <c r="F22" s="207">
        <v>42.95</v>
      </c>
      <c r="G22" s="126"/>
      <c r="H22" s="112">
        <f>ROUND(E22*F22,2)</f>
        <v>1.83</v>
      </c>
    </row>
    <row r="23" spans="1:8" s="105" customFormat="1" ht="19.5" customHeight="1">
      <c r="A23" s="364">
        <v>3</v>
      </c>
      <c r="B23" s="354">
        <v>92419</v>
      </c>
      <c r="C23" s="208" t="s">
        <v>376</v>
      </c>
      <c r="D23" s="127" t="s">
        <v>377</v>
      </c>
      <c r="E23" s="243">
        <v>12.68</v>
      </c>
      <c r="F23" s="207">
        <v>72.41</v>
      </c>
      <c r="G23" s="126"/>
      <c r="H23" s="112">
        <f>ROUND(E23*F23,2)</f>
        <v>918.16</v>
      </c>
    </row>
    <row r="24" spans="1:8" s="105" customFormat="1" ht="19.5" customHeight="1" thickBot="1">
      <c r="A24" s="364">
        <v>4</v>
      </c>
      <c r="B24" s="354">
        <v>92915</v>
      </c>
      <c r="C24" s="208" t="s">
        <v>378</v>
      </c>
      <c r="D24" s="127" t="s">
        <v>379</v>
      </c>
      <c r="E24" s="243">
        <v>16.4</v>
      </c>
      <c r="F24" s="207">
        <v>16.48</v>
      </c>
      <c r="G24" s="126"/>
      <c r="H24" s="112">
        <f>ROUND(E24*F24,2)</f>
        <v>270.27</v>
      </c>
    </row>
    <row r="25" spans="1:8" s="105" customFormat="1" ht="19.5" customHeight="1" thickBot="1">
      <c r="A25" s="365"/>
      <c r="B25" s="111" t="s">
        <v>223</v>
      </c>
      <c r="C25" s="111"/>
      <c r="D25" s="114"/>
      <c r="E25" s="115" t="s">
        <v>227</v>
      </c>
      <c r="F25" s="128"/>
      <c r="G25" s="129"/>
      <c r="H25" s="118">
        <f>SUM(H21:H24)</f>
        <v>1208.4</v>
      </c>
    </row>
    <row r="26" spans="1:8" s="105" customFormat="1" ht="19.5" customHeight="1">
      <c r="A26" s="365"/>
      <c r="B26" s="954" t="s">
        <v>228</v>
      </c>
      <c r="C26" s="954"/>
      <c r="D26" s="954"/>
      <c r="E26" s="954"/>
      <c r="F26" s="954"/>
      <c r="G26" s="955"/>
      <c r="H26" s="131">
        <f>SUM(H12+H18+H25)</f>
        <v>1929.27</v>
      </c>
    </row>
    <row r="27" spans="1:8" s="105" customFormat="1" ht="19.5" customHeight="1" thickBot="1">
      <c r="A27" s="366"/>
      <c r="B27" s="1002" t="s">
        <v>229</v>
      </c>
      <c r="C27" s="1002"/>
      <c r="D27" s="1002"/>
      <c r="E27" s="1002"/>
      <c r="F27" s="1002"/>
      <c r="G27" s="355">
        <v>0.2746</v>
      </c>
      <c r="H27" s="356">
        <f>H26*G27</f>
        <v>529.777542</v>
      </c>
    </row>
    <row r="28" spans="1:8" s="105" customFormat="1" ht="19.5" customHeight="1" thickBot="1">
      <c r="A28" s="357"/>
      <c r="B28" s="358" t="s">
        <v>230</v>
      </c>
      <c r="C28" s="358"/>
      <c r="D28" s="359"/>
      <c r="E28" s="358"/>
      <c r="F28" s="358"/>
      <c r="G28" s="360"/>
      <c r="H28" s="361">
        <f>SUM(H26:H27)</f>
        <v>2459.0475420000002</v>
      </c>
    </row>
  </sheetData>
  <sheetProtection/>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pageMargins left="0.511811024" right="0.511811024" top="0.787401575" bottom="0.787401575" header="0.31496062" footer="0.31496062"/>
  <pageSetup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32" sqref="A32:I32"/>
    </sheetView>
  </sheetViews>
  <sheetFormatPr defaultColWidth="9.140625" defaultRowHeight="12.75"/>
  <cols>
    <col min="1" max="1" width="5.421875" style="1" bestFit="1" customWidth="1"/>
    <col min="2" max="2" width="21.7109375" style="1" customWidth="1"/>
    <col min="3" max="3" width="23.28125" style="1" customWidth="1"/>
    <col min="4" max="4" width="16.140625" style="1" bestFit="1" customWidth="1"/>
    <col min="5" max="5" width="23.00390625" style="1" bestFit="1" customWidth="1"/>
    <col min="6" max="6" width="16.140625" style="1" customWidth="1"/>
    <col min="7" max="8" width="23.00390625" style="1" customWidth="1"/>
    <col min="9" max="9" width="20.7109375" style="1" customWidth="1"/>
    <col min="10" max="16" width="9.140625" style="1" customWidth="1"/>
    <col min="17" max="16384" width="9.140625" style="1" customWidth="1"/>
  </cols>
  <sheetData>
    <row r="1" spans="1:9" s="62" customFormat="1" ht="15" customHeight="1">
      <c r="A1" s="779"/>
      <c r="B1" s="780"/>
      <c r="C1" s="780"/>
      <c r="D1" s="780"/>
      <c r="E1" s="780"/>
      <c r="F1" s="780"/>
      <c r="G1" s="780"/>
      <c r="H1" s="780"/>
      <c r="I1" s="781"/>
    </row>
    <row r="2" spans="1:9" s="62" customFormat="1" ht="15" customHeight="1">
      <c r="A2" s="782" t="s">
        <v>24</v>
      </c>
      <c r="B2" s="783"/>
      <c r="C2" s="783"/>
      <c r="D2" s="783"/>
      <c r="E2" s="783"/>
      <c r="F2" s="783"/>
      <c r="G2" s="783"/>
      <c r="H2" s="783"/>
      <c r="I2" s="784"/>
    </row>
    <row r="3" spans="1:9" s="62" customFormat="1" ht="15" customHeight="1">
      <c r="A3" s="785" t="s">
        <v>213</v>
      </c>
      <c r="B3" s="786"/>
      <c r="C3" s="786"/>
      <c r="D3" s="786"/>
      <c r="E3" s="786"/>
      <c r="F3" s="786"/>
      <c r="G3" s="786"/>
      <c r="H3" s="786"/>
      <c r="I3" s="787"/>
    </row>
    <row r="4" spans="1:9" s="62" customFormat="1" ht="15" customHeight="1">
      <c r="A4" s="785" t="s">
        <v>23</v>
      </c>
      <c r="B4" s="786"/>
      <c r="C4" s="786"/>
      <c r="D4" s="786"/>
      <c r="E4" s="786"/>
      <c r="F4" s="786"/>
      <c r="G4" s="786"/>
      <c r="H4" s="786"/>
      <c r="I4" s="787"/>
    </row>
    <row r="5" spans="1:9" s="62" customFormat="1" ht="15" customHeight="1" thickBot="1">
      <c r="A5" s="677"/>
      <c r="B5" s="678"/>
      <c r="C5" s="678"/>
      <c r="D5" s="678"/>
      <c r="E5" s="678"/>
      <c r="F5" s="678"/>
      <c r="G5" s="678"/>
      <c r="H5" s="678"/>
      <c r="I5" s="679"/>
    </row>
    <row r="6" spans="1:9" s="62" customFormat="1" ht="15" customHeight="1" thickBot="1">
      <c r="A6" s="788" t="s">
        <v>493</v>
      </c>
      <c r="B6" s="789"/>
      <c r="C6" s="789"/>
      <c r="D6" s="789"/>
      <c r="E6" s="789"/>
      <c r="F6" s="789"/>
      <c r="G6" s="789"/>
      <c r="H6" s="789"/>
      <c r="I6" s="790"/>
    </row>
    <row r="7" spans="1:9" s="62" customFormat="1" ht="35.25" customHeight="1" thickBot="1" thickTop="1">
      <c r="A7" s="791" t="str">
        <f>'ORÇAMENTO GERAL'!C6</f>
        <v>EXECUÇÃO DOS SERVIÇOS DE DRENAGEM SUPERFICIAL E PROFUNDA E PAVIMENTAÇÃO DAS RUAS UNIÃO E JARDIM DOS ESPORTES NO BAIRRO DO ICUI- NO MUNICÍPIO DE ANANINDEUA - PA.</v>
      </c>
      <c r="B7" s="792"/>
      <c r="C7" s="792"/>
      <c r="D7" s="792"/>
      <c r="E7" s="792"/>
      <c r="F7" s="792"/>
      <c r="G7" s="792"/>
      <c r="H7" s="792"/>
      <c r="I7" s="793"/>
    </row>
    <row r="8" spans="1:5" ht="19.5" customHeight="1">
      <c r="A8" s="391" t="s">
        <v>7</v>
      </c>
      <c r="B8" s="392" t="s">
        <v>260</v>
      </c>
      <c r="C8" s="392" t="s">
        <v>452</v>
      </c>
      <c r="D8" s="392" t="s">
        <v>453</v>
      </c>
      <c r="E8" s="392" t="s">
        <v>492</v>
      </c>
    </row>
    <row r="9" spans="1:5" s="390" customFormat="1" ht="19.5" customHeight="1">
      <c r="A9" s="4">
        <v>1</v>
      </c>
      <c r="B9" s="199" t="s">
        <v>560</v>
      </c>
      <c r="C9" s="200" t="s">
        <v>561</v>
      </c>
      <c r="D9" s="200" t="s">
        <v>562</v>
      </c>
      <c r="E9" s="200">
        <v>630</v>
      </c>
    </row>
    <row r="10" spans="1:5" s="390" customFormat="1" ht="19.5" customHeight="1">
      <c r="A10" s="4">
        <v>2</v>
      </c>
      <c r="B10" s="199" t="s">
        <v>563</v>
      </c>
      <c r="C10" s="200" t="s">
        <v>561</v>
      </c>
      <c r="D10" s="200" t="s">
        <v>562</v>
      </c>
      <c r="E10" s="200">
        <v>630</v>
      </c>
    </row>
    <row r="11" spans="1:5" s="390" customFormat="1" ht="19.5" customHeight="1">
      <c r="A11" s="4">
        <v>3</v>
      </c>
      <c r="B11" s="199" t="s">
        <v>565</v>
      </c>
      <c r="C11" s="200" t="s">
        <v>654</v>
      </c>
      <c r="D11" s="200" t="s">
        <v>562</v>
      </c>
      <c r="E11" s="200">
        <v>380</v>
      </c>
    </row>
    <row r="12" spans="1:17" s="390" customFormat="1" ht="19.5" customHeight="1" hidden="1">
      <c r="A12" s="4">
        <v>4</v>
      </c>
      <c r="B12" s="199"/>
      <c r="C12" s="200"/>
      <c r="D12" s="200"/>
      <c r="E12" s="200"/>
      <c r="F12" s="447"/>
      <c r="G12" s="448">
        <f>'MC-DRE'!AI18+'MC-DRE'!AI46+'MC-DRE'!AI74+'MC-DRE'!AI102+'MC-DRE'!AI126+'MC-DRE'!AI150</f>
        <v>0</v>
      </c>
      <c r="H12" s="448">
        <f>'MC-PAV'!BC17</f>
        <v>0</v>
      </c>
      <c r="I12" s="449">
        <f aca="true" t="shared" si="0" ref="I12:I28">G12+H12</f>
        <v>0</v>
      </c>
      <c r="K12" s="390" t="s">
        <v>679</v>
      </c>
      <c r="L12" s="390" t="s">
        <v>680</v>
      </c>
      <c r="M12" s="390" t="s">
        <v>670</v>
      </c>
      <c r="N12" s="390" t="s">
        <v>671</v>
      </c>
      <c r="Q12" s="390" t="s">
        <v>672</v>
      </c>
    </row>
    <row r="13" spans="1:9" s="390" customFormat="1" ht="19.5" customHeight="1" hidden="1">
      <c r="A13" s="4">
        <v>5</v>
      </c>
      <c r="B13" s="199"/>
      <c r="C13" s="200"/>
      <c r="D13" s="200"/>
      <c r="E13" s="200"/>
      <c r="F13" s="447"/>
      <c r="G13" s="448">
        <f>'MC-DRE'!AI19+'MC-DRE'!AI47+'MC-DRE'!AI75+'MC-DRE'!AI103+'MC-DRE'!AI127+'MC-DRE'!AI151</f>
        <v>0</v>
      </c>
      <c r="H13" s="448">
        <f>'MC-PAV'!BC18</f>
        <v>0</v>
      </c>
      <c r="I13" s="449">
        <f t="shared" si="0"/>
        <v>0</v>
      </c>
    </row>
    <row r="14" spans="1:9" s="390" customFormat="1" ht="19.5" customHeight="1" hidden="1">
      <c r="A14" s="4">
        <v>6</v>
      </c>
      <c r="B14" s="199"/>
      <c r="C14" s="200"/>
      <c r="D14" s="200"/>
      <c r="E14" s="200"/>
      <c r="F14" s="447"/>
      <c r="G14" s="448">
        <f>'MC-DRE'!AI20+'MC-DRE'!AI48+'MC-DRE'!AI76+'MC-DRE'!AI104+'MC-DRE'!AI128+'MC-DRE'!AI152</f>
        <v>0</v>
      </c>
      <c r="H14" s="448">
        <f>'MC-PAV'!BC19</f>
        <v>0</v>
      </c>
      <c r="I14" s="449">
        <f t="shared" si="0"/>
        <v>0</v>
      </c>
    </row>
    <row r="15" spans="1:9" s="390" customFormat="1" ht="19.5" customHeight="1" hidden="1">
      <c r="A15" s="4">
        <v>7</v>
      </c>
      <c r="B15" s="199"/>
      <c r="C15" s="200"/>
      <c r="D15" s="200"/>
      <c r="E15" s="200"/>
      <c r="F15" s="447"/>
      <c r="G15" s="448">
        <f>'MC-DRE'!AI21+'MC-DRE'!AI49+'MC-DRE'!AI77+'MC-DRE'!AI105+'MC-DRE'!AI129+'MC-DRE'!AI153</f>
        <v>0</v>
      </c>
      <c r="H15" s="448">
        <f>'MC-PAV'!BC20</f>
        <v>0</v>
      </c>
      <c r="I15" s="449">
        <f t="shared" si="0"/>
        <v>0</v>
      </c>
    </row>
    <row r="16" spans="1:9" s="390" customFormat="1" ht="19.5" customHeight="1" hidden="1">
      <c r="A16" s="4">
        <v>8</v>
      </c>
      <c r="B16" s="199"/>
      <c r="C16" s="200"/>
      <c r="D16" s="200"/>
      <c r="E16" s="200"/>
      <c r="F16" s="447"/>
      <c r="G16" s="448">
        <f>'MC-DRE'!AI22+'MC-DRE'!AI50+'MC-DRE'!AI78+'MC-DRE'!AI106+'MC-DRE'!AI130+'MC-DRE'!AI154</f>
        <v>0</v>
      </c>
      <c r="H16" s="448">
        <f>'MC-PAV'!BC21</f>
        <v>0</v>
      </c>
      <c r="I16" s="449">
        <f t="shared" si="0"/>
        <v>0</v>
      </c>
    </row>
    <row r="17" spans="1:18" s="390" customFormat="1" ht="19.5" customHeight="1" hidden="1">
      <c r="A17" s="4">
        <v>9</v>
      </c>
      <c r="B17" s="199"/>
      <c r="C17" s="200"/>
      <c r="D17" s="200"/>
      <c r="E17" s="200"/>
      <c r="F17" s="447"/>
      <c r="G17" s="448">
        <f>'MC-DRE'!AI23+'MC-DRE'!AI51+'MC-DRE'!AI79+'MC-DRE'!AI107+'MC-DRE'!AI131+'MC-DRE'!AI155</f>
        <v>0</v>
      </c>
      <c r="H17" s="448">
        <f>'MC-PAV'!BC22</f>
        <v>0</v>
      </c>
      <c r="I17" s="449">
        <f t="shared" si="0"/>
        <v>0</v>
      </c>
      <c r="R17" s="390">
        <v>25.369999999999997</v>
      </c>
    </row>
    <row r="18" spans="1:17" s="390" customFormat="1" ht="19.5" customHeight="1" hidden="1">
      <c r="A18" s="4">
        <v>10</v>
      </c>
      <c r="B18" s="199"/>
      <c r="C18" s="200"/>
      <c r="D18" s="200"/>
      <c r="E18" s="200"/>
      <c r="F18" s="447"/>
      <c r="G18" s="448">
        <f>'MC-DRE'!AI24+'MC-DRE'!AI52+'MC-DRE'!AI80+'MC-DRE'!AI108+'MC-DRE'!AI132+'MC-DRE'!AI156</f>
        <v>0</v>
      </c>
      <c r="H18" s="448">
        <f>'MC-PAV'!BC23</f>
        <v>0</v>
      </c>
      <c r="I18" s="449">
        <f t="shared" si="0"/>
        <v>0</v>
      </c>
      <c r="K18" s="390" t="s">
        <v>681</v>
      </c>
      <c r="Q18" s="390">
        <v>25.369999999999997</v>
      </c>
    </row>
    <row r="19" spans="1:9" s="390" customFormat="1" ht="19.5" customHeight="1" hidden="1">
      <c r="A19" s="4">
        <v>11</v>
      </c>
      <c r="B19" s="199"/>
      <c r="C19" s="200"/>
      <c r="D19" s="200"/>
      <c r="E19" s="200"/>
      <c r="F19" s="447"/>
      <c r="G19" s="448">
        <f>'MC-DRE'!AI25+'MC-DRE'!AI53+'MC-DRE'!AI81+'MC-DRE'!AI109+'MC-DRE'!AI133+'MC-DRE'!AI157</f>
        <v>0</v>
      </c>
      <c r="H19" s="448">
        <f>'MC-PAV'!BC24</f>
        <v>0</v>
      </c>
      <c r="I19" s="449">
        <f t="shared" si="0"/>
        <v>0</v>
      </c>
    </row>
    <row r="20" spans="1:9" s="390" customFormat="1" ht="19.5" customHeight="1" hidden="1">
      <c r="A20" s="4">
        <v>12</v>
      </c>
      <c r="B20" s="199"/>
      <c r="C20" s="200"/>
      <c r="D20" s="200"/>
      <c r="E20" s="200"/>
      <c r="F20" s="447"/>
      <c r="G20" s="448">
        <f>'MC-DRE'!AI26+'MC-DRE'!AI54+'MC-DRE'!AI82+'MC-DRE'!AI110+'MC-DRE'!AI134+'MC-DRE'!AI158</f>
        <v>0</v>
      </c>
      <c r="H20" s="448">
        <f>'MC-PAV'!BC25</f>
        <v>0</v>
      </c>
      <c r="I20" s="449">
        <f t="shared" si="0"/>
        <v>0</v>
      </c>
    </row>
    <row r="21" spans="1:9" s="390" customFormat="1" ht="19.5" customHeight="1" hidden="1">
      <c r="A21" s="4">
        <v>13</v>
      </c>
      <c r="B21" s="199"/>
      <c r="C21" s="200"/>
      <c r="D21" s="200"/>
      <c r="E21" s="200"/>
      <c r="F21" s="447"/>
      <c r="G21" s="448">
        <f>'MC-DRE'!AI27+'MC-DRE'!AI55+'MC-DRE'!AI83+'MC-DRE'!AI111+'MC-DRE'!AI135+'MC-DRE'!AI159</f>
        <v>0</v>
      </c>
      <c r="H21" s="448">
        <f>'MC-PAV'!BC26</f>
        <v>0</v>
      </c>
      <c r="I21" s="449">
        <f t="shared" si="0"/>
        <v>0</v>
      </c>
    </row>
    <row r="22" spans="1:9" s="390" customFormat="1" ht="19.5" customHeight="1" hidden="1">
      <c r="A22" s="4">
        <v>14</v>
      </c>
      <c r="B22" s="199"/>
      <c r="C22" s="200"/>
      <c r="D22" s="200"/>
      <c r="E22" s="200"/>
      <c r="F22" s="447"/>
      <c r="G22" s="448">
        <f>'MC-DRE'!AI28+'MC-DRE'!AI56+'MC-DRE'!AI84+'MC-DRE'!AI112+'MC-DRE'!AI136+'MC-DRE'!AI160</f>
        <v>0</v>
      </c>
      <c r="H22" s="448">
        <f>'MC-PAV'!BC27</f>
        <v>0</v>
      </c>
      <c r="I22" s="449">
        <f t="shared" si="0"/>
        <v>0</v>
      </c>
    </row>
    <row r="23" spans="1:9" s="390" customFormat="1" ht="19.5" customHeight="1" hidden="1">
      <c r="A23" s="4">
        <v>15</v>
      </c>
      <c r="B23" s="199"/>
      <c r="C23" s="200"/>
      <c r="D23" s="200"/>
      <c r="E23" s="200"/>
      <c r="F23" s="447"/>
      <c r="G23" s="448">
        <f>'MC-DRE'!AI29+'MC-DRE'!AI57+'MC-DRE'!AI85+'MC-DRE'!AI113+'MC-DRE'!AI137+'MC-DRE'!AI161</f>
        <v>0</v>
      </c>
      <c r="H23" s="448">
        <f>'MC-PAV'!BC28</f>
        <v>0</v>
      </c>
      <c r="I23" s="449">
        <f t="shared" si="0"/>
        <v>0</v>
      </c>
    </row>
    <row r="24" spans="1:9" s="390" customFormat="1" ht="19.5" customHeight="1" hidden="1">
      <c r="A24" s="4">
        <v>16</v>
      </c>
      <c r="B24" s="199"/>
      <c r="C24" s="200"/>
      <c r="D24" s="200"/>
      <c r="E24" s="200"/>
      <c r="F24" s="447"/>
      <c r="G24" s="448">
        <f>'MC-DRE'!AI30+'MC-DRE'!AI58+'MC-DRE'!AI86+'MC-DRE'!AI114+'MC-DRE'!AI138+'MC-DRE'!AI162</f>
        <v>0</v>
      </c>
      <c r="H24" s="448">
        <f>'MC-PAV'!BC29</f>
        <v>0</v>
      </c>
      <c r="I24" s="449">
        <f t="shared" si="0"/>
        <v>0</v>
      </c>
    </row>
    <row r="25" spans="1:9" s="390" customFormat="1" ht="19.5" customHeight="1" hidden="1">
      <c r="A25" s="4">
        <v>17</v>
      </c>
      <c r="B25" s="199"/>
      <c r="C25" s="200"/>
      <c r="D25" s="200"/>
      <c r="E25" s="200"/>
      <c r="F25" s="447"/>
      <c r="G25" s="448">
        <f>'MC-DRE'!AI31+'MC-DRE'!AI59+'MC-DRE'!AI87+'MC-DRE'!AI115+'MC-DRE'!AI139+'MC-DRE'!AI163</f>
        <v>0</v>
      </c>
      <c r="H25" s="448">
        <f>'MC-PAV'!BC30</f>
        <v>0</v>
      </c>
      <c r="I25" s="449">
        <f t="shared" si="0"/>
        <v>0</v>
      </c>
    </row>
    <row r="26" spans="1:9" s="390" customFormat="1" ht="19.5" customHeight="1" hidden="1">
      <c r="A26" s="4">
        <v>18</v>
      </c>
      <c r="B26" s="199"/>
      <c r="C26" s="200"/>
      <c r="D26" s="200"/>
      <c r="E26" s="200"/>
      <c r="F26" s="447"/>
      <c r="G26" s="448">
        <f>'MC-DRE'!AI32+'MC-DRE'!AI60+'MC-DRE'!AI88+'MC-DRE'!AI116+'MC-DRE'!AI140+'MC-DRE'!AI164</f>
        <v>0</v>
      </c>
      <c r="H26" s="448">
        <f>'MC-PAV'!BC31</f>
        <v>0</v>
      </c>
      <c r="I26" s="449">
        <f t="shared" si="0"/>
        <v>0</v>
      </c>
    </row>
    <row r="27" spans="1:9" s="676" customFormat="1" ht="19.5" customHeight="1" hidden="1">
      <c r="A27" s="4">
        <v>19</v>
      </c>
      <c r="B27" s="454"/>
      <c r="C27" s="455"/>
      <c r="D27" s="455"/>
      <c r="E27" s="455"/>
      <c r="F27" s="456"/>
      <c r="G27" s="457"/>
      <c r="H27" s="448"/>
      <c r="I27" s="458"/>
    </row>
    <row r="28" spans="1:9" s="390" customFormat="1" ht="19.5" customHeight="1" hidden="1" thickBot="1">
      <c r="A28" s="4">
        <v>20</v>
      </c>
      <c r="B28" s="454"/>
      <c r="C28" s="455"/>
      <c r="D28" s="455"/>
      <c r="E28" s="455"/>
      <c r="F28" s="456"/>
      <c r="G28" s="457">
        <f>'MC-DRE'!AI33+'MC-DRE'!AI61+'MC-DRE'!AI89+'MC-DRE'!AI117+'MC-DRE'!AI141+'MC-DRE'!AI165</f>
        <v>0</v>
      </c>
      <c r="H28" s="448">
        <f>'MC-PAV'!BC32</f>
        <v>0</v>
      </c>
      <c r="I28" s="458">
        <f t="shared" si="0"/>
        <v>0</v>
      </c>
    </row>
    <row r="29" spans="1:9" s="453" customFormat="1" ht="30" customHeight="1" hidden="1" thickBot="1">
      <c r="A29" s="777" t="s">
        <v>494</v>
      </c>
      <c r="B29" s="778"/>
      <c r="C29" s="778"/>
      <c r="D29" s="778"/>
      <c r="E29" s="778"/>
      <c r="F29" s="778"/>
      <c r="G29" s="778"/>
      <c r="H29" s="778"/>
      <c r="I29" s="459">
        <f>SUM(I12:I28)</f>
        <v>0</v>
      </c>
    </row>
    <row r="31" spans="1:9" ht="18.75">
      <c r="A31" s="699"/>
      <c r="B31" s="700"/>
      <c r="C31" s="700"/>
      <c r="D31" s="700"/>
      <c r="E31" s="700"/>
      <c r="F31" s="700"/>
      <c r="G31" s="700"/>
      <c r="H31" s="747" t="s">
        <v>684</v>
      </c>
      <c r="I31" s="748"/>
    </row>
    <row r="32" spans="1:9" ht="15" customHeight="1">
      <c r="A32" s="744" t="s">
        <v>658</v>
      </c>
      <c r="B32" s="745"/>
      <c r="C32" s="745"/>
      <c r="D32" s="745"/>
      <c r="E32" s="745"/>
      <c r="F32" s="745"/>
      <c r="G32" s="745"/>
      <c r="H32" s="745"/>
      <c r="I32" s="746"/>
    </row>
    <row r="33" spans="1:9" s="681" customFormat="1" ht="25.5">
      <c r="A33" s="698" t="s">
        <v>141</v>
      </c>
      <c r="B33" s="698" t="s">
        <v>659</v>
      </c>
      <c r="C33" s="698" t="s">
        <v>660</v>
      </c>
      <c r="D33" s="698" t="s">
        <v>661</v>
      </c>
      <c r="E33" s="698" t="s">
        <v>662</v>
      </c>
      <c r="F33" s="698" t="s">
        <v>663</v>
      </c>
      <c r="G33" s="698" t="s">
        <v>664</v>
      </c>
      <c r="H33" s="698" t="s">
        <v>682</v>
      </c>
      <c r="I33" s="698" t="s">
        <v>683</v>
      </c>
    </row>
    <row r="34" spans="1:9" ht="25.5">
      <c r="A34" s="683" t="s">
        <v>665</v>
      </c>
      <c r="B34" s="683" t="s">
        <v>666</v>
      </c>
      <c r="C34" s="683" t="s">
        <v>667</v>
      </c>
      <c r="D34" s="683" t="s">
        <v>667</v>
      </c>
      <c r="E34" s="683" t="s">
        <v>667</v>
      </c>
      <c r="F34" s="683" t="s">
        <v>667</v>
      </c>
      <c r="G34" s="683" t="s">
        <v>0</v>
      </c>
      <c r="H34" s="769" t="s">
        <v>678</v>
      </c>
      <c r="I34" s="771" t="s">
        <v>678</v>
      </c>
    </row>
    <row r="35" spans="1:9" ht="12.75">
      <c r="A35" s="684">
        <v>8.75</v>
      </c>
      <c r="B35" s="685">
        <v>9.4</v>
      </c>
      <c r="C35" s="684">
        <v>9.08</v>
      </c>
      <c r="D35" s="684">
        <v>8.22</v>
      </c>
      <c r="E35" s="686">
        <v>3985.69</v>
      </c>
      <c r="F35" s="686">
        <v>3710.09</v>
      </c>
      <c r="G35" s="687">
        <v>424.01</v>
      </c>
      <c r="H35" s="770"/>
      <c r="I35" s="772"/>
    </row>
    <row r="36" spans="1:9" ht="43.5">
      <c r="A36" s="688" t="s">
        <v>668</v>
      </c>
      <c r="B36" s="742" t="s">
        <v>669</v>
      </c>
      <c r="C36" s="742" t="s">
        <v>670</v>
      </c>
      <c r="D36" s="742" t="s">
        <v>671</v>
      </c>
      <c r="E36" s="773"/>
      <c r="F36" s="773"/>
      <c r="G36" s="775" t="s">
        <v>672</v>
      </c>
      <c r="H36" s="682"/>
      <c r="I36" s="682"/>
    </row>
    <row r="37" spans="1:9" ht="33" customHeight="1">
      <c r="A37" s="689"/>
      <c r="B37" s="743"/>
      <c r="C37" s="743"/>
      <c r="D37" s="743"/>
      <c r="E37" s="774"/>
      <c r="F37" s="774"/>
      <c r="G37" s="776"/>
      <c r="H37" s="697">
        <v>9</v>
      </c>
      <c r="I37" s="697">
        <v>9</v>
      </c>
    </row>
    <row r="38" spans="1:9" ht="17.25">
      <c r="A38" s="764" t="s">
        <v>673</v>
      </c>
      <c r="B38" s="765"/>
      <c r="C38" s="765"/>
      <c r="D38" s="765"/>
      <c r="E38" s="765"/>
      <c r="F38" s="765"/>
      <c r="G38" s="766"/>
      <c r="H38" s="767">
        <v>9.075</v>
      </c>
      <c r="I38" s="768"/>
    </row>
    <row r="39" ht="13.5" thickBot="1"/>
    <row r="40" spans="2:9" ht="27" thickBot="1">
      <c r="B40" s="761" t="s">
        <v>674</v>
      </c>
      <c r="C40" s="762"/>
      <c r="D40" s="762"/>
      <c r="E40" s="762"/>
      <c r="F40" s="762"/>
      <c r="G40" s="762"/>
      <c r="H40" s="762"/>
      <c r="I40" s="763"/>
    </row>
    <row r="41" spans="2:9" ht="12.75">
      <c r="B41" s="690" t="s">
        <v>141</v>
      </c>
      <c r="C41" s="690" t="s">
        <v>143</v>
      </c>
      <c r="D41" s="690" t="s">
        <v>660</v>
      </c>
      <c r="E41" s="690" t="s">
        <v>661</v>
      </c>
      <c r="F41" s="690" t="s">
        <v>675</v>
      </c>
      <c r="G41" s="690" t="s">
        <v>676</v>
      </c>
      <c r="H41" s="690" t="s">
        <v>664</v>
      </c>
      <c r="I41" s="691" t="s">
        <v>677</v>
      </c>
    </row>
    <row r="42" spans="2:9" ht="12.75">
      <c r="B42" s="692" t="s">
        <v>667</v>
      </c>
      <c r="C42" s="692" t="s">
        <v>667</v>
      </c>
      <c r="D42" s="692" t="s">
        <v>667</v>
      </c>
      <c r="E42" s="692" t="s">
        <v>667</v>
      </c>
      <c r="F42" s="692" t="s">
        <v>667</v>
      </c>
      <c r="G42" s="692" t="s">
        <v>667</v>
      </c>
      <c r="H42" s="692" t="s">
        <v>0</v>
      </c>
      <c r="I42" s="749" t="s">
        <v>678</v>
      </c>
    </row>
    <row r="43" spans="2:9" ht="12.75">
      <c r="B43" s="693">
        <v>7.6</v>
      </c>
      <c r="C43" s="693">
        <v>26.7</v>
      </c>
      <c r="D43" s="694">
        <f>(C43+B43)/2</f>
        <v>17.15</v>
      </c>
      <c r="E43" s="693">
        <v>8.22</v>
      </c>
      <c r="F43" s="694">
        <f>D43+E43</f>
        <v>25.369999999999997</v>
      </c>
      <c r="G43" s="695">
        <f>F43*H43</f>
        <v>10757.133699999998</v>
      </c>
      <c r="H43" s="695">
        <v>424.01</v>
      </c>
      <c r="I43" s="750"/>
    </row>
    <row r="44" spans="2:9" ht="12.75">
      <c r="B44" s="751" t="s">
        <v>679</v>
      </c>
      <c r="C44" s="751" t="s">
        <v>680</v>
      </c>
      <c r="D44" s="753" t="s">
        <v>670</v>
      </c>
      <c r="E44" s="753" t="s">
        <v>671</v>
      </c>
      <c r="F44" s="755"/>
      <c r="G44" s="757"/>
      <c r="H44" s="754" t="s">
        <v>672</v>
      </c>
      <c r="I44" s="755"/>
    </row>
    <row r="45" spans="2:9" ht="12.75">
      <c r="B45" s="751"/>
      <c r="C45" s="751"/>
      <c r="D45" s="753"/>
      <c r="E45" s="753"/>
      <c r="F45" s="755"/>
      <c r="G45" s="757"/>
      <c r="H45" s="759"/>
      <c r="I45" s="755"/>
    </row>
    <row r="46" spans="2:9" ht="12.75">
      <c r="B46" s="751"/>
      <c r="C46" s="751"/>
      <c r="D46" s="753"/>
      <c r="E46" s="753"/>
      <c r="F46" s="755"/>
      <c r="G46" s="757"/>
      <c r="H46" s="759"/>
      <c r="I46" s="755"/>
    </row>
    <row r="47" spans="2:9" ht="12.75">
      <c r="B47" s="751"/>
      <c r="C47" s="751"/>
      <c r="D47" s="753"/>
      <c r="E47" s="753"/>
      <c r="F47" s="755"/>
      <c r="G47" s="757"/>
      <c r="H47" s="759"/>
      <c r="I47" s="755"/>
    </row>
    <row r="48" spans="2:9" ht="12.75">
      <c r="B48" s="751"/>
      <c r="C48" s="751"/>
      <c r="D48" s="753"/>
      <c r="E48" s="753"/>
      <c r="F48" s="755"/>
      <c r="G48" s="757"/>
      <c r="H48" s="759"/>
      <c r="I48" s="755"/>
    </row>
    <row r="49" spans="2:9" ht="21.75" thickBot="1">
      <c r="B49" s="752"/>
      <c r="C49" s="752"/>
      <c r="D49" s="754"/>
      <c r="E49" s="754"/>
      <c r="F49" s="756"/>
      <c r="G49" s="758"/>
      <c r="H49" s="760"/>
      <c r="I49" s="696">
        <f>G43/H43</f>
        <v>25.369999999999997</v>
      </c>
    </row>
    <row r="50" spans="2:9" ht="24.75" thickBot="1" thickTop="1">
      <c r="B50" s="739" t="s">
        <v>681</v>
      </c>
      <c r="C50" s="739"/>
      <c r="D50" s="739"/>
      <c r="E50" s="739"/>
      <c r="F50" s="739"/>
      <c r="G50" s="739"/>
      <c r="H50" s="740">
        <f>I49</f>
        <v>25.369999999999997</v>
      </c>
      <c r="I50" s="741"/>
    </row>
    <row r="51" ht="13.5" thickTop="1"/>
  </sheetData>
  <sheetProtection/>
  <mergeCells count="30">
    <mergeCell ref="A29:H29"/>
    <mergeCell ref="A1:I1"/>
    <mergeCell ref="A2:I2"/>
    <mergeCell ref="A3:I3"/>
    <mergeCell ref="A4:I4"/>
    <mergeCell ref="A6:I6"/>
    <mergeCell ref="A7:I7"/>
    <mergeCell ref="H34:H35"/>
    <mergeCell ref="I34:I35"/>
    <mergeCell ref="C36:C37"/>
    <mergeCell ref="D36:D37"/>
    <mergeCell ref="E36:F37"/>
    <mergeCell ref="G36:G37"/>
    <mergeCell ref="F44:F49"/>
    <mergeCell ref="G44:G49"/>
    <mergeCell ref="H44:H49"/>
    <mergeCell ref="I44:I48"/>
    <mergeCell ref="B40:I40"/>
    <mergeCell ref="A38:G38"/>
    <mergeCell ref="H38:I38"/>
    <mergeCell ref="B50:G50"/>
    <mergeCell ref="H50:I50"/>
    <mergeCell ref="B36:B37"/>
    <mergeCell ref="A32:I32"/>
    <mergeCell ref="H31:I31"/>
    <mergeCell ref="I42:I43"/>
    <mergeCell ref="B44:B49"/>
    <mergeCell ref="C44:C49"/>
    <mergeCell ref="D44:D49"/>
    <mergeCell ref="E44:E49"/>
  </mergeCells>
  <printOptions/>
  <pageMargins left="0.511811024" right="0.511811024" top="0.787401575" bottom="0.787401575" header="0.31496062" footer="0.31496062"/>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I166"/>
  <sheetViews>
    <sheetView view="pageBreakPreview" zoomScale="40" zoomScaleNormal="48" zoomScaleSheetLayoutView="40" zoomScalePageLayoutView="0" workbookViewId="0" topLeftCell="A71">
      <selection activeCell="F171" sqref="F171"/>
    </sheetView>
  </sheetViews>
  <sheetFormatPr defaultColWidth="11.57421875" defaultRowHeight="12.75"/>
  <cols>
    <col min="1" max="1" width="11.57421875" style="1" bestFit="1" customWidth="1"/>
    <col min="2" max="2" width="47.421875" style="1" customWidth="1"/>
    <col min="3" max="3" width="13.421875" style="421" bestFit="1" customWidth="1"/>
    <col min="4" max="4" width="19.421875" style="421" bestFit="1" customWidth="1"/>
    <col min="5" max="5" width="19.140625" style="421" bestFit="1" customWidth="1"/>
    <col min="6" max="6" width="20.8515625" style="421" bestFit="1" customWidth="1"/>
    <col min="7" max="7" width="27.7109375" style="421" bestFit="1" customWidth="1"/>
    <col min="8" max="8" width="27.7109375" style="421" customWidth="1"/>
    <col min="9" max="9" width="45.8515625" style="1" bestFit="1" customWidth="1"/>
    <col min="10" max="10" width="30.57421875" style="1" bestFit="1" customWidth="1"/>
    <col min="11" max="11" width="30.00390625" style="1" bestFit="1" customWidth="1"/>
    <col min="12" max="12" width="19.421875" style="1" bestFit="1" customWidth="1"/>
    <col min="13" max="13" width="29.8515625" style="1" bestFit="1" customWidth="1"/>
    <col min="14" max="14" width="29.140625" style="1" bestFit="1" customWidth="1"/>
    <col min="15" max="15" width="37.7109375" style="1" bestFit="1" customWidth="1"/>
    <col min="16" max="16" width="65.8515625" style="1" bestFit="1" customWidth="1"/>
    <col min="17" max="17" width="19.00390625" style="1" customWidth="1"/>
    <col min="18" max="18" width="20.7109375" style="1" customWidth="1"/>
    <col min="19" max="19" width="16.7109375" style="1" customWidth="1"/>
    <col min="20" max="20" width="23.7109375" style="1" bestFit="1" customWidth="1"/>
    <col min="21" max="21" width="28.421875" style="1" bestFit="1" customWidth="1"/>
    <col min="22" max="34" width="16.7109375" style="1" customWidth="1"/>
    <col min="35" max="35" width="23.7109375" style="1" bestFit="1" customWidth="1"/>
    <col min="36" max="16384" width="11.57421875" style="1" customWidth="1"/>
  </cols>
  <sheetData>
    <row r="1" spans="1:17" s="399" customFormat="1" ht="24.75" customHeight="1">
      <c r="A1" s="395"/>
      <c r="B1" s="396"/>
      <c r="C1" s="397"/>
      <c r="D1" s="397"/>
      <c r="E1" s="397"/>
      <c r="F1" s="397"/>
      <c r="G1" s="397"/>
      <c r="H1" s="397"/>
      <c r="I1" s="396"/>
      <c r="J1" s="396"/>
      <c r="K1" s="396"/>
      <c r="L1" s="396"/>
      <c r="M1" s="396"/>
      <c r="N1" s="396"/>
      <c r="O1" s="396"/>
      <c r="P1" s="398"/>
      <c r="Q1" s="423"/>
    </row>
    <row r="2" spans="1:17" s="399" customFormat="1" ht="24.75" customHeight="1">
      <c r="A2" s="828" t="s">
        <v>24</v>
      </c>
      <c r="B2" s="829"/>
      <c r="C2" s="829"/>
      <c r="D2" s="829"/>
      <c r="E2" s="829"/>
      <c r="F2" s="829"/>
      <c r="G2" s="829"/>
      <c r="H2" s="829"/>
      <c r="I2" s="829"/>
      <c r="J2" s="829"/>
      <c r="K2" s="829"/>
      <c r="L2" s="829"/>
      <c r="M2" s="829"/>
      <c r="N2" s="829"/>
      <c r="O2" s="829"/>
      <c r="P2" s="830"/>
      <c r="Q2" s="424"/>
    </row>
    <row r="3" spans="1:17" s="399" customFormat="1" ht="24.75" customHeight="1">
      <c r="A3" s="828" t="s">
        <v>213</v>
      </c>
      <c r="B3" s="829"/>
      <c r="C3" s="829"/>
      <c r="D3" s="829"/>
      <c r="E3" s="829"/>
      <c r="F3" s="829"/>
      <c r="G3" s="829"/>
      <c r="H3" s="829"/>
      <c r="I3" s="829"/>
      <c r="J3" s="829"/>
      <c r="K3" s="829"/>
      <c r="L3" s="829"/>
      <c r="M3" s="829"/>
      <c r="N3" s="829"/>
      <c r="O3" s="829"/>
      <c r="P3" s="830"/>
      <c r="Q3" s="424"/>
    </row>
    <row r="4" spans="1:17" s="399" customFormat="1" ht="24.75" customHeight="1">
      <c r="A4" s="828" t="s">
        <v>23</v>
      </c>
      <c r="B4" s="829"/>
      <c r="C4" s="829"/>
      <c r="D4" s="829"/>
      <c r="E4" s="829"/>
      <c r="F4" s="829"/>
      <c r="G4" s="829"/>
      <c r="H4" s="829"/>
      <c r="I4" s="829"/>
      <c r="J4" s="829"/>
      <c r="K4" s="829"/>
      <c r="L4" s="829"/>
      <c r="M4" s="829"/>
      <c r="N4" s="829"/>
      <c r="O4" s="829"/>
      <c r="P4" s="830"/>
      <c r="Q4" s="424"/>
    </row>
    <row r="5" spans="1:17" s="399" customFormat="1" ht="24.75" customHeight="1" thickBot="1">
      <c r="A5" s="444"/>
      <c r="B5" s="445"/>
      <c r="C5" s="445"/>
      <c r="D5" s="445"/>
      <c r="E5" s="445"/>
      <c r="F5" s="445"/>
      <c r="G5" s="445"/>
      <c r="H5" s="445"/>
      <c r="I5" s="445"/>
      <c r="J5" s="445"/>
      <c r="K5" s="445"/>
      <c r="L5" s="445"/>
      <c r="M5" s="445"/>
      <c r="N5" s="445"/>
      <c r="O5" s="445"/>
      <c r="P5" s="446"/>
      <c r="Q5" s="425"/>
    </row>
    <row r="6" spans="1:17" ht="41.25" customHeight="1" thickBot="1" thickTop="1">
      <c r="A6" s="831" t="s">
        <v>491</v>
      </c>
      <c r="B6" s="832"/>
      <c r="C6" s="832"/>
      <c r="D6" s="832"/>
      <c r="E6" s="832"/>
      <c r="F6" s="832"/>
      <c r="G6" s="832"/>
      <c r="H6" s="832"/>
      <c r="I6" s="832"/>
      <c r="J6" s="832"/>
      <c r="K6" s="832"/>
      <c r="L6" s="832"/>
      <c r="M6" s="832"/>
      <c r="N6" s="832"/>
      <c r="O6" s="832"/>
      <c r="P6" s="833"/>
      <c r="Q6" s="426"/>
    </row>
    <row r="7" spans="1:17" ht="34.5" customHeight="1" thickBot="1" thickTop="1">
      <c r="A7" s="815"/>
      <c r="B7" s="816"/>
      <c r="C7" s="816"/>
      <c r="D7" s="816"/>
      <c r="E7" s="816"/>
      <c r="F7" s="816"/>
      <c r="G7" s="816"/>
      <c r="H7" s="816"/>
      <c r="I7" s="816"/>
      <c r="J7" s="816"/>
      <c r="K7" s="816"/>
      <c r="L7" s="816"/>
      <c r="M7" s="816"/>
      <c r="N7" s="816"/>
      <c r="O7" s="816"/>
      <c r="P7" s="817"/>
      <c r="Q7" s="427"/>
    </row>
    <row r="8" spans="1:35" s="400" customFormat="1" ht="45" customHeight="1" thickBot="1">
      <c r="A8" s="823" t="s">
        <v>470</v>
      </c>
      <c r="B8" s="824"/>
      <c r="C8" s="824"/>
      <c r="D8" s="824"/>
      <c r="E8" s="824"/>
      <c r="F8" s="824"/>
      <c r="G8" s="824"/>
      <c r="H8" s="824"/>
      <c r="I8" s="824"/>
      <c r="J8" s="824"/>
      <c r="K8" s="824"/>
      <c r="L8" s="824"/>
      <c r="M8" s="824"/>
      <c r="N8" s="824"/>
      <c r="O8" s="824"/>
      <c r="P8" s="824"/>
      <c r="Q8" s="428"/>
      <c r="R8" s="796" t="str">
        <f>A8</f>
        <v>CÁLCULO PARA TUBULAÇÃO DE 400 MM</v>
      </c>
      <c r="S8" s="797"/>
      <c r="T8" s="797"/>
      <c r="U8" s="797"/>
      <c r="V8" s="797"/>
      <c r="W8" s="797"/>
      <c r="X8" s="797"/>
      <c r="Y8" s="797"/>
      <c r="Z8" s="797"/>
      <c r="AA8" s="797"/>
      <c r="AB8" s="797"/>
      <c r="AC8" s="797"/>
      <c r="AD8" s="797"/>
      <c r="AE8" s="797"/>
      <c r="AF8" s="797"/>
      <c r="AG8" s="797"/>
      <c r="AH8" s="797"/>
      <c r="AI8" s="798"/>
    </row>
    <row r="9" spans="1:35" s="400" customFormat="1" ht="45" customHeight="1">
      <c r="A9" s="812" t="s">
        <v>7</v>
      </c>
      <c r="B9" s="820" t="s">
        <v>474</v>
      </c>
      <c r="C9" s="808" t="s">
        <v>447</v>
      </c>
      <c r="D9" s="808"/>
      <c r="E9" s="808"/>
      <c r="F9" s="810" t="s">
        <v>449</v>
      </c>
      <c r="G9" s="810"/>
      <c r="H9" s="810"/>
      <c r="I9" s="810"/>
      <c r="J9" s="810" t="s">
        <v>459</v>
      </c>
      <c r="K9" s="808" t="s">
        <v>450</v>
      </c>
      <c r="L9" s="808"/>
      <c r="M9" s="810" t="s">
        <v>465</v>
      </c>
      <c r="N9" s="808" t="s">
        <v>466</v>
      </c>
      <c r="O9" s="808" t="s">
        <v>468</v>
      </c>
      <c r="P9" s="826" t="s">
        <v>45</v>
      </c>
      <c r="Q9" s="428"/>
      <c r="R9" s="799" t="s">
        <v>260</v>
      </c>
      <c r="S9" s="801" t="s">
        <v>477</v>
      </c>
      <c r="T9" s="795" t="s">
        <v>487</v>
      </c>
      <c r="U9" s="795" t="s">
        <v>475</v>
      </c>
      <c r="V9" s="795" t="s">
        <v>487</v>
      </c>
      <c r="W9" s="795" t="s">
        <v>459</v>
      </c>
      <c r="X9" s="795" t="s">
        <v>487</v>
      </c>
      <c r="Y9" s="795" t="s">
        <v>450</v>
      </c>
      <c r="Z9" s="795" t="s">
        <v>487</v>
      </c>
      <c r="AA9" s="795" t="s">
        <v>476</v>
      </c>
      <c r="AB9" s="795" t="s">
        <v>487</v>
      </c>
      <c r="AC9" s="795" t="s">
        <v>466</v>
      </c>
      <c r="AD9" s="795" t="s">
        <v>487</v>
      </c>
      <c r="AE9" s="795" t="s">
        <v>468</v>
      </c>
      <c r="AF9" s="795" t="s">
        <v>487</v>
      </c>
      <c r="AG9" s="795" t="s">
        <v>45</v>
      </c>
      <c r="AH9" s="795" t="s">
        <v>487</v>
      </c>
      <c r="AI9" s="795" t="s">
        <v>478</v>
      </c>
    </row>
    <row r="10" spans="1:35" s="400" customFormat="1" ht="45" customHeight="1">
      <c r="A10" s="813"/>
      <c r="B10" s="821"/>
      <c r="C10" s="809"/>
      <c r="D10" s="809"/>
      <c r="E10" s="809"/>
      <c r="F10" s="811"/>
      <c r="G10" s="811"/>
      <c r="H10" s="811"/>
      <c r="I10" s="811"/>
      <c r="J10" s="811"/>
      <c r="K10" s="809"/>
      <c r="L10" s="809"/>
      <c r="M10" s="811"/>
      <c r="N10" s="809"/>
      <c r="O10" s="809"/>
      <c r="P10" s="827"/>
      <c r="Q10" s="428"/>
      <c r="R10" s="800"/>
      <c r="S10" s="802"/>
      <c r="T10" s="794"/>
      <c r="U10" s="794"/>
      <c r="V10" s="794"/>
      <c r="W10" s="794"/>
      <c r="X10" s="794"/>
      <c r="Y10" s="794"/>
      <c r="Z10" s="794"/>
      <c r="AA10" s="794"/>
      <c r="AB10" s="794"/>
      <c r="AC10" s="794"/>
      <c r="AD10" s="794"/>
      <c r="AE10" s="794"/>
      <c r="AF10" s="794"/>
      <c r="AG10" s="794"/>
      <c r="AH10" s="794"/>
      <c r="AI10" s="794"/>
    </row>
    <row r="11" spans="1:35" s="400" customFormat="1" ht="45" customHeight="1">
      <c r="A11" s="813"/>
      <c r="B11" s="821"/>
      <c r="C11" s="401" t="s">
        <v>170</v>
      </c>
      <c r="D11" s="401" t="s">
        <v>454</v>
      </c>
      <c r="E11" s="401" t="s">
        <v>457</v>
      </c>
      <c r="F11" s="401" t="s">
        <v>448</v>
      </c>
      <c r="G11" s="401" t="s">
        <v>456</v>
      </c>
      <c r="H11" s="401" t="s">
        <v>458</v>
      </c>
      <c r="I11" s="401" t="s">
        <v>29</v>
      </c>
      <c r="J11" s="811"/>
      <c r="K11" s="401" t="s">
        <v>460</v>
      </c>
      <c r="L11" s="401" t="s">
        <v>29</v>
      </c>
      <c r="M11" s="811"/>
      <c r="N11" s="809"/>
      <c r="O11" s="809"/>
      <c r="P11" s="827"/>
      <c r="Q11" s="428"/>
      <c r="R11" s="800"/>
      <c r="S11" s="802"/>
      <c r="T11" s="794"/>
      <c r="U11" s="794"/>
      <c r="V11" s="794"/>
      <c r="W11" s="794"/>
      <c r="X11" s="794"/>
      <c r="Y11" s="794"/>
      <c r="Z11" s="794"/>
      <c r="AA11" s="794"/>
      <c r="AB11" s="794"/>
      <c r="AC11" s="794"/>
      <c r="AD11" s="794"/>
      <c r="AE11" s="794"/>
      <c r="AF11" s="794"/>
      <c r="AG11" s="794"/>
      <c r="AH11" s="794"/>
      <c r="AI11" s="794"/>
    </row>
    <row r="12" spans="1:18" s="400" customFormat="1" ht="45" customHeight="1">
      <c r="A12" s="813"/>
      <c r="B12" s="821"/>
      <c r="C12" s="402"/>
      <c r="D12" s="402"/>
      <c r="E12" s="402" t="s">
        <v>64</v>
      </c>
      <c r="F12" s="402" t="s">
        <v>67</v>
      </c>
      <c r="G12" s="402" t="s">
        <v>20</v>
      </c>
      <c r="H12" s="402" t="s">
        <v>12</v>
      </c>
      <c r="I12" s="402" t="s">
        <v>461</v>
      </c>
      <c r="J12" s="402" t="s">
        <v>462</v>
      </c>
      <c r="K12" s="402" t="s">
        <v>482</v>
      </c>
      <c r="L12" s="402" t="s">
        <v>463</v>
      </c>
      <c r="M12" s="402" t="s">
        <v>464</v>
      </c>
      <c r="N12" s="402" t="s">
        <v>483</v>
      </c>
      <c r="O12" s="402" t="s">
        <v>467</v>
      </c>
      <c r="P12" s="432" t="s">
        <v>469</v>
      </c>
      <c r="Q12" s="428"/>
      <c r="R12" s="437"/>
    </row>
    <row r="13" spans="1:18" s="400" customFormat="1" ht="45" customHeight="1" thickBot="1">
      <c r="A13" s="814"/>
      <c r="B13" s="822"/>
      <c r="C13" s="404" t="s">
        <v>455</v>
      </c>
      <c r="D13" s="404" t="s">
        <v>451</v>
      </c>
      <c r="E13" s="404" t="s">
        <v>451</v>
      </c>
      <c r="F13" s="404" t="s">
        <v>489</v>
      </c>
      <c r="G13" s="404" t="s">
        <v>490</v>
      </c>
      <c r="H13" s="404"/>
      <c r="I13" s="404"/>
      <c r="J13" s="404"/>
      <c r="K13" s="404"/>
      <c r="L13" s="404"/>
      <c r="M13" s="404"/>
      <c r="N13" s="404"/>
      <c r="O13" s="404"/>
      <c r="P13" s="433">
        <v>10</v>
      </c>
      <c r="Q13" s="429"/>
      <c r="R13" s="438"/>
    </row>
    <row r="14" spans="1:35" s="400" customFormat="1" ht="45" customHeight="1" thickBot="1">
      <c r="A14" s="406">
        <v>1</v>
      </c>
      <c r="B14" s="517" t="str">
        <f>DADOS!B9</f>
        <v>RUA UNIÃO</v>
      </c>
      <c r="C14" s="409">
        <v>1</v>
      </c>
      <c r="D14" s="408">
        <v>40</v>
      </c>
      <c r="E14" s="409">
        <f>C14*D14</f>
        <v>40</v>
      </c>
      <c r="F14" s="410">
        <v>0.9</v>
      </c>
      <c r="G14" s="410">
        <v>1</v>
      </c>
      <c r="H14" s="410">
        <v>0.05</v>
      </c>
      <c r="I14" s="410">
        <f>(E14*F14*G14)+(E14*G14*H14)</f>
        <v>38</v>
      </c>
      <c r="J14" s="410">
        <f>E14*F14</f>
        <v>36</v>
      </c>
      <c r="K14" s="410">
        <f>(3.14*(0.2^2)*E14)</f>
        <v>5.024000000000001</v>
      </c>
      <c r="L14" s="410">
        <f>I14-K14</f>
        <v>32.976</v>
      </c>
      <c r="M14" s="411">
        <f>J14</f>
        <v>36</v>
      </c>
      <c r="N14" s="411">
        <f>K14*1.6</f>
        <v>8.038400000000001</v>
      </c>
      <c r="O14" s="411">
        <f>E14</f>
        <v>40</v>
      </c>
      <c r="P14" s="434">
        <f>K14*1.25*$P$13</f>
        <v>62.80000000000001</v>
      </c>
      <c r="Q14" s="431"/>
      <c r="R14" s="436" t="str">
        <f aca="true" t="shared" si="0" ref="R14:R20">B14</f>
        <v>RUA UNIÃO</v>
      </c>
      <c r="S14" s="435">
        <f aca="true" t="shared" si="1" ref="S14:S20">E14</f>
        <v>40</v>
      </c>
      <c r="T14" s="413">
        <f>'ORÇAMENTO GERAL'!$J$23</f>
        <v>185.62</v>
      </c>
      <c r="U14" s="412">
        <f aca="true" t="shared" si="2" ref="U14:U20">I14</f>
        <v>38</v>
      </c>
      <c r="V14" s="413">
        <f>'ORÇAMENTO GERAL'!$J$24</f>
        <v>7.89</v>
      </c>
      <c r="W14" s="412">
        <f aca="true" t="shared" si="3" ref="W14:W20">J14</f>
        <v>36</v>
      </c>
      <c r="X14" s="413">
        <f>'ORÇAMENTO GERAL'!$J$25</f>
        <v>6.31</v>
      </c>
      <c r="Y14" s="412">
        <f aca="true" t="shared" si="4" ref="Y14:Y20">L14</f>
        <v>32.976</v>
      </c>
      <c r="Z14" s="413">
        <f>'ORÇAMENTO GERAL'!$J$26</f>
        <v>20.74</v>
      </c>
      <c r="AA14" s="412">
        <f aca="true" t="shared" si="5" ref="AA14:AA20">M14</f>
        <v>36</v>
      </c>
      <c r="AB14" s="413">
        <f>'ORÇAMENTO GERAL'!$J$27</f>
        <v>45.16</v>
      </c>
      <c r="AC14" s="412">
        <f aca="true" t="shared" si="6" ref="AC14:AC20">N14</f>
        <v>8.038400000000001</v>
      </c>
      <c r="AD14" s="413">
        <f>'ORÇAMENTO GERAL'!$J$28</f>
        <v>5.16</v>
      </c>
      <c r="AE14" s="412">
        <f aca="true" t="shared" si="7" ref="AE14:AE20">O14</f>
        <v>40</v>
      </c>
      <c r="AF14" s="413">
        <f>'ORÇAMENTO GERAL'!$J$29</f>
        <v>62.07</v>
      </c>
      <c r="AG14" s="412">
        <f aca="true" t="shared" si="8" ref="AG14:AG20">P14</f>
        <v>62.80000000000001</v>
      </c>
      <c r="AH14" s="413">
        <f>'ORÇAMENTO GERAL'!$J$30</f>
        <v>3.38</v>
      </c>
      <c r="AI14" s="413">
        <f aca="true" t="shared" si="9" ref="AI14:AI20">(S14*T14)+(U14*V14)+(W14*X14)+(Y14*Z14)+(AA14*AB14)+(AC14*AD14)+(AE14*AF14)+(AG14*AH14)</f>
        <v>12998.004384</v>
      </c>
    </row>
    <row r="15" spans="1:35" s="400" customFormat="1" ht="45" customHeight="1" thickBot="1">
      <c r="A15" s="406">
        <v>2</v>
      </c>
      <c r="B15" s="407" t="str">
        <f>DADOS!B10</f>
        <v>RUA JARDIM DOS ESPORTES</v>
      </c>
      <c r="C15" s="409">
        <v>1</v>
      </c>
      <c r="D15" s="408">
        <v>40</v>
      </c>
      <c r="E15" s="410">
        <f aca="true" t="shared" si="10" ref="E15:E33">C15*D15</f>
        <v>40</v>
      </c>
      <c r="F15" s="410">
        <v>0.9</v>
      </c>
      <c r="G15" s="410">
        <v>1</v>
      </c>
      <c r="H15" s="410">
        <v>0.05</v>
      </c>
      <c r="I15" s="410">
        <f aca="true" t="shared" si="11" ref="I15:I33">(E15*F15*G15)+(E15*G15*H15)</f>
        <v>38</v>
      </c>
      <c r="J15" s="410">
        <f aca="true" t="shared" si="12" ref="J15:J33">E15*F15</f>
        <v>36</v>
      </c>
      <c r="K15" s="410">
        <f aca="true" t="shared" si="13" ref="K15:K33">(3.14*(0.2^2)*E15)</f>
        <v>5.024000000000001</v>
      </c>
      <c r="L15" s="410">
        <f aca="true" t="shared" si="14" ref="L15:L33">I15-K15</f>
        <v>32.976</v>
      </c>
      <c r="M15" s="411">
        <f aca="true" t="shared" si="15" ref="M15:M33">J15</f>
        <v>36</v>
      </c>
      <c r="N15" s="411">
        <f aca="true" t="shared" si="16" ref="N15:N33">K15*1.6</f>
        <v>8.038400000000001</v>
      </c>
      <c r="O15" s="411">
        <f aca="true" t="shared" si="17" ref="O15:O33">E15</f>
        <v>40</v>
      </c>
      <c r="P15" s="434">
        <f aca="true" t="shared" si="18" ref="P15:P33">K15*1.25*$P$13</f>
        <v>62.80000000000001</v>
      </c>
      <c r="Q15" s="431"/>
      <c r="R15" s="393" t="str">
        <f t="shared" si="0"/>
        <v>RUA JARDIM DOS ESPORTES</v>
      </c>
      <c r="S15" s="435">
        <f t="shared" si="1"/>
        <v>40</v>
      </c>
      <c r="T15" s="413">
        <f>'ORÇAMENTO GERAL'!$J$23</f>
        <v>185.62</v>
      </c>
      <c r="U15" s="412">
        <f t="shared" si="2"/>
        <v>38</v>
      </c>
      <c r="V15" s="413">
        <f>'ORÇAMENTO GERAL'!$J$24</f>
        <v>7.89</v>
      </c>
      <c r="W15" s="412">
        <f t="shared" si="3"/>
        <v>36</v>
      </c>
      <c r="X15" s="413">
        <f>'ORÇAMENTO GERAL'!$J$25</f>
        <v>6.31</v>
      </c>
      <c r="Y15" s="412">
        <f t="shared" si="4"/>
        <v>32.976</v>
      </c>
      <c r="Z15" s="413">
        <f>'ORÇAMENTO GERAL'!$J$26</f>
        <v>20.74</v>
      </c>
      <c r="AA15" s="412">
        <f t="shared" si="5"/>
        <v>36</v>
      </c>
      <c r="AB15" s="413">
        <f>'ORÇAMENTO GERAL'!$J$27</f>
        <v>45.16</v>
      </c>
      <c r="AC15" s="412">
        <f t="shared" si="6"/>
        <v>8.038400000000001</v>
      </c>
      <c r="AD15" s="413">
        <f>'ORÇAMENTO GERAL'!$J$28</f>
        <v>5.16</v>
      </c>
      <c r="AE15" s="412">
        <f t="shared" si="7"/>
        <v>40</v>
      </c>
      <c r="AF15" s="413">
        <f>'ORÇAMENTO GERAL'!$J$29</f>
        <v>62.07</v>
      </c>
      <c r="AG15" s="412">
        <f t="shared" si="8"/>
        <v>62.80000000000001</v>
      </c>
      <c r="AH15" s="413">
        <f>'ORÇAMENTO GERAL'!$J$30</f>
        <v>3.38</v>
      </c>
      <c r="AI15" s="413">
        <f t="shared" si="9"/>
        <v>12998.004384</v>
      </c>
    </row>
    <row r="16" spans="1:35" s="400" customFormat="1" ht="45" customHeight="1" hidden="1" thickBot="1">
      <c r="A16" s="406">
        <v>3</v>
      </c>
      <c r="B16" s="407" t="e">
        <f>DADOS!#REF!</f>
        <v>#REF!</v>
      </c>
      <c r="C16" s="409">
        <v>1</v>
      </c>
      <c r="D16" s="408">
        <v>40</v>
      </c>
      <c r="E16" s="414">
        <f>C16*D16*0</f>
        <v>0</v>
      </c>
      <c r="F16" s="410">
        <v>0.9</v>
      </c>
      <c r="G16" s="410">
        <v>1</v>
      </c>
      <c r="H16" s="410">
        <v>0.05</v>
      </c>
      <c r="I16" s="410">
        <f t="shared" si="11"/>
        <v>0</v>
      </c>
      <c r="J16" s="410">
        <f t="shared" si="12"/>
        <v>0</v>
      </c>
      <c r="K16" s="410">
        <f t="shared" si="13"/>
        <v>0</v>
      </c>
      <c r="L16" s="410">
        <f t="shared" si="14"/>
        <v>0</v>
      </c>
      <c r="M16" s="411">
        <f t="shared" si="15"/>
        <v>0</v>
      </c>
      <c r="N16" s="411">
        <f t="shared" si="16"/>
        <v>0</v>
      </c>
      <c r="O16" s="411">
        <f t="shared" si="17"/>
        <v>0</v>
      </c>
      <c r="P16" s="434">
        <f t="shared" si="18"/>
        <v>0</v>
      </c>
      <c r="Q16" s="431"/>
      <c r="R16" s="393" t="e">
        <f t="shared" si="0"/>
        <v>#REF!</v>
      </c>
      <c r="S16" s="435">
        <f t="shared" si="1"/>
        <v>0</v>
      </c>
      <c r="T16" s="413">
        <f>'ORÇAMENTO GERAL'!$J$23</f>
        <v>185.62</v>
      </c>
      <c r="U16" s="412">
        <f t="shared" si="2"/>
        <v>0</v>
      </c>
      <c r="V16" s="413">
        <f>'ORÇAMENTO GERAL'!$J$24</f>
        <v>7.89</v>
      </c>
      <c r="W16" s="412">
        <f t="shared" si="3"/>
        <v>0</v>
      </c>
      <c r="X16" s="413">
        <f>'ORÇAMENTO GERAL'!$J$25</f>
        <v>6.31</v>
      </c>
      <c r="Y16" s="412">
        <f t="shared" si="4"/>
        <v>0</v>
      </c>
      <c r="Z16" s="413">
        <f>'ORÇAMENTO GERAL'!$J$26</f>
        <v>20.74</v>
      </c>
      <c r="AA16" s="412">
        <f t="shared" si="5"/>
        <v>0</v>
      </c>
      <c r="AB16" s="413">
        <f>'ORÇAMENTO GERAL'!$J$27</f>
        <v>45.16</v>
      </c>
      <c r="AC16" s="412">
        <f t="shared" si="6"/>
        <v>0</v>
      </c>
      <c r="AD16" s="413">
        <f>'ORÇAMENTO GERAL'!$J$28</f>
        <v>5.16</v>
      </c>
      <c r="AE16" s="412">
        <f t="shared" si="7"/>
        <v>0</v>
      </c>
      <c r="AF16" s="413">
        <f>'ORÇAMENTO GERAL'!$J$29</f>
        <v>62.07</v>
      </c>
      <c r="AG16" s="412">
        <f t="shared" si="8"/>
        <v>0</v>
      </c>
      <c r="AH16" s="413">
        <f>'ORÇAMENTO GERAL'!$J$30</f>
        <v>3.38</v>
      </c>
      <c r="AI16" s="413">
        <f t="shared" si="9"/>
        <v>0</v>
      </c>
    </row>
    <row r="17" spans="1:35" s="400" customFormat="1" ht="45" customHeight="1" thickBot="1">
      <c r="A17" s="406">
        <v>3</v>
      </c>
      <c r="B17" s="407" t="str">
        <f>DADOS!B11</f>
        <v>BACIA LEITEIRA</v>
      </c>
      <c r="C17" s="409">
        <v>1</v>
      </c>
      <c r="D17" s="412"/>
      <c r="E17" s="414">
        <f t="shared" si="10"/>
        <v>0</v>
      </c>
      <c r="F17" s="410">
        <v>0.9</v>
      </c>
      <c r="G17" s="410">
        <v>1</v>
      </c>
      <c r="H17" s="410">
        <v>0.05</v>
      </c>
      <c r="I17" s="410">
        <f t="shared" si="11"/>
        <v>0</v>
      </c>
      <c r="J17" s="410">
        <f t="shared" si="12"/>
        <v>0</v>
      </c>
      <c r="K17" s="410">
        <f t="shared" si="13"/>
        <v>0</v>
      </c>
      <c r="L17" s="410">
        <f t="shared" si="14"/>
        <v>0</v>
      </c>
      <c r="M17" s="411">
        <f t="shared" si="15"/>
        <v>0</v>
      </c>
      <c r="N17" s="411">
        <f t="shared" si="16"/>
        <v>0</v>
      </c>
      <c r="O17" s="411">
        <f t="shared" si="17"/>
        <v>0</v>
      </c>
      <c r="P17" s="434">
        <f t="shared" si="18"/>
        <v>0</v>
      </c>
      <c r="Q17" s="431"/>
      <c r="R17" s="393" t="str">
        <f t="shared" si="0"/>
        <v>BACIA LEITEIRA</v>
      </c>
      <c r="S17" s="435">
        <f t="shared" si="1"/>
        <v>0</v>
      </c>
      <c r="T17" s="413">
        <f>'ORÇAMENTO GERAL'!$J$23</f>
        <v>185.62</v>
      </c>
      <c r="U17" s="412">
        <f t="shared" si="2"/>
        <v>0</v>
      </c>
      <c r="V17" s="413">
        <f>'ORÇAMENTO GERAL'!$J$24</f>
        <v>7.89</v>
      </c>
      <c r="W17" s="412">
        <f t="shared" si="3"/>
        <v>0</v>
      </c>
      <c r="X17" s="413">
        <f>'ORÇAMENTO GERAL'!$J$25</f>
        <v>6.31</v>
      </c>
      <c r="Y17" s="412">
        <f t="shared" si="4"/>
        <v>0</v>
      </c>
      <c r="Z17" s="413">
        <f>'ORÇAMENTO GERAL'!$J$26</f>
        <v>20.74</v>
      </c>
      <c r="AA17" s="412">
        <f t="shared" si="5"/>
        <v>0</v>
      </c>
      <c r="AB17" s="413">
        <f>'ORÇAMENTO GERAL'!$J$27</f>
        <v>45.16</v>
      </c>
      <c r="AC17" s="412">
        <f t="shared" si="6"/>
        <v>0</v>
      </c>
      <c r="AD17" s="413">
        <f>'ORÇAMENTO GERAL'!$J$28</f>
        <v>5.16</v>
      </c>
      <c r="AE17" s="412">
        <f t="shared" si="7"/>
        <v>0</v>
      </c>
      <c r="AF17" s="413">
        <f>'ORÇAMENTO GERAL'!$J$29</f>
        <v>62.07</v>
      </c>
      <c r="AG17" s="412">
        <f t="shared" si="8"/>
        <v>0</v>
      </c>
      <c r="AH17" s="413">
        <f>'ORÇAMENTO GERAL'!$J$30</f>
        <v>3.38</v>
      </c>
      <c r="AI17" s="413">
        <f t="shared" si="9"/>
        <v>0</v>
      </c>
    </row>
    <row r="18" spans="1:35" s="400" customFormat="1" ht="45" customHeight="1" hidden="1">
      <c r="A18" s="406">
        <v>5</v>
      </c>
      <c r="B18" s="407">
        <v>5</v>
      </c>
      <c r="C18" s="414"/>
      <c r="D18" s="412"/>
      <c r="E18" s="414">
        <f t="shared" si="10"/>
        <v>0</v>
      </c>
      <c r="F18" s="410">
        <v>0.9</v>
      </c>
      <c r="G18" s="410">
        <v>1</v>
      </c>
      <c r="H18" s="410">
        <v>0.05</v>
      </c>
      <c r="I18" s="410">
        <f t="shared" si="11"/>
        <v>0</v>
      </c>
      <c r="J18" s="410">
        <f t="shared" si="12"/>
        <v>0</v>
      </c>
      <c r="K18" s="410">
        <f t="shared" si="13"/>
        <v>0</v>
      </c>
      <c r="L18" s="410">
        <f t="shared" si="14"/>
        <v>0</v>
      </c>
      <c r="M18" s="411">
        <f t="shared" si="15"/>
        <v>0</v>
      </c>
      <c r="N18" s="411">
        <f t="shared" si="16"/>
        <v>0</v>
      </c>
      <c r="O18" s="411">
        <f t="shared" si="17"/>
        <v>0</v>
      </c>
      <c r="P18" s="434">
        <f t="shared" si="18"/>
        <v>0</v>
      </c>
      <c r="Q18" s="431"/>
      <c r="R18" s="393">
        <f t="shared" si="0"/>
        <v>5</v>
      </c>
      <c r="S18" s="435">
        <f t="shared" si="1"/>
        <v>0</v>
      </c>
      <c r="T18" s="413">
        <f>'ORÇAMENTO GERAL'!$J$23</f>
        <v>185.62</v>
      </c>
      <c r="U18" s="412">
        <f t="shared" si="2"/>
        <v>0</v>
      </c>
      <c r="V18" s="413">
        <f>'ORÇAMENTO GERAL'!$J$24</f>
        <v>7.89</v>
      </c>
      <c r="W18" s="412">
        <f t="shared" si="3"/>
        <v>0</v>
      </c>
      <c r="X18" s="413">
        <f>'ORÇAMENTO GERAL'!$J$25</f>
        <v>6.31</v>
      </c>
      <c r="Y18" s="412">
        <f t="shared" si="4"/>
        <v>0</v>
      </c>
      <c r="Z18" s="413">
        <f>'ORÇAMENTO GERAL'!$J$26</f>
        <v>20.74</v>
      </c>
      <c r="AA18" s="412">
        <f t="shared" si="5"/>
        <v>0</v>
      </c>
      <c r="AB18" s="413">
        <f>'ORÇAMENTO GERAL'!$J$27</f>
        <v>45.16</v>
      </c>
      <c r="AC18" s="412">
        <f t="shared" si="6"/>
        <v>0</v>
      </c>
      <c r="AD18" s="413">
        <f>'ORÇAMENTO GERAL'!$J$28</f>
        <v>5.16</v>
      </c>
      <c r="AE18" s="412">
        <f t="shared" si="7"/>
        <v>0</v>
      </c>
      <c r="AF18" s="413">
        <f>'ORÇAMENTO GERAL'!$J$29</f>
        <v>62.07</v>
      </c>
      <c r="AG18" s="412">
        <f t="shared" si="8"/>
        <v>0</v>
      </c>
      <c r="AH18" s="413">
        <f>'ORÇAMENTO GERAL'!$J$30</f>
        <v>3.38</v>
      </c>
      <c r="AI18" s="413">
        <f t="shared" si="9"/>
        <v>0</v>
      </c>
    </row>
    <row r="19" spans="1:35" s="400" customFormat="1" ht="45" customHeight="1" hidden="1">
      <c r="A19" s="406">
        <v>6</v>
      </c>
      <c r="B19" s="407">
        <v>6</v>
      </c>
      <c r="C19" s="414"/>
      <c r="D19" s="412"/>
      <c r="E19" s="414">
        <f t="shared" si="10"/>
        <v>0</v>
      </c>
      <c r="F19" s="410">
        <v>0.9</v>
      </c>
      <c r="G19" s="410">
        <v>1</v>
      </c>
      <c r="H19" s="410">
        <v>0.05</v>
      </c>
      <c r="I19" s="410">
        <f t="shared" si="11"/>
        <v>0</v>
      </c>
      <c r="J19" s="410">
        <f t="shared" si="12"/>
        <v>0</v>
      </c>
      <c r="K19" s="410">
        <f t="shared" si="13"/>
        <v>0</v>
      </c>
      <c r="L19" s="410">
        <f t="shared" si="14"/>
        <v>0</v>
      </c>
      <c r="M19" s="411">
        <f t="shared" si="15"/>
        <v>0</v>
      </c>
      <c r="N19" s="411">
        <f t="shared" si="16"/>
        <v>0</v>
      </c>
      <c r="O19" s="411">
        <f t="shared" si="17"/>
        <v>0</v>
      </c>
      <c r="P19" s="434">
        <f t="shared" si="18"/>
        <v>0</v>
      </c>
      <c r="Q19" s="431"/>
      <c r="R19" s="393">
        <f t="shared" si="0"/>
        <v>6</v>
      </c>
      <c r="S19" s="435">
        <f t="shared" si="1"/>
        <v>0</v>
      </c>
      <c r="T19" s="413">
        <f>'ORÇAMENTO GERAL'!$J$23</f>
        <v>185.62</v>
      </c>
      <c r="U19" s="412">
        <f t="shared" si="2"/>
        <v>0</v>
      </c>
      <c r="V19" s="413">
        <f>'ORÇAMENTO GERAL'!$J$24</f>
        <v>7.89</v>
      </c>
      <c r="W19" s="412">
        <f t="shared" si="3"/>
        <v>0</v>
      </c>
      <c r="X19" s="413">
        <f>'ORÇAMENTO GERAL'!$J$25</f>
        <v>6.31</v>
      </c>
      <c r="Y19" s="412">
        <f t="shared" si="4"/>
        <v>0</v>
      </c>
      <c r="Z19" s="413">
        <f>'ORÇAMENTO GERAL'!$J$26</f>
        <v>20.74</v>
      </c>
      <c r="AA19" s="412">
        <f t="shared" si="5"/>
        <v>0</v>
      </c>
      <c r="AB19" s="413">
        <f>'ORÇAMENTO GERAL'!$J$27</f>
        <v>45.16</v>
      </c>
      <c r="AC19" s="412">
        <f t="shared" si="6"/>
        <v>0</v>
      </c>
      <c r="AD19" s="413">
        <f>'ORÇAMENTO GERAL'!$J$28</f>
        <v>5.16</v>
      </c>
      <c r="AE19" s="412">
        <f t="shared" si="7"/>
        <v>0</v>
      </c>
      <c r="AF19" s="413">
        <f>'ORÇAMENTO GERAL'!$J$29</f>
        <v>62.07</v>
      </c>
      <c r="AG19" s="412">
        <f t="shared" si="8"/>
        <v>0</v>
      </c>
      <c r="AH19" s="413">
        <f>'ORÇAMENTO GERAL'!$J$30</f>
        <v>3.38</v>
      </c>
      <c r="AI19" s="413">
        <f t="shared" si="9"/>
        <v>0</v>
      </c>
    </row>
    <row r="20" spans="1:35" s="400" customFormat="1" ht="45" customHeight="1" hidden="1">
      <c r="A20" s="406">
        <v>7</v>
      </c>
      <c r="B20" s="407">
        <v>7</v>
      </c>
      <c r="C20" s="414"/>
      <c r="D20" s="411"/>
      <c r="E20" s="414">
        <f t="shared" si="10"/>
        <v>0</v>
      </c>
      <c r="F20" s="410">
        <v>0.9</v>
      </c>
      <c r="G20" s="410">
        <v>1</v>
      </c>
      <c r="H20" s="410">
        <v>0.05</v>
      </c>
      <c r="I20" s="410">
        <f t="shared" si="11"/>
        <v>0</v>
      </c>
      <c r="J20" s="410">
        <f t="shared" si="12"/>
        <v>0</v>
      </c>
      <c r="K20" s="410">
        <f t="shared" si="13"/>
        <v>0</v>
      </c>
      <c r="L20" s="410">
        <f t="shared" si="14"/>
        <v>0</v>
      </c>
      <c r="M20" s="411">
        <f t="shared" si="15"/>
        <v>0</v>
      </c>
      <c r="N20" s="411">
        <f t="shared" si="16"/>
        <v>0</v>
      </c>
      <c r="O20" s="411">
        <f t="shared" si="17"/>
        <v>0</v>
      </c>
      <c r="P20" s="434">
        <f t="shared" si="18"/>
        <v>0</v>
      </c>
      <c r="Q20" s="431"/>
      <c r="R20" s="393">
        <f t="shared" si="0"/>
        <v>7</v>
      </c>
      <c r="S20" s="435">
        <f t="shared" si="1"/>
        <v>0</v>
      </c>
      <c r="T20" s="413">
        <f>'ORÇAMENTO GERAL'!$J$23</f>
        <v>185.62</v>
      </c>
      <c r="U20" s="412">
        <f t="shared" si="2"/>
        <v>0</v>
      </c>
      <c r="V20" s="413">
        <f>'ORÇAMENTO GERAL'!$J$24</f>
        <v>7.89</v>
      </c>
      <c r="W20" s="412">
        <f t="shared" si="3"/>
        <v>0</v>
      </c>
      <c r="X20" s="413">
        <f>'ORÇAMENTO GERAL'!$J$25</f>
        <v>6.31</v>
      </c>
      <c r="Y20" s="412">
        <f t="shared" si="4"/>
        <v>0</v>
      </c>
      <c r="Z20" s="413">
        <f>'ORÇAMENTO GERAL'!$J$26</f>
        <v>20.74</v>
      </c>
      <c r="AA20" s="412">
        <f t="shared" si="5"/>
        <v>0</v>
      </c>
      <c r="AB20" s="413">
        <f>'ORÇAMENTO GERAL'!$J$27</f>
        <v>45.16</v>
      </c>
      <c r="AC20" s="412">
        <f t="shared" si="6"/>
        <v>0</v>
      </c>
      <c r="AD20" s="413">
        <f>'ORÇAMENTO GERAL'!$J$28</f>
        <v>5.16</v>
      </c>
      <c r="AE20" s="412">
        <f t="shared" si="7"/>
        <v>0</v>
      </c>
      <c r="AF20" s="413">
        <f>'ORÇAMENTO GERAL'!$J$29</f>
        <v>62.07</v>
      </c>
      <c r="AG20" s="412">
        <f t="shared" si="8"/>
        <v>0</v>
      </c>
      <c r="AH20" s="413">
        <f>'ORÇAMENTO GERAL'!$J$30</f>
        <v>3.38</v>
      </c>
      <c r="AI20" s="413">
        <f t="shared" si="9"/>
        <v>0</v>
      </c>
    </row>
    <row r="21" spans="1:35" s="400" customFormat="1" ht="45" customHeight="1" hidden="1">
      <c r="A21" s="406">
        <v>8</v>
      </c>
      <c r="B21" s="407">
        <v>8</v>
      </c>
      <c r="C21" s="410"/>
      <c r="D21" s="412"/>
      <c r="E21" s="414">
        <f t="shared" si="10"/>
        <v>0</v>
      </c>
      <c r="F21" s="410">
        <v>0.9</v>
      </c>
      <c r="G21" s="410">
        <v>1</v>
      </c>
      <c r="H21" s="410">
        <v>0.05</v>
      </c>
      <c r="I21" s="410">
        <f t="shared" si="11"/>
        <v>0</v>
      </c>
      <c r="J21" s="410">
        <f t="shared" si="12"/>
        <v>0</v>
      </c>
      <c r="K21" s="410">
        <f t="shared" si="13"/>
        <v>0</v>
      </c>
      <c r="L21" s="410">
        <f t="shared" si="14"/>
        <v>0</v>
      </c>
      <c r="M21" s="411">
        <f t="shared" si="15"/>
        <v>0</v>
      </c>
      <c r="N21" s="411">
        <f t="shared" si="16"/>
        <v>0</v>
      </c>
      <c r="O21" s="411">
        <f t="shared" si="17"/>
        <v>0</v>
      </c>
      <c r="P21" s="434">
        <f t="shared" si="18"/>
        <v>0</v>
      </c>
      <c r="Q21" s="431"/>
      <c r="R21" s="393">
        <f aca="true" t="shared" si="19" ref="R21:R30">B21</f>
        <v>8</v>
      </c>
      <c r="S21" s="435">
        <f aca="true" t="shared" si="20" ref="S21:S30">E21</f>
        <v>0</v>
      </c>
      <c r="T21" s="413">
        <f>'ORÇAMENTO GERAL'!$J$23</f>
        <v>185.62</v>
      </c>
      <c r="U21" s="412">
        <f aca="true" t="shared" si="21" ref="U21:U30">I21</f>
        <v>0</v>
      </c>
      <c r="V21" s="413">
        <f>'ORÇAMENTO GERAL'!$J$24</f>
        <v>7.89</v>
      </c>
      <c r="W21" s="412">
        <f aca="true" t="shared" si="22" ref="W21:W30">J21</f>
        <v>0</v>
      </c>
      <c r="X21" s="413">
        <f>'ORÇAMENTO GERAL'!$J$25</f>
        <v>6.31</v>
      </c>
      <c r="Y21" s="412">
        <f aca="true" t="shared" si="23" ref="Y21:Y30">L21</f>
        <v>0</v>
      </c>
      <c r="Z21" s="413">
        <f>'ORÇAMENTO GERAL'!$J$26</f>
        <v>20.74</v>
      </c>
      <c r="AA21" s="412">
        <f aca="true" t="shared" si="24" ref="AA21:AA30">M21</f>
        <v>0</v>
      </c>
      <c r="AB21" s="413">
        <f>'ORÇAMENTO GERAL'!$J$27</f>
        <v>45.16</v>
      </c>
      <c r="AC21" s="412">
        <f aca="true" t="shared" si="25" ref="AC21:AC30">N21</f>
        <v>0</v>
      </c>
      <c r="AD21" s="413">
        <f>'ORÇAMENTO GERAL'!$J$28</f>
        <v>5.16</v>
      </c>
      <c r="AE21" s="412">
        <f aca="true" t="shared" si="26" ref="AE21:AE30">O21</f>
        <v>0</v>
      </c>
      <c r="AF21" s="413">
        <f>'ORÇAMENTO GERAL'!$J$29</f>
        <v>62.07</v>
      </c>
      <c r="AG21" s="412">
        <f aca="true" t="shared" si="27" ref="AG21:AG30">P21</f>
        <v>0</v>
      </c>
      <c r="AH21" s="413">
        <f>'ORÇAMENTO GERAL'!$J$30</f>
        <v>3.38</v>
      </c>
      <c r="AI21" s="413">
        <f aca="true" t="shared" si="28" ref="AI21:AI30">(S21*T21)+(U21*V21)+(W21*X21)+(Y21*Z21)+(AA21*AB21)+(AC21*AD21)+(AE21*AF21)+(AG21*AH21)</f>
        <v>0</v>
      </c>
    </row>
    <row r="22" spans="1:35" s="400" customFormat="1" ht="45" customHeight="1" hidden="1">
      <c r="A22" s="406">
        <v>9</v>
      </c>
      <c r="B22" s="407">
        <v>9</v>
      </c>
      <c r="C22" s="414"/>
      <c r="D22" s="412"/>
      <c r="E22" s="414">
        <f t="shared" si="10"/>
        <v>0</v>
      </c>
      <c r="F22" s="410">
        <v>0.9</v>
      </c>
      <c r="G22" s="410">
        <v>1</v>
      </c>
      <c r="H22" s="410">
        <v>0.05</v>
      </c>
      <c r="I22" s="410">
        <f t="shared" si="11"/>
        <v>0</v>
      </c>
      <c r="J22" s="410">
        <f t="shared" si="12"/>
        <v>0</v>
      </c>
      <c r="K22" s="410">
        <f t="shared" si="13"/>
        <v>0</v>
      </c>
      <c r="L22" s="410">
        <f t="shared" si="14"/>
        <v>0</v>
      </c>
      <c r="M22" s="411">
        <f t="shared" si="15"/>
        <v>0</v>
      </c>
      <c r="N22" s="411">
        <f t="shared" si="16"/>
        <v>0</v>
      </c>
      <c r="O22" s="411">
        <f t="shared" si="17"/>
        <v>0</v>
      </c>
      <c r="P22" s="434">
        <f t="shared" si="18"/>
        <v>0</v>
      </c>
      <c r="Q22" s="431"/>
      <c r="R22" s="393">
        <f t="shared" si="19"/>
        <v>9</v>
      </c>
      <c r="S22" s="435">
        <f t="shared" si="20"/>
        <v>0</v>
      </c>
      <c r="T22" s="413">
        <f>'ORÇAMENTO GERAL'!$J$23</f>
        <v>185.62</v>
      </c>
      <c r="U22" s="412">
        <f t="shared" si="21"/>
        <v>0</v>
      </c>
      <c r="V22" s="413">
        <f>'ORÇAMENTO GERAL'!$J$24</f>
        <v>7.89</v>
      </c>
      <c r="W22" s="412">
        <f t="shared" si="22"/>
        <v>0</v>
      </c>
      <c r="X22" s="413">
        <f>'ORÇAMENTO GERAL'!$J$25</f>
        <v>6.31</v>
      </c>
      <c r="Y22" s="412">
        <f t="shared" si="23"/>
        <v>0</v>
      </c>
      <c r="Z22" s="413">
        <f>'ORÇAMENTO GERAL'!$J$26</f>
        <v>20.74</v>
      </c>
      <c r="AA22" s="412">
        <f t="shared" si="24"/>
        <v>0</v>
      </c>
      <c r="AB22" s="413">
        <f>'ORÇAMENTO GERAL'!$J$27</f>
        <v>45.16</v>
      </c>
      <c r="AC22" s="412">
        <f t="shared" si="25"/>
        <v>0</v>
      </c>
      <c r="AD22" s="413">
        <f>'ORÇAMENTO GERAL'!$J$28</f>
        <v>5.16</v>
      </c>
      <c r="AE22" s="412">
        <f t="shared" si="26"/>
        <v>0</v>
      </c>
      <c r="AF22" s="413">
        <f>'ORÇAMENTO GERAL'!$J$29</f>
        <v>62.07</v>
      </c>
      <c r="AG22" s="412">
        <f t="shared" si="27"/>
        <v>0</v>
      </c>
      <c r="AH22" s="413">
        <f>'ORÇAMENTO GERAL'!$J$30</f>
        <v>3.38</v>
      </c>
      <c r="AI22" s="413">
        <f t="shared" si="28"/>
        <v>0</v>
      </c>
    </row>
    <row r="23" spans="1:35" s="400" customFormat="1" ht="45" customHeight="1" hidden="1">
      <c r="A23" s="406">
        <v>10</v>
      </c>
      <c r="B23" s="407">
        <v>10</v>
      </c>
      <c r="C23" s="414"/>
      <c r="D23" s="412"/>
      <c r="E23" s="414">
        <f t="shared" si="10"/>
        <v>0</v>
      </c>
      <c r="F23" s="410">
        <v>0.9</v>
      </c>
      <c r="G23" s="410">
        <v>1</v>
      </c>
      <c r="H23" s="410">
        <v>0.05</v>
      </c>
      <c r="I23" s="410">
        <f t="shared" si="11"/>
        <v>0</v>
      </c>
      <c r="J23" s="410">
        <f t="shared" si="12"/>
        <v>0</v>
      </c>
      <c r="K23" s="410">
        <f t="shared" si="13"/>
        <v>0</v>
      </c>
      <c r="L23" s="410">
        <f t="shared" si="14"/>
        <v>0</v>
      </c>
      <c r="M23" s="411">
        <f t="shared" si="15"/>
        <v>0</v>
      </c>
      <c r="N23" s="411">
        <f t="shared" si="16"/>
        <v>0</v>
      </c>
      <c r="O23" s="411">
        <f t="shared" si="17"/>
        <v>0</v>
      </c>
      <c r="P23" s="434">
        <f t="shared" si="18"/>
        <v>0</v>
      </c>
      <c r="Q23" s="431"/>
      <c r="R23" s="393">
        <f t="shared" si="19"/>
        <v>10</v>
      </c>
      <c r="S23" s="435">
        <f t="shared" si="20"/>
        <v>0</v>
      </c>
      <c r="T23" s="413">
        <f>'ORÇAMENTO GERAL'!$J$23</f>
        <v>185.62</v>
      </c>
      <c r="U23" s="412">
        <f t="shared" si="21"/>
        <v>0</v>
      </c>
      <c r="V23" s="413">
        <f>'ORÇAMENTO GERAL'!$J$24</f>
        <v>7.89</v>
      </c>
      <c r="W23" s="412">
        <f t="shared" si="22"/>
        <v>0</v>
      </c>
      <c r="X23" s="413">
        <f>'ORÇAMENTO GERAL'!$J$25</f>
        <v>6.31</v>
      </c>
      <c r="Y23" s="412">
        <f t="shared" si="23"/>
        <v>0</v>
      </c>
      <c r="Z23" s="413">
        <f>'ORÇAMENTO GERAL'!$J$26</f>
        <v>20.74</v>
      </c>
      <c r="AA23" s="412">
        <f t="shared" si="24"/>
        <v>0</v>
      </c>
      <c r="AB23" s="413">
        <f>'ORÇAMENTO GERAL'!$J$27</f>
        <v>45.16</v>
      </c>
      <c r="AC23" s="412">
        <f t="shared" si="25"/>
        <v>0</v>
      </c>
      <c r="AD23" s="413">
        <f>'ORÇAMENTO GERAL'!$J$28</f>
        <v>5.16</v>
      </c>
      <c r="AE23" s="412">
        <f t="shared" si="26"/>
        <v>0</v>
      </c>
      <c r="AF23" s="413">
        <f>'ORÇAMENTO GERAL'!$J$29</f>
        <v>62.07</v>
      </c>
      <c r="AG23" s="412">
        <f t="shared" si="27"/>
        <v>0</v>
      </c>
      <c r="AH23" s="413">
        <f>'ORÇAMENTO GERAL'!$J$30</f>
        <v>3.38</v>
      </c>
      <c r="AI23" s="413">
        <f t="shared" si="28"/>
        <v>0</v>
      </c>
    </row>
    <row r="24" spans="1:35" s="400" customFormat="1" ht="45" customHeight="1" hidden="1">
      <c r="A24" s="406">
        <v>11</v>
      </c>
      <c r="B24" s="407">
        <v>11</v>
      </c>
      <c r="C24" s="414"/>
      <c r="D24" s="412"/>
      <c r="E24" s="414">
        <f t="shared" si="10"/>
        <v>0</v>
      </c>
      <c r="F24" s="410">
        <v>0.9</v>
      </c>
      <c r="G24" s="410">
        <v>1</v>
      </c>
      <c r="H24" s="410">
        <v>0.05</v>
      </c>
      <c r="I24" s="410">
        <f t="shared" si="11"/>
        <v>0</v>
      </c>
      <c r="J24" s="410">
        <f t="shared" si="12"/>
        <v>0</v>
      </c>
      <c r="K24" s="410">
        <f t="shared" si="13"/>
        <v>0</v>
      </c>
      <c r="L24" s="410">
        <f t="shared" si="14"/>
        <v>0</v>
      </c>
      <c r="M24" s="411">
        <f t="shared" si="15"/>
        <v>0</v>
      </c>
      <c r="N24" s="411">
        <f t="shared" si="16"/>
        <v>0</v>
      </c>
      <c r="O24" s="411">
        <f t="shared" si="17"/>
        <v>0</v>
      </c>
      <c r="P24" s="434">
        <f t="shared" si="18"/>
        <v>0</v>
      </c>
      <c r="Q24" s="431"/>
      <c r="R24" s="393">
        <f t="shared" si="19"/>
        <v>11</v>
      </c>
      <c r="S24" s="435">
        <f t="shared" si="20"/>
        <v>0</v>
      </c>
      <c r="T24" s="413">
        <f>'ORÇAMENTO GERAL'!$J$23</f>
        <v>185.62</v>
      </c>
      <c r="U24" s="412">
        <f t="shared" si="21"/>
        <v>0</v>
      </c>
      <c r="V24" s="413">
        <f>'ORÇAMENTO GERAL'!$J$24</f>
        <v>7.89</v>
      </c>
      <c r="W24" s="412">
        <f t="shared" si="22"/>
        <v>0</v>
      </c>
      <c r="X24" s="413">
        <f>'ORÇAMENTO GERAL'!$J$25</f>
        <v>6.31</v>
      </c>
      <c r="Y24" s="412">
        <f t="shared" si="23"/>
        <v>0</v>
      </c>
      <c r="Z24" s="413">
        <f>'ORÇAMENTO GERAL'!$J$26</f>
        <v>20.74</v>
      </c>
      <c r="AA24" s="412">
        <f t="shared" si="24"/>
        <v>0</v>
      </c>
      <c r="AB24" s="413">
        <f>'ORÇAMENTO GERAL'!$J$27</f>
        <v>45.16</v>
      </c>
      <c r="AC24" s="412">
        <f t="shared" si="25"/>
        <v>0</v>
      </c>
      <c r="AD24" s="413">
        <f>'ORÇAMENTO GERAL'!$J$28</f>
        <v>5.16</v>
      </c>
      <c r="AE24" s="412">
        <f t="shared" si="26"/>
        <v>0</v>
      </c>
      <c r="AF24" s="413">
        <f>'ORÇAMENTO GERAL'!$J$29</f>
        <v>62.07</v>
      </c>
      <c r="AG24" s="412">
        <f t="shared" si="27"/>
        <v>0</v>
      </c>
      <c r="AH24" s="413">
        <f>'ORÇAMENTO GERAL'!$J$30</f>
        <v>3.38</v>
      </c>
      <c r="AI24" s="413">
        <f t="shared" si="28"/>
        <v>0</v>
      </c>
    </row>
    <row r="25" spans="1:35" s="400" customFormat="1" ht="45" customHeight="1" hidden="1">
      <c r="A25" s="406">
        <v>12</v>
      </c>
      <c r="B25" s="407">
        <v>12</v>
      </c>
      <c r="C25" s="414"/>
      <c r="D25" s="411"/>
      <c r="E25" s="414">
        <f t="shared" si="10"/>
        <v>0</v>
      </c>
      <c r="F25" s="410">
        <v>0.9</v>
      </c>
      <c r="G25" s="410">
        <v>1</v>
      </c>
      <c r="H25" s="410">
        <v>0.05</v>
      </c>
      <c r="I25" s="410">
        <f t="shared" si="11"/>
        <v>0</v>
      </c>
      <c r="J25" s="410">
        <f t="shared" si="12"/>
        <v>0</v>
      </c>
      <c r="K25" s="410">
        <f t="shared" si="13"/>
        <v>0</v>
      </c>
      <c r="L25" s="410">
        <f t="shared" si="14"/>
        <v>0</v>
      </c>
      <c r="M25" s="411">
        <f t="shared" si="15"/>
        <v>0</v>
      </c>
      <c r="N25" s="411">
        <f t="shared" si="16"/>
        <v>0</v>
      </c>
      <c r="O25" s="411">
        <f t="shared" si="17"/>
        <v>0</v>
      </c>
      <c r="P25" s="434">
        <f t="shared" si="18"/>
        <v>0</v>
      </c>
      <c r="Q25" s="431"/>
      <c r="R25" s="393">
        <f>B25</f>
        <v>12</v>
      </c>
      <c r="S25" s="435">
        <f>E25</f>
        <v>0</v>
      </c>
      <c r="T25" s="413">
        <f>'ORÇAMENTO GERAL'!$J$23</f>
        <v>185.62</v>
      </c>
      <c r="U25" s="412">
        <f>I25</f>
        <v>0</v>
      </c>
      <c r="V25" s="413">
        <f>'ORÇAMENTO GERAL'!$J$24</f>
        <v>7.89</v>
      </c>
      <c r="W25" s="412">
        <f>J25</f>
        <v>0</v>
      </c>
      <c r="X25" s="413">
        <f>'ORÇAMENTO GERAL'!$J$25</f>
        <v>6.31</v>
      </c>
      <c r="Y25" s="412">
        <f>L25</f>
        <v>0</v>
      </c>
      <c r="Z25" s="413">
        <f>'ORÇAMENTO GERAL'!$J$26</f>
        <v>20.74</v>
      </c>
      <c r="AA25" s="412">
        <f>M25</f>
        <v>0</v>
      </c>
      <c r="AB25" s="413">
        <f>'ORÇAMENTO GERAL'!$J$27</f>
        <v>45.16</v>
      </c>
      <c r="AC25" s="412">
        <f>N25</f>
        <v>0</v>
      </c>
      <c r="AD25" s="413">
        <f>'ORÇAMENTO GERAL'!$J$28</f>
        <v>5.16</v>
      </c>
      <c r="AE25" s="412">
        <f>O25</f>
        <v>0</v>
      </c>
      <c r="AF25" s="413">
        <f>'ORÇAMENTO GERAL'!$J$29</f>
        <v>62.07</v>
      </c>
      <c r="AG25" s="412">
        <f>P25</f>
        <v>0</v>
      </c>
      <c r="AH25" s="413">
        <f>'ORÇAMENTO GERAL'!$J$30</f>
        <v>3.38</v>
      </c>
      <c r="AI25" s="413">
        <f>(S25*T25)+(U25*V25)+(W25*X25)+(Y25*Z25)+(AA25*AB25)+(AC25*AD25)+(AE25*AF25)+(AG25*AH25)</f>
        <v>0</v>
      </c>
    </row>
    <row r="26" spans="1:35" s="400" customFormat="1" ht="45" customHeight="1" hidden="1">
      <c r="A26" s="406">
        <v>13</v>
      </c>
      <c r="B26" s="407">
        <v>13</v>
      </c>
      <c r="C26" s="410"/>
      <c r="D26" s="412"/>
      <c r="E26" s="414">
        <f t="shared" si="10"/>
        <v>0</v>
      </c>
      <c r="F26" s="410">
        <v>0.9</v>
      </c>
      <c r="G26" s="410">
        <v>1</v>
      </c>
      <c r="H26" s="410">
        <v>0.05</v>
      </c>
      <c r="I26" s="410">
        <f t="shared" si="11"/>
        <v>0</v>
      </c>
      <c r="J26" s="410">
        <f t="shared" si="12"/>
        <v>0</v>
      </c>
      <c r="K26" s="410">
        <f t="shared" si="13"/>
        <v>0</v>
      </c>
      <c r="L26" s="410">
        <f t="shared" si="14"/>
        <v>0</v>
      </c>
      <c r="M26" s="411">
        <f t="shared" si="15"/>
        <v>0</v>
      </c>
      <c r="N26" s="411">
        <f t="shared" si="16"/>
        <v>0</v>
      </c>
      <c r="O26" s="411">
        <f t="shared" si="17"/>
        <v>0</v>
      </c>
      <c r="P26" s="434">
        <f t="shared" si="18"/>
        <v>0</v>
      </c>
      <c r="Q26" s="431"/>
      <c r="R26" s="393">
        <f>B26</f>
        <v>13</v>
      </c>
      <c r="S26" s="435">
        <f>E26</f>
        <v>0</v>
      </c>
      <c r="T26" s="413">
        <f>'ORÇAMENTO GERAL'!$J$23</f>
        <v>185.62</v>
      </c>
      <c r="U26" s="412">
        <f>I26</f>
        <v>0</v>
      </c>
      <c r="V26" s="413">
        <f>'ORÇAMENTO GERAL'!$J$24</f>
        <v>7.89</v>
      </c>
      <c r="W26" s="412">
        <f>J26</f>
        <v>0</v>
      </c>
      <c r="X26" s="413">
        <f>'ORÇAMENTO GERAL'!$J$25</f>
        <v>6.31</v>
      </c>
      <c r="Y26" s="412">
        <f>L26</f>
        <v>0</v>
      </c>
      <c r="Z26" s="413">
        <f>'ORÇAMENTO GERAL'!$J$26</f>
        <v>20.74</v>
      </c>
      <c r="AA26" s="412">
        <f>M26</f>
        <v>0</v>
      </c>
      <c r="AB26" s="413">
        <f>'ORÇAMENTO GERAL'!$J$27</f>
        <v>45.16</v>
      </c>
      <c r="AC26" s="412">
        <f>N26</f>
        <v>0</v>
      </c>
      <c r="AD26" s="413">
        <f>'ORÇAMENTO GERAL'!$J$28</f>
        <v>5.16</v>
      </c>
      <c r="AE26" s="412">
        <f>O26</f>
        <v>0</v>
      </c>
      <c r="AF26" s="413">
        <f>'ORÇAMENTO GERAL'!$J$29</f>
        <v>62.07</v>
      </c>
      <c r="AG26" s="412">
        <f>P26</f>
        <v>0</v>
      </c>
      <c r="AH26" s="413">
        <f>'ORÇAMENTO GERAL'!$J$30</f>
        <v>3.38</v>
      </c>
      <c r="AI26" s="413">
        <f>(S26*T26)+(U26*V26)+(W26*X26)+(Y26*Z26)+(AA26*AB26)+(AC26*AD26)+(AE26*AF26)+(AG26*AH26)</f>
        <v>0</v>
      </c>
    </row>
    <row r="27" spans="1:35" s="400" customFormat="1" ht="45" customHeight="1" hidden="1">
      <c r="A27" s="406">
        <v>14</v>
      </c>
      <c r="B27" s="407">
        <v>14</v>
      </c>
      <c r="C27" s="414"/>
      <c r="D27" s="412"/>
      <c r="E27" s="414">
        <f t="shared" si="10"/>
        <v>0</v>
      </c>
      <c r="F27" s="410">
        <v>0.9</v>
      </c>
      <c r="G27" s="410">
        <v>1</v>
      </c>
      <c r="H27" s="410">
        <v>0.05</v>
      </c>
      <c r="I27" s="410">
        <f t="shared" si="11"/>
        <v>0</v>
      </c>
      <c r="J27" s="410">
        <f t="shared" si="12"/>
        <v>0</v>
      </c>
      <c r="K27" s="410">
        <f t="shared" si="13"/>
        <v>0</v>
      </c>
      <c r="L27" s="410">
        <f t="shared" si="14"/>
        <v>0</v>
      </c>
      <c r="M27" s="411">
        <f t="shared" si="15"/>
        <v>0</v>
      </c>
      <c r="N27" s="411">
        <f t="shared" si="16"/>
        <v>0</v>
      </c>
      <c r="O27" s="411">
        <f t="shared" si="17"/>
        <v>0</v>
      </c>
      <c r="P27" s="434">
        <f t="shared" si="18"/>
        <v>0</v>
      </c>
      <c r="Q27" s="431"/>
      <c r="R27" s="393">
        <f>B27</f>
        <v>14</v>
      </c>
      <c r="S27" s="435">
        <f>E27</f>
        <v>0</v>
      </c>
      <c r="T27" s="413">
        <f>'ORÇAMENTO GERAL'!$J$23</f>
        <v>185.62</v>
      </c>
      <c r="U27" s="412">
        <f>I27</f>
        <v>0</v>
      </c>
      <c r="V27" s="413">
        <f>'ORÇAMENTO GERAL'!$J$24</f>
        <v>7.89</v>
      </c>
      <c r="W27" s="412">
        <f>J27</f>
        <v>0</v>
      </c>
      <c r="X27" s="413">
        <f>'ORÇAMENTO GERAL'!$J$25</f>
        <v>6.31</v>
      </c>
      <c r="Y27" s="412">
        <f>L27</f>
        <v>0</v>
      </c>
      <c r="Z27" s="413">
        <f>'ORÇAMENTO GERAL'!$J$26</f>
        <v>20.74</v>
      </c>
      <c r="AA27" s="412">
        <f>M27</f>
        <v>0</v>
      </c>
      <c r="AB27" s="413">
        <f>'ORÇAMENTO GERAL'!$J$27</f>
        <v>45.16</v>
      </c>
      <c r="AC27" s="412">
        <f>N27</f>
        <v>0</v>
      </c>
      <c r="AD27" s="413">
        <f>'ORÇAMENTO GERAL'!$J$28</f>
        <v>5.16</v>
      </c>
      <c r="AE27" s="412">
        <f>O27</f>
        <v>0</v>
      </c>
      <c r="AF27" s="413">
        <f>'ORÇAMENTO GERAL'!$J$29</f>
        <v>62.07</v>
      </c>
      <c r="AG27" s="412">
        <f>P27</f>
        <v>0</v>
      </c>
      <c r="AH27" s="413">
        <f>'ORÇAMENTO GERAL'!$J$30</f>
        <v>3.38</v>
      </c>
      <c r="AI27" s="413">
        <f>(S27*T27)+(U27*V27)+(W27*X27)+(Y27*Z27)+(AA27*AB27)+(AC27*AD27)+(AE27*AF27)+(AG27*AH27)</f>
        <v>0</v>
      </c>
    </row>
    <row r="28" spans="1:35" s="400" customFormat="1" ht="45" customHeight="1" hidden="1">
      <c r="A28" s="406">
        <v>15</v>
      </c>
      <c r="B28" s="407">
        <v>15</v>
      </c>
      <c r="C28" s="414"/>
      <c r="D28" s="412"/>
      <c r="E28" s="414">
        <f t="shared" si="10"/>
        <v>0</v>
      </c>
      <c r="F28" s="410">
        <v>0.9</v>
      </c>
      <c r="G28" s="410">
        <v>1</v>
      </c>
      <c r="H28" s="410">
        <v>0.05</v>
      </c>
      <c r="I28" s="410">
        <f t="shared" si="11"/>
        <v>0</v>
      </c>
      <c r="J28" s="410">
        <f t="shared" si="12"/>
        <v>0</v>
      </c>
      <c r="K28" s="410">
        <f t="shared" si="13"/>
        <v>0</v>
      </c>
      <c r="L28" s="410">
        <f t="shared" si="14"/>
        <v>0</v>
      </c>
      <c r="M28" s="411">
        <f t="shared" si="15"/>
        <v>0</v>
      </c>
      <c r="N28" s="411">
        <f t="shared" si="16"/>
        <v>0</v>
      </c>
      <c r="O28" s="411">
        <f t="shared" si="17"/>
        <v>0</v>
      </c>
      <c r="P28" s="434">
        <f t="shared" si="18"/>
        <v>0</v>
      </c>
      <c r="Q28" s="431"/>
      <c r="R28" s="393">
        <f>B28</f>
        <v>15</v>
      </c>
      <c r="S28" s="435">
        <f>E28</f>
        <v>0</v>
      </c>
      <c r="T28" s="413">
        <f>'ORÇAMENTO GERAL'!$J$23</f>
        <v>185.62</v>
      </c>
      <c r="U28" s="412">
        <f>I28</f>
        <v>0</v>
      </c>
      <c r="V28" s="413">
        <f>'ORÇAMENTO GERAL'!$J$24</f>
        <v>7.89</v>
      </c>
      <c r="W28" s="412">
        <f>J28</f>
        <v>0</v>
      </c>
      <c r="X28" s="413">
        <f>'ORÇAMENTO GERAL'!$J$25</f>
        <v>6.31</v>
      </c>
      <c r="Y28" s="412">
        <f>L28</f>
        <v>0</v>
      </c>
      <c r="Z28" s="413">
        <f>'ORÇAMENTO GERAL'!$J$26</f>
        <v>20.74</v>
      </c>
      <c r="AA28" s="412">
        <f>M28</f>
        <v>0</v>
      </c>
      <c r="AB28" s="413">
        <f>'ORÇAMENTO GERAL'!$J$27</f>
        <v>45.16</v>
      </c>
      <c r="AC28" s="412">
        <f>N28</f>
        <v>0</v>
      </c>
      <c r="AD28" s="413">
        <f>'ORÇAMENTO GERAL'!$J$28</f>
        <v>5.16</v>
      </c>
      <c r="AE28" s="412">
        <f>O28</f>
        <v>0</v>
      </c>
      <c r="AF28" s="413">
        <f>'ORÇAMENTO GERAL'!$J$29</f>
        <v>62.07</v>
      </c>
      <c r="AG28" s="412">
        <f>P28</f>
        <v>0</v>
      </c>
      <c r="AH28" s="413">
        <f>'ORÇAMENTO GERAL'!$J$30</f>
        <v>3.38</v>
      </c>
      <c r="AI28" s="413">
        <f>(S28*T28)+(U28*V28)+(W28*X28)+(Y28*Z28)+(AA28*AB28)+(AC28*AD28)+(AE28*AF28)+(AG28*AH28)</f>
        <v>0</v>
      </c>
    </row>
    <row r="29" spans="1:35" s="400" customFormat="1" ht="45" customHeight="1" hidden="1">
      <c r="A29" s="406">
        <v>16</v>
      </c>
      <c r="B29" s="407">
        <v>16</v>
      </c>
      <c r="C29" s="414"/>
      <c r="D29" s="412"/>
      <c r="E29" s="414">
        <f t="shared" si="10"/>
        <v>0</v>
      </c>
      <c r="F29" s="410">
        <v>0.9</v>
      </c>
      <c r="G29" s="410">
        <v>1</v>
      </c>
      <c r="H29" s="410">
        <v>0.05</v>
      </c>
      <c r="I29" s="410">
        <f t="shared" si="11"/>
        <v>0</v>
      </c>
      <c r="J29" s="410">
        <f t="shared" si="12"/>
        <v>0</v>
      </c>
      <c r="K29" s="410">
        <f t="shared" si="13"/>
        <v>0</v>
      </c>
      <c r="L29" s="410">
        <f t="shared" si="14"/>
        <v>0</v>
      </c>
      <c r="M29" s="411">
        <f t="shared" si="15"/>
        <v>0</v>
      </c>
      <c r="N29" s="411">
        <f t="shared" si="16"/>
        <v>0</v>
      </c>
      <c r="O29" s="411">
        <f t="shared" si="17"/>
        <v>0</v>
      </c>
      <c r="P29" s="434">
        <f t="shared" si="18"/>
        <v>0</v>
      </c>
      <c r="Q29" s="431"/>
      <c r="R29" s="393">
        <f>B29</f>
        <v>16</v>
      </c>
      <c r="S29" s="435">
        <f>E29</f>
        <v>0</v>
      </c>
      <c r="T29" s="413">
        <f>'ORÇAMENTO GERAL'!$J$23</f>
        <v>185.62</v>
      </c>
      <c r="U29" s="412">
        <f>I29</f>
        <v>0</v>
      </c>
      <c r="V29" s="413">
        <f>'ORÇAMENTO GERAL'!$J$24</f>
        <v>7.89</v>
      </c>
      <c r="W29" s="412">
        <f>J29</f>
        <v>0</v>
      </c>
      <c r="X29" s="413">
        <f>'ORÇAMENTO GERAL'!$J$25</f>
        <v>6.31</v>
      </c>
      <c r="Y29" s="412">
        <f>L29</f>
        <v>0</v>
      </c>
      <c r="Z29" s="413">
        <f>'ORÇAMENTO GERAL'!$J$26</f>
        <v>20.74</v>
      </c>
      <c r="AA29" s="412">
        <f>M29</f>
        <v>0</v>
      </c>
      <c r="AB29" s="413">
        <f>'ORÇAMENTO GERAL'!$J$27</f>
        <v>45.16</v>
      </c>
      <c r="AC29" s="412">
        <f>N29</f>
        <v>0</v>
      </c>
      <c r="AD29" s="413">
        <f>'ORÇAMENTO GERAL'!$J$28</f>
        <v>5.16</v>
      </c>
      <c r="AE29" s="412">
        <f>O29</f>
        <v>0</v>
      </c>
      <c r="AF29" s="413">
        <f>'ORÇAMENTO GERAL'!$J$29</f>
        <v>62.07</v>
      </c>
      <c r="AG29" s="412">
        <f>P29</f>
        <v>0</v>
      </c>
      <c r="AH29" s="413">
        <f>'ORÇAMENTO GERAL'!$J$30</f>
        <v>3.38</v>
      </c>
      <c r="AI29" s="413">
        <f>(S29*T29)+(U29*V29)+(W29*X29)+(Y29*Z29)+(AA29*AB29)+(AC29*AD29)+(AE29*AF29)+(AG29*AH29)</f>
        <v>0</v>
      </c>
    </row>
    <row r="30" spans="1:35" s="400" customFormat="1" ht="45" customHeight="1" hidden="1">
      <c r="A30" s="406">
        <v>17</v>
      </c>
      <c r="B30" s="407">
        <v>17</v>
      </c>
      <c r="C30" s="414"/>
      <c r="D30" s="411"/>
      <c r="E30" s="414">
        <f t="shared" si="10"/>
        <v>0</v>
      </c>
      <c r="F30" s="410">
        <v>0.9</v>
      </c>
      <c r="G30" s="410">
        <v>1</v>
      </c>
      <c r="H30" s="410">
        <v>0.05</v>
      </c>
      <c r="I30" s="410">
        <f t="shared" si="11"/>
        <v>0</v>
      </c>
      <c r="J30" s="410">
        <f t="shared" si="12"/>
        <v>0</v>
      </c>
      <c r="K30" s="410">
        <f t="shared" si="13"/>
        <v>0</v>
      </c>
      <c r="L30" s="410">
        <f t="shared" si="14"/>
        <v>0</v>
      </c>
      <c r="M30" s="411">
        <f t="shared" si="15"/>
        <v>0</v>
      </c>
      <c r="N30" s="411">
        <f t="shared" si="16"/>
        <v>0</v>
      </c>
      <c r="O30" s="411">
        <f t="shared" si="17"/>
        <v>0</v>
      </c>
      <c r="P30" s="434">
        <f t="shared" si="18"/>
        <v>0</v>
      </c>
      <c r="Q30" s="431"/>
      <c r="R30" s="393">
        <f t="shared" si="19"/>
        <v>17</v>
      </c>
      <c r="S30" s="435">
        <f t="shared" si="20"/>
        <v>0</v>
      </c>
      <c r="T30" s="413">
        <f>'ORÇAMENTO GERAL'!$J$23</f>
        <v>185.62</v>
      </c>
      <c r="U30" s="412">
        <f t="shared" si="21"/>
        <v>0</v>
      </c>
      <c r="V30" s="413">
        <f>'ORÇAMENTO GERAL'!$J$24</f>
        <v>7.89</v>
      </c>
      <c r="W30" s="412">
        <f t="shared" si="22"/>
        <v>0</v>
      </c>
      <c r="X30" s="413">
        <f>'ORÇAMENTO GERAL'!$J$25</f>
        <v>6.31</v>
      </c>
      <c r="Y30" s="412">
        <f t="shared" si="23"/>
        <v>0</v>
      </c>
      <c r="Z30" s="413">
        <f>'ORÇAMENTO GERAL'!$J$26</f>
        <v>20.74</v>
      </c>
      <c r="AA30" s="412">
        <f t="shared" si="24"/>
        <v>0</v>
      </c>
      <c r="AB30" s="413">
        <f>'ORÇAMENTO GERAL'!$J$27</f>
        <v>45.16</v>
      </c>
      <c r="AC30" s="412">
        <f t="shared" si="25"/>
        <v>0</v>
      </c>
      <c r="AD30" s="413">
        <f>'ORÇAMENTO GERAL'!$J$28</f>
        <v>5.16</v>
      </c>
      <c r="AE30" s="412">
        <f t="shared" si="26"/>
        <v>0</v>
      </c>
      <c r="AF30" s="413">
        <f>'ORÇAMENTO GERAL'!$J$29</f>
        <v>62.07</v>
      </c>
      <c r="AG30" s="412">
        <f t="shared" si="27"/>
        <v>0</v>
      </c>
      <c r="AH30" s="413">
        <f>'ORÇAMENTO GERAL'!$J$30</f>
        <v>3.38</v>
      </c>
      <c r="AI30" s="413">
        <f t="shared" si="28"/>
        <v>0</v>
      </c>
    </row>
    <row r="31" spans="1:35" s="400" customFormat="1" ht="45" customHeight="1" hidden="1">
      <c r="A31" s="406">
        <v>18</v>
      </c>
      <c r="B31" s="407">
        <v>18</v>
      </c>
      <c r="C31" s="410"/>
      <c r="D31" s="412"/>
      <c r="E31" s="414">
        <f t="shared" si="10"/>
        <v>0</v>
      </c>
      <c r="F31" s="410">
        <v>0.9</v>
      </c>
      <c r="G31" s="410">
        <v>1</v>
      </c>
      <c r="H31" s="410">
        <v>0.05</v>
      </c>
      <c r="I31" s="410">
        <f t="shared" si="11"/>
        <v>0</v>
      </c>
      <c r="J31" s="410">
        <f t="shared" si="12"/>
        <v>0</v>
      </c>
      <c r="K31" s="410">
        <f t="shared" si="13"/>
        <v>0</v>
      </c>
      <c r="L31" s="410">
        <f t="shared" si="14"/>
        <v>0</v>
      </c>
      <c r="M31" s="411">
        <f t="shared" si="15"/>
        <v>0</v>
      </c>
      <c r="N31" s="411">
        <f t="shared" si="16"/>
        <v>0</v>
      </c>
      <c r="O31" s="411">
        <f t="shared" si="17"/>
        <v>0</v>
      </c>
      <c r="P31" s="434">
        <f t="shared" si="18"/>
        <v>0</v>
      </c>
      <c r="Q31" s="431"/>
      <c r="R31" s="393">
        <f>B31</f>
        <v>18</v>
      </c>
      <c r="S31" s="435">
        <f>E31</f>
        <v>0</v>
      </c>
      <c r="T31" s="413">
        <f>'ORÇAMENTO GERAL'!$J$23</f>
        <v>185.62</v>
      </c>
      <c r="U31" s="412">
        <f>I31</f>
        <v>0</v>
      </c>
      <c r="V31" s="413">
        <f>'ORÇAMENTO GERAL'!$J$24</f>
        <v>7.89</v>
      </c>
      <c r="W31" s="412">
        <f>J31</f>
        <v>0</v>
      </c>
      <c r="X31" s="413">
        <f>'ORÇAMENTO GERAL'!$J$25</f>
        <v>6.31</v>
      </c>
      <c r="Y31" s="412">
        <f>L31</f>
        <v>0</v>
      </c>
      <c r="Z31" s="413">
        <f>'ORÇAMENTO GERAL'!$J$26</f>
        <v>20.74</v>
      </c>
      <c r="AA31" s="412">
        <f>M31</f>
        <v>0</v>
      </c>
      <c r="AB31" s="413">
        <f>'ORÇAMENTO GERAL'!$J$27</f>
        <v>45.16</v>
      </c>
      <c r="AC31" s="412">
        <f>N31</f>
        <v>0</v>
      </c>
      <c r="AD31" s="413">
        <f>'ORÇAMENTO GERAL'!$J$28</f>
        <v>5.16</v>
      </c>
      <c r="AE31" s="412">
        <f>O31</f>
        <v>0</v>
      </c>
      <c r="AF31" s="413">
        <f>'ORÇAMENTO GERAL'!$J$29</f>
        <v>62.07</v>
      </c>
      <c r="AG31" s="412">
        <f>P31</f>
        <v>0</v>
      </c>
      <c r="AH31" s="413">
        <f>'ORÇAMENTO GERAL'!$J$30</f>
        <v>3.38</v>
      </c>
      <c r="AI31" s="413">
        <f>(S31*T31)+(U31*V31)+(W31*X31)+(Y31*Z31)+(AA31*AB31)+(AC31*AD31)+(AE31*AF31)+(AG31*AH31)</f>
        <v>0</v>
      </c>
    </row>
    <row r="32" spans="1:35" s="400" customFormat="1" ht="45" customHeight="1" hidden="1" thickBot="1">
      <c r="A32" s="406">
        <v>19</v>
      </c>
      <c r="B32" s="407">
        <v>19</v>
      </c>
      <c r="C32" s="414"/>
      <c r="D32" s="412"/>
      <c r="E32" s="414">
        <f t="shared" si="10"/>
        <v>0</v>
      </c>
      <c r="F32" s="410">
        <v>0.9</v>
      </c>
      <c r="G32" s="410">
        <v>1</v>
      </c>
      <c r="H32" s="410">
        <v>0.05</v>
      </c>
      <c r="I32" s="410">
        <f t="shared" si="11"/>
        <v>0</v>
      </c>
      <c r="J32" s="410">
        <f t="shared" si="12"/>
        <v>0</v>
      </c>
      <c r="K32" s="410">
        <f t="shared" si="13"/>
        <v>0</v>
      </c>
      <c r="L32" s="410">
        <f t="shared" si="14"/>
        <v>0</v>
      </c>
      <c r="M32" s="411">
        <f t="shared" si="15"/>
        <v>0</v>
      </c>
      <c r="N32" s="411">
        <f t="shared" si="16"/>
        <v>0</v>
      </c>
      <c r="O32" s="411">
        <f t="shared" si="17"/>
        <v>0</v>
      </c>
      <c r="P32" s="434">
        <f t="shared" si="18"/>
        <v>0</v>
      </c>
      <c r="Q32" s="431"/>
      <c r="R32" s="393">
        <f>B32</f>
        <v>19</v>
      </c>
      <c r="S32" s="435">
        <f>E32</f>
        <v>0</v>
      </c>
      <c r="T32" s="413">
        <f>'ORÇAMENTO GERAL'!$J$23</f>
        <v>185.62</v>
      </c>
      <c r="U32" s="412">
        <f>I32</f>
        <v>0</v>
      </c>
      <c r="V32" s="413">
        <f>'ORÇAMENTO GERAL'!$J$24</f>
        <v>7.89</v>
      </c>
      <c r="W32" s="412">
        <f>J32</f>
        <v>0</v>
      </c>
      <c r="X32" s="413">
        <f>'ORÇAMENTO GERAL'!$J$25</f>
        <v>6.31</v>
      </c>
      <c r="Y32" s="412">
        <f>L32</f>
        <v>0</v>
      </c>
      <c r="Z32" s="413">
        <f>'ORÇAMENTO GERAL'!$J$26</f>
        <v>20.74</v>
      </c>
      <c r="AA32" s="412">
        <f>M32</f>
        <v>0</v>
      </c>
      <c r="AB32" s="413">
        <f>'ORÇAMENTO GERAL'!$J$27</f>
        <v>45.16</v>
      </c>
      <c r="AC32" s="412">
        <f>N32</f>
        <v>0</v>
      </c>
      <c r="AD32" s="413">
        <f>'ORÇAMENTO GERAL'!$J$28</f>
        <v>5.16</v>
      </c>
      <c r="AE32" s="412">
        <f>O32</f>
        <v>0</v>
      </c>
      <c r="AF32" s="413">
        <f>'ORÇAMENTO GERAL'!$J$29</f>
        <v>62.07</v>
      </c>
      <c r="AG32" s="412">
        <f>P32</f>
        <v>0</v>
      </c>
      <c r="AH32" s="413">
        <f>'ORÇAMENTO GERAL'!$J$30</f>
        <v>3.38</v>
      </c>
      <c r="AI32" s="413">
        <f>(S32*T32)+(U32*V32)+(W32*X32)+(Y32*Z32)+(AA32*AB32)+(AC32*AD32)+(AE32*AF32)+(AG32*AH32)</f>
        <v>0</v>
      </c>
    </row>
    <row r="33" spans="1:35" s="400" customFormat="1" ht="45" customHeight="1" hidden="1" thickBot="1">
      <c r="A33" s="406">
        <v>20</v>
      </c>
      <c r="B33" s="407">
        <v>20</v>
      </c>
      <c r="C33" s="414"/>
      <c r="D33" s="412"/>
      <c r="E33" s="409">
        <f t="shared" si="10"/>
        <v>0</v>
      </c>
      <c r="F33" s="410">
        <v>0.9</v>
      </c>
      <c r="G33" s="410">
        <v>1</v>
      </c>
      <c r="H33" s="410">
        <v>0.05</v>
      </c>
      <c r="I33" s="410">
        <f t="shared" si="11"/>
        <v>0</v>
      </c>
      <c r="J33" s="410">
        <f t="shared" si="12"/>
        <v>0</v>
      </c>
      <c r="K33" s="410">
        <f t="shared" si="13"/>
        <v>0</v>
      </c>
      <c r="L33" s="410">
        <f t="shared" si="14"/>
        <v>0</v>
      </c>
      <c r="M33" s="411">
        <f t="shared" si="15"/>
        <v>0</v>
      </c>
      <c r="N33" s="411">
        <f t="shared" si="16"/>
        <v>0</v>
      </c>
      <c r="O33" s="411">
        <f t="shared" si="17"/>
        <v>0</v>
      </c>
      <c r="P33" s="434">
        <f t="shared" si="18"/>
        <v>0</v>
      </c>
      <c r="Q33" s="431"/>
      <c r="R33" s="393">
        <f>B33</f>
        <v>20</v>
      </c>
      <c r="S33" s="435">
        <f>E33</f>
        <v>0</v>
      </c>
      <c r="T33" s="413">
        <f>'ORÇAMENTO GERAL'!$J$23</f>
        <v>185.62</v>
      </c>
      <c r="U33" s="412">
        <f>I33</f>
        <v>0</v>
      </c>
      <c r="V33" s="413">
        <f>'ORÇAMENTO GERAL'!$J$24</f>
        <v>7.89</v>
      </c>
      <c r="W33" s="412">
        <f>J33</f>
        <v>0</v>
      </c>
      <c r="X33" s="413">
        <f>'ORÇAMENTO GERAL'!$J$25</f>
        <v>6.31</v>
      </c>
      <c r="Y33" s="412">
        <f>L33</f>
        <v>0</v>
      </c>
      <c r="Z33" s="413">
        <f>'ORÇAMENTO GERAL'!$J$26</f>
        <v>20.74</v>
      </c>
      <c r="AA33" s="412">
        <f>M33</f>
        <v>0</v>
      </c>
      <c r="AB33" s="413">
        <f>'ORÇAMENTO GERAL'!$J$27</f>
        <v>45.16</v>
      </c>
      <c r="AC33" s="412">
        <f>N33</f>
        <v>0</v>
      </c>
      <c r="AD33" s="413">
        <f>'ORÇAMENTO GERAL'!$J$28</f>
        <v>5.16</v>
      </c>
      <c r="AE33" s="412">
        <f>O33</f>
        <v>0</v>
      </c>
      <c r="AF33" s="413">
        <f>'ORÇAMENTO GERAL'!$J$29</f>
        <v>62.07</v>
      </c>
      <c r="AG33" s="412">
        <f>P33</f>
        <v>0</v>
      </c>
      <c r="AH33" s="413">
        <f>'ORÇAMENTO GERAL'!$J$30</f>
        <v>3.38</v>
      </c>
      <c r="AI33" s="413">
        <f>(S33*T33)+(U33*V33)+(W33*X33)+(Y33*Z33)+(AA33*AB33)+(AC33*AD33)+(AE33*AF33)+(AG33*AH33)</f>
        <v>0</v>
      </c>
    </row>
    <row r="34" spans="1:17" s="400" customFormat="1" ht="45" customHeight="1" thickBot="1">
      <c r="A34" s="806" t="s">
        <v>29</v>
      </c>
      <c r="B34" s="807"/>
      <c r="C34" s="415"/>
      <c r="D34" s="415"/>
      <c r="E34" s="415">
        <f>SUM(E14:E33)</f>
        <v>80</v>
      </c>
      <c r="F34" s="415"/>
      <c r="G34" s="415"/>
      <c r="H34" s="415"/>
      <c r="I34" s="415">
        <f>SUM(I14:I33)</f>
        <v>76</v>
      </c>
      <c r="J34" s="415">
        <f>SUM(J14:J33)</f>
        <v>72</v>
      </c>
      <c r="K34" s="415"/>
      <c r="L34" s="415">
        <f>SUM(L14:L33)</f>
        <v>65.952</v>
      </c>
      <c r="M34" s="415">
        <f>SUM(M14:M33)</f>
        <v>72</v>
      </c>
      <c r="N34" s="415">
        <f>SUM(N14:N33)</f>
        <v>16.076800000000002</v>
      </c>
      <c r="O34" s="415">
        <f>SUM(O14:O33)</f>
        <v>80</v>
      </c>
      <c r="P34" s="415">
        <f>SUM(P14:P33)</f>
        <v>125.60000000000002</v>
      </c>
      <c r="Q34" s="430"/>
    </row>
    <row r="35" spans="1:17" s="419" customFormat="1" ht="45" customHeight="1" thickBot="1">
      <c r="A35" s="416"/>
      <c r="B35" s="417"/>
      <c r="C35" s="417"/>
      <c r="D35" s="417"/>
      <c r="E35" s="417"/>
      <c r="F35" s="418"/>
      <c r="G35" s="417"/>
      <c r="H35" s="417"/>
      <c r="I35" s="417"/>
      <c r="J35" s="417"/>
      <c r="K35" s="417"/>
      <c r="L35" s="417"/>
      <c r="M35" s="417"/>
      <c r="N35" s="417"/>
      <c r="O35" s="417"/>
      <c r="P35" s="400"/>
      <c r="Q35" s="400"/>
    </row>
    <row r="36" spans="1:35" s="400" customFormat="1" ht="45" customHeight="1" thickBot="1">
      <c r="A36" s="823" t="s">
        <v>471</v>
      </c>
      <c r="B36" s="824"/>
      <c r="C36" s="824"/>
      <c r="D36" s="824"/>
      <c r="E36" s="824"/>
      <c r="F36" s="824"/>
      <c r="G36" s="824"/>
      <c r="H36" s="824"/>
      <c r="I36" s="824"/>
      <c r="J36" s="824"/>
      <c r="K36" s="824"/>
      <c r="L36" s="824"/>
      <c r="M36" s="824"/>
      <c r="N36" s="824"/>
      <c r="O36" s="824"/>
      <c r="P36" s="825"/>
      <c r="Q36" s="428"/>
      <c r="R36" s="796" t="str">
        <f>A36</f>
        <v>CÁLCULO PARA TUBULAÇÃO DE 600 MM</v>
      </c>
      <c r="S36" s="797"/>
      <c r="T36" s="797"/>
      <c r="U36" s="797"/>
      <c r="V36" s="797"/>
      <c r="W36" s="797"/>
      <c r="X36" s="797"/>
      <c r="Y36" s="797"/>
      <c r="Z36" s="797"/>
      <c r="AA36" s="797"/>
      <c r="AB36" s="797"/>
      <c r="AC36" s="797"/>
      <c r="AD36" s="797"/>
      <c r="AE36" s="797"/>
      <c r="AF36" s="797"/>
      <c r="AG36" s="797"/>
      <c r="AH36" s="797"/>
      <c r="AI36" s="798"/>
    </row>
    <row r="37" spans="1:35" s="400" customFormat="1" ht="45" customHeight="1">
      <c r="A37" s="812" t="s">
        <v>7</v>
      </c>
      <c r="B37" s="820" t="s">
        <v>474</v>
      </c>
      <c r="C37" s="808" t="s">
        <v>484</v>
      </c>
      <c r="D37" s="808"/>
      <c r="E37" s="808"/>
      <c r="F37" s="810" t="s">
        <v>449</v>
      </c>
      <c r="G37" s="810"/>
      <c r="H37" s="810"/>
      <c r="I37" s="810"/>
      <c r="J37" s="810" t="s">
        <v>459</v>
      </c>
      <c r="K37" s="808" t="s">
        <v>450</v>
      </c>
      <c r="L37" s="808"/>
      <c r="M37" s="810" t="s">
        <v>465</v>
      </c>
      <c r="N37" s="808" t="s">
        <v>466</v>
      </c>
      <c r="O37" s="808" t="s">
        <v>468</v>
      </c>
      <c r="P37" s="818" t="s">
        <v>45</v>
      </c>
      <c r="Q37" s="428"/>
      <c r="R37" s="799" t="s">
        <v>260</v>
      </c>
      <c r="S37" s="801" t="s">
        <v>477</v>
      </c>
      <c r="T37" s="795" t="s">
        <v>487</v>
      </c>
      <c r="U37" s="795" t="s">
        <v>475</v>
      </c>
      <c r="V37" s="795" t="s">
        <v>487</v>
      </c>
      <c r="W37" s="795" t="s">
        <v>459</v>
      </c>
      <c r="X37" s="795" t="s">
        <v>487</v>
      </c>
      <c r="Y37" s="795" t="s">
        <v>450</v>
      </c>
      <c r="Z37" s="795" t="s">
        <v>487</v>
      </c>
      <c r="AA37" s="795" t="s">
        <v>476</v>
      </c>
      <c r="AB37" s="795" t="s">
        <v>487</v>
      </c>
      <c r="AC37" s="795" t="s">
        <v>466</v>
      </c>
      <c r="AD37" s="795" t="s">
        <v>487</v>
      </c>
      <c r="AE37" s="795" t="s">
        <v>468</v>
      </c>
      <c r="AF37" s="795" t="s">
        <v>487</v>
      </c>
      <c r="AG37" s="795" t="s">
        <v>45</v>
      </c>
      <c r="AH37" s="795" t="s">
        <v>487</v>
      </c>
      <c r="AI37" s="795" t="s">
        <v>478</v>
      </c>
    </row>
    <row r="38" spans="1:35" s="400" customFormat="1" ht="45" customHeight="1">
      <c r="A38" s="813"/>
      <c r="B38" s="821"/>
      <c r="C38" s="809"/>
      <c r="D38" s="809"/>
      <c r="E38" s="809"/>
      <c r="F38" s="811"/>
      <c r="G38" s="811"/>
      <c r="H38" s="811"/>
      <c r="I38" s="811"/>
      <c r="J38" s="811"/>
      <c r="K38" s="809"/>
      <c r="L38" s="809"/>
      <c r="M38" s="811"/>
      <c r="N38" s="809"/>
      <c r="O38" s="809"/>
      <c r="P38" s="819"/>
      <c r="Q38" s="428"/>
      <c r="R38" s="800"/>
      <c r="S38" s="802"/>
      <c r="T38" s="794"/>
      <c r="U38" s="794"/>
      <c r="V38" s="794"/>
      <c r="W38" s="794"/>
      <c r="X38" s="794"/>
      <c r="Y38" s="794"/>
      <c r="Z38" s="794"/>
      <c r="AA38" s="794"/>
      <c r="AB38" s="794"/>
      <c r="AC38" s="794"/>
      <c r="AD38" s="794"/>
      <c r="AE38" s="794"/>
      <c r="AF38" s="794"/>
      <c r="AG38" s="794"/>
      <c r="AH38" s="794"/>
      <c r="AI38" s="794"/>
    </row>
    <row r="39" spans="1:35" s="400" customFormat="1" ht="45" customHeight="1">
      <c r="A39" s="813"/>
      <c r="B39" s="821"/>
      <c r="C39" s="401" t="s">
        <v>170</v>
      </c>
      <c r="D39" s="401" t="s">
        <v>454</v>
      </c>
      <c r="E39" s="401" t="s">
        <v>457</v>
      </c>
      <c r="F39" s="401" t="s">
        <v>448</v>
      </c>
      <c r="G39" s="401" t="s">
        <v>456</v>
      </c>
      <c r="H39" s="401" t="s">
        <v>458</v>
      </c>
      <c r="I39" s="401" t="s">
        <v>29</v>
      </c>
      <c r="J39" s="811"/>
      <c r="K39" s="401" t="s">
        <v>460</v>
      </c>
      <c r="L39" s="401" t="s">
        <v>29</v>
      </c>
      <c r="M39" s="811"/>
      <c r="N39" s="809"/>
      <c r="O39" s="809"/>
      <c r="P39" s="819"/>
      <c r="Q39" s="428"/>
      <c r="R39" s="800"/>
      <c r="S39" s="802"/>
      <c r="T39" s="794"/>
      <c r="U39" s="794"/>
      <c r="V39" s="794"/>
      <c r="W39" s="794"/>
      <c r="X39" s="794"/>
      <c r="Y39" s="794"/>
      <c r="Z39" s="794"/>
      <c r="AA39" s="794"/>
      <c r="AB39" s="794"/>
      <c r="AC39" s="794"/>
      <c r="AD39" s="794"/>
      <c r="AE39" s="794"/>
      <c r="AF39" s="794"/>
      <c r="AG39" s="794"/>
      <c r="AH39" s="794"/>
      <c r="AI39" s="794"/>
    </row>
    <row r="40" spans="1:18" s="400" customFormat="1" ht="45" customHeight="1">
      <c r="A40" s="813"/>
      <c r="B40" s="821"/>
      <c r="C40" s="402"/>
      <c r="D40" s="402"/>
      <c r="E40" s="402" t="s">
        <v>64</v>
      </c>
      <c r="F40" s="402" t="s">
        <v>67</v>
      </c>
      <c r="G40" s="402" t="s">
        <v>20</v>
      </c>
      <c r="H40" s="402" t="s">
        <v>12</v>
      </c>
      <c r="I40" s="402" t="s">
        <v>461</v>
      </c>
      <c r="J40" s="402" t="s">
        <v>462</v>
      </c>
      <c r="K40" s="402" t="s">
        <v>482</v>
      </c>
      <c r="L40" s="402" t="s">
        <v>463</v>
      </c>
      <c r="M40" s="402" t="s">
        <v>464</v>
      </c>
      <c r="N40" s="402" t="s">
        <v>483</v>
      </c>
      <c r="O40" s="402" t="s">
        <v>467</v>
      </c>
      <c r="P40" s="403" t="s">
        <v>469</v>
      </c>
      <c r="Q40" s="428"/>
      <c r="R40" s="437"/>
    </row>
    <row r="41" spans="1:18" s="400" customFormat="1" ht="45" customHeight="1" thickBot="1">
      <c r="A41" s="814"/>
      <c r="B41" s="822"/>
      <c r="C41" s="404" t="s">
        <v>455</v>
      </c>
      <c r="D41" s="404" t="s">
        <v>451</v>
      </c>
      <c r="E41" s="404" t="s">
        <v>451</v>
      </c>
      <c r="F41" s="404" t="s">
        <v>489</v>
      </c>
      <c r="G41" s="404" t="s">
        <v>490</v>
      </c>
      <c r="H41" s="404"/>
      <c r="I41" s="404"/>
      <c r="J41" s="404"/>
      <c r="K41" s="404"/>
      <c r="L41" s="404"/>
      <c r="M41" s="404"/>
      <c r="N41" s="404"/>
      <c r="O41" s="404"/>
      <c r="P41" s="405">
        <v>10</v>
      </c>
      <c r="Q41" s="429"/>
      <c r="R41" s="438"/>
    </row>
    <row r="42" spans="1:35" s="400" customFormat="1" ht="45" customHeight="1">
      <c r="A42" s="406">
        <v>1</v>
      </c>
      <c r="B42" s="517" t="str">
        <f>B14</f>
        <v>RUA UNIÃO</v>
      </c>
      <c r="C42" s="409">
        <v>1</v>
      </c>
      <c r="D42" s="408">
        <v>315</v>
      </c>
      <c r="E42" s="409">
        <f>C42*D42</f>
        <v>315</v>
      </c>
      <c r="F42" s="410">
        <v>1.1</v>
      </c>
      <c r="G42" s="410">
        <v>1.2</v>
      </c>
      <c r="H42" s="410">
        <v>0.05</v>
      </c>
      <c r="I42" s="410">
        <f>(E42*F42*G42)+(E42*G42*H42)</f>
        <v>434.7</v>
      </c>
      <c r="J42" s="410">
        <f>E42*F42</f>
        <v>346.5</v>
      </c>
      <c r="K42" s="410">
        <f>(3.14*(0.3)^2*E42)</f>
        <v>89.019</v>
      </c>
      <c r="L42" s="410">
        <f>I42-K42</f>
        <v>345.681</v>
      </c>
      <c r="M42" s="411">
        <f>J42</f>
        <v>346.5</v>
      </c>
      <c r="N42" s="411">
        <f>K42*1.6</f>
        <v>142.43040000000002</v>
      </c>
      <c r="O42" s="411">
        <f>E42</f>
        <v>315</v>
      </c>
      <c r="P42" s="452">
        <f>K42*1.25*$P$13</f>
        <v>1112.7375000000002</v>
      </c>
      <c r="Q42" s="431"/>
      <c r="R42" s="436" t="str">
        <f>B42</f>
        <v>RUA UNIÃO</v>
      </c>
      <c r="S42" s="435">
        <f>E42</f>
        <v>315</v>
      </c>
      <c r="T42" s="413">
        <f>'ORÇAMENTO GERAL'!$J$31</f>
        <v>308.12</v>
      </c>
      <c r="U42" s="412">
        <f>I42</f>
        <v>434.7</v>
      </c>
      <c r="V42" s="413">
        <f>'ORÇAMENTO GERAL'!$J$32</f>
        <v>7.89</v>
      </c>
      <c r="W42" s="412">
        <f>J42</f>
        <v>346.5</v>
      </c>
      <c r="X42" s="413">
        <f>'ORÇAMENTO GERAL'!$J$33</f>
        <v>6.31</v>
      </c>
      <c r="Y42" s="412">
        <f>L42</f>
        <v>345.681</v>
      </c>
      <c r="Z42" s="413">
        <f>'ORÇAMENTO GERAL'!$J$34</f>
        <v>20.74</v>
      </c>
      <c r="AA42" s="412">
        <f>M42</f>
        <v>346.5</v>
      </c>
      <c r="AB42" s="413">
        <f>'ORÇAMENTO GERAL'!$J$35</f>
        <v>45.16</v>
      </c>
      <c r="AC42" s="412">
        <f>N42</f>
        <v>142.43040000000002</v>
      </c>
      <c r="AD42" s="413">
        <f>'ORÇAMENTO GERAL'!$J$36</f>
        <v>5.16</v>
      </c>
      <c r="AE42" s="412">
        <f>O42</f>
        <v>315</v>
      </c>
      <c r="AF42" s="413">
        <f>'ORÇAMENTO GERAL'!$J$37</f>
        <v>90.23</v>
      </c>
      <c r="AG42" s="412">
        <f>P42</f>
        <v>1112.7375000000002</v>
      </c>
      <c r="AH42" s="413">
        <f>'ORÇAMENTO GERAL'!$J$38</f>
        <v>3.38</v>
      </c>
      <c r="AI42" s="413">
        <f>(S42*T42)+(U42*V42)+(W42*X42)+(Y42*Z42)+(AA42*AB42)+(AC42*AD42)+(AE42*AF42)+(AG42*AH42)</f>
        <v>158409.805554</v>
      </c>
    </row>
    <row r="43" spans="1:35" s="400" customFormat="1" ht="45" customHeight="1">
      <c r="A43" s="406">
        <v>2</v>
      </c>
      <c r="B43" s="407" t="str">
        <f aca="true" t="shared" si="29" ref="B43:B61">B15</f>
        <v>RUA JARDIM DOS ESPORTES</v>
      </c>
      <c r="C43" s="414">
        <v>1</v>
      </c>
      <c r="D43" s="412">
        <v>315</v>
      </c>
      <c r="E43" s="410">
        <f>C43*D43*0</f>
        <v>0</v>
      </c>
      <c r="F43" s="410">
        <v>1.1</v>
      </c>
      <c r="G43" s="410">
        <v>1.2</v>
      </c>
      <c r="H43" s="410">
        <v>0.05</v>
      </c>
      <c r="I43" s="410">
        <f>(E43*F43*G43)+(E43*G43*H43)</f>
        <v>0</v>
      </c>
      <c r="J43" s="410">
        <f>E43*F43</f>
        <v>0</v>
      </c>
      <c r="K43" s="410">
        <f>(3.14*(0.3)^2*E43)</f>
        <v>0</v>
      </c>
      <c r="L43" s="410">
        <f>I43-K43</f>
        <v>0</v>
      </c>
      <c r="M43" s="411">
        <f>J43</f>
        <v>0</v>
      </c>
      <c r="N43" s="411">
        <f>K43*1.6</f>
        <v>0</v>
      </c>
      <c r="O43" s="411">
        <f>E43</f>
        <v>0</v>
      </c>
      <c r="P43" s="452">
        <f>K43*1.25*$P$13</f>
        <v>0</v>
      </c>
      <c r="Q43" s="431"/>
      <c r="R43" s="393" t="str">
        <f aca="true" t="shared" si="30" ref="R43:R61">B43</f>
        <v>RUA JARDIM DOS ESPORTES</v>
      </c>
      <c r="S43" s="435">
        <f aca="true" t="shared" si="31" ref="S43:S61">E43</f>
        <v>0</v>
      </c>
      <c r="T43" s="413">
        <f>'ORÇAMENTO GERAL'!$J$31</f>
        <v>308.12</v>
      </c>
      <c r="U43" s="412">
        <f aca="true" t="shared" si="32" ref="U43:U61">I43</f>
        <v>0</v>
      </c>
      <c r="V43" s="413">
        <f>'ORÇAMENTO GERAL'!$J$32</f>
        <v>7.89</v>
      </c>
      <c r="W43" s="412">
        <f aca="true" t="shared" si="33" ref="W43:W61">J43</f>
        <v>0</v>
      </c>
      <c r="X43" s="413">
        <f>'ORÇAMENTO GERAL'!$J$33</f>
        <v>6.31</v>
      </c>
      <c r="Y43" s="412">
        <f aca="true" t="shared" si="34" ref="Y43:Y61">L43</f>
        <v>0</v>
      </c>
      <c r="Z43" s="413">
        <f>'ORÇAMENTO GERAL'!$J$34</f>
        <v>20.74</v>
      </c>
      <c r="AA43" s="412">
        <f aca="true" t="shared" si="35" ref="AA43:AA61">M43</f>
        <v>0</v>
      </c>
      <c r="AB43" s="413">
        <f>'ORÇAMENTO GERAL'!$J$35</f>
        <v>45.16</v>
      </c>
      <c r="AC43" s="412">
        <f aca="true" t="shared" si="36" ref="AC43:AC61">N43</f>
        <v>0</v>
      </c>
      <c r="AD43" s="413">
        <f>'ORÇAMENTO GERAL'!$J$36</f>
        <v>5.16</v>
      </c>
      <c r="AE43" s="412">
        <f aca="true" t="shared" si="37" ref="AE43:AE61">O43</f>
        <v>0</v>
      </c>
      <c r="AF43" s="413">
        <f>'ORÇAMENTO GERAL'!$J$37</f>
        <v>90.23</v>
      </c>
      <c r="AG43" s="412">
        <f aca="true" t="shared" si="38" ref="AG43:AG61">P43</f>
        <v>0</v>
      </c>
      <c r="AH43" s="413">
        <f>'ORÇAMENTO GERAL'!$J$38</f>
        <v>3.38</v>
      </c>
      <c r="AI43" s="413">
        <f aca="true" t="shared" si="39" ref="AI43:AI61">(S43*T43)+(U43*V43)+(W43*X43)+(Y43*Z43)+(AA43*AB43)+(AC43*AD43)+(AE43*AF43)+(AG43*AH43)</f>
        <v>0</v>
      </c>
    </row>
    <row r="44" spans="1:35" s="400" customFormat="1" ht="45" customHeight="1" hidden="1">
      <c r="A44" s="406">
        <v>3</v>
      </c>
      <c r="B44" s="407" t="e">
        <f t="shared" si="29"/>
        <v>#REF!</v>
      </c>
      <c r="C44" s="414">
        <v>1</v>
      </c>
      <c r="D44" s="412">
        <v>315</v>
      </c>
      <c r="E44" s="410">
        <f>C44*D44*0</f>
        <v>0</v>
      </c>
      <c r="F44" s="410">
        <v>1.1</v>
      </c>
      <c r="G44" s="410">
        <v>1.2</v>
      </c>
      <c r="H44" s="410">
        <v>0.05</v>
      </c>
      <c r="I44" s="410">
        <f aca="true" t="shared" si="40" ref="I44:I61">(E44*F44*G44)+(E44*G44*H44)</f>
        <v>0</v>
      </c>
      <c r="J44" s="410">
        <f aca="true" t="shared" si="41" ref="J44:J61">E44*F44</f>
        <v>0</v>
      </c>
      <c r="K44" s="410">
        <f aca="true" t="shared" si="42" ref="K44:K61">(3.14*(0.3)^2*E44)</f>
        <v>0</v>
      </c>
      <c r="L44" s="410">
        <f aca="true" t="shared" si="43" ref="L44:L61">I44-K44</f>
        <v>0</v>
      </c>
      <c r="M44" s="411">
        <f aca="true" t="shared" si="44" ref="M44:M61">J44</f>
        <v>0</v>
      </c>
      <c r="N44" s="411">
        <f aca="true" t="shared" si="45" ref="N44:N61">K44*1.6</f>
        <v>0</v>
      </c>
      <c r="O44" s="411">
        <f aca="true" t="shared" si="46" ref="O44:O61">E44</f>
        <v>0</v>
      </c>
      <c r="P44" s="452">
        <f aca="true" t="shared" si="47" ref="P44:P61">K44*1.25*$P$13</f>
        <v>0</v>
      </c>
      <c r="Q44" s="431"/>
      <c r="R44" s="393" t="e">
        <f>B44</f>
        <v>#REF!</v>
      </c>
      <c r="S44" s="435">
        <f>E44</f>
        <v>0</v>
      </c>
      <c r="T44" s="413">
        <f>'ORÇAMENTO GERAL'!$J$31</f>
        <v>308.12</v>
      </c>
      <c r="U44" s="412">
        <f>I44</f>
        <v>0</v>
      </c>
      <c r="V44" s="413">
        <f>'ORÇAMENTO GERAL'!$J$32</f>
        <v>7.89</v>
      </c>
      <c r="W44" s="412">
        <f>J44</f>
        <v>0</v>
      </c>
      <c r="X44" s="413">
        <f>'ORÇAMENTO GERAL'!$J$33</f>
        <v>6.31</v>
      </c>
      <c r="Y44" s="412">
        <f>L44</f>
        <v>0</v>
      </c>
      <c r="Z44" s="413">
        <f>'ORÇAMENTO GERAL'!$J$34</f>
        <v>20.74</v>
      </c>
      <c r="AA44" s="412">
        <f>M44</f>
        <v>0</v>
      </c>
      <c r="AB44" s="413">
        <f>'ORÇAMENTO GERAL'!$J$35</f>
        <v>45.16</v>
      </c>
      <c r="AC44" s="412">
        <f>N44</f>
        <v>0</v>
      </c>
      <c r="AD44" s="413">
        <f>'ORÇAMENTO GERAL'!$J$36</f>
        <v>5.16</v>
      </c>
      <c r="AE44" s="412">
        <f>O44</f>
        <v>0</v>
      </c>
      <c r="AF44" s="413">
        <f>'ORÇAMENTO GERAL'!$J$37</f>
        <v>90.23</v>
      </c>
      <c r="AG44" s="412">
        <f>P44</f>
        <v>0</v>
      </c>
      <c r="AH44" s="413">
        <f>'ORÇAMENTO GERAL'!$J$38</f>
        <v>3.38</v>
      </c>
      <c r="AI44" s="413">
        <f>(S44*T44)+(U44*V44)+(W44*X44)+(Y44*Z44)+(AA44*AB44)+(AC44*AD44)+(AE44*AF44)+(AG44*AH44)</f>
        <v>0</v>
      </c>
    </row>
    <row r="45" spans="1:35" s="400" customFormat="1" ht="45" customHeight="1" thickBot="1">
      <c r="A45" s="406">
        <v>3</v>
      </c>
      <c r="B45" s="407" t="str">
        <f t="shared" si="29"/>
        <v>BACIA LEITEIRA</v>
      </c>
      <c r="C45" s="414">
        <v>1</v>
      </c>
      <c r="D45" s="412">
        <v>0</v>
      </c>
      <c r="E45" s="410">
        <f aca="true" t="shared" si="48" ref="E45:E61">C45*D45</f>
        <v>0</v>
      </c>
      <c r="F45" s="410">
        <v>1.1</v>
      </c>
      <c r="G45" s="410">
        <v>1.2</v>
      </c>
      <c r="H45" s="410">
        <v>0.05</v>
      </c>
      <c r="I45" s="410">
        <f t="shared" si="40"/>
        <v>0</v>
      </c>
      <c r="J45" s="410">
        <f t="shared" si="41"/>
        <v>0</v>
      </c>
      <c r="K45" s="410">
        <f t="shared" si="42"/>
        <v>0</v>
      </c>
      <c r="L45" s="410">
        <f t="shared" si="43"/>
        <v>0</v>
      </c>
      <c r="M45" s="411">
        <f t="shared" si="44"/>
        <v>0</v>
      </c>
      <c r="N45" s="411">
        <f t="shared" si="45"/>
        <v>0</v>
      </c>
      <c r="O45" s="411">
        <f t="shared" si="46"/>
        <v>0</v>
      </c>
      <c r="P45" s="452">
        <f t="shared" si="47"/>
        <v>0</v>
      </c>
      <c r="Q45" s="431"/>
      <c r="R45" s="393" t="str">
        <f>B45</f>
        <v>BACIA LEITEIRA</v>
      </c>
      <c r="S45" s="435">
        <f>E45</f>
        <v>0</v>
      </c>
      <c r="T45" s="413">
        <f>'ORÇAMENTO GERAL'!$J$31</f>
        <v>308.12</v>
      </c>
      <c r="U45" s="412">
        <f>I45</f>
        <v>0</v>
      </c>
      <c r="V45" s="413">
        <f>'ORÇAMENTO GERAL'!$J$32</f>
        <v>7.89</v>
      </c>
      <c r="W45" s="412">
        <f>J45</f>
        <v>0</v>
      </c>
      <c r="X45" s="413">
        <f>'ORÇAMENTO GERAL'!$J$33</f>
        <v>6.31</v>
      </c>
      <c r="Y45" s="412">
        <f>L45</f>
        <v>0</v>
      </c>
      <c r="Z45" s="413">
        <f>'ORÇAMENTO GERAL'!$J$34</f>
        <v>20.74</v>
      </c>
      <c r="AA45" s="412">
        <f>M45</f>
        <v>0</v>
      </c>
      <c r="AB45" s="413">
        <f>'ORÇAMENTO GERAL'!$J$35</f>
        <v>45.16</v>
      </c>
      <c r="AC45" s="412">
        <f>N45</f>
        <v>0</v>
      </c>
      <c r="AD45" s="413">
        <f>'ORÇAMENTO GERAL'!$J$36</f>
        <v>5.16</v>
      </c>
      <c r="AE45" s="412">
        <f>O45</f>
        <v>0</v>
      </c>
      <c r="AF45" s="413">
        <f>'ORÇAMENTO GERAL'!$J$37</f>
        <v>90.23</v>
      </c>
      <c r="AG45" s="412">
        <f>P45</f>
        <v>0</v>
      </c>
      <c r="AH45" s="413">
        <f>'ORÇAMENTO GERAL'!$J$38</f>
        <v>3.38</v>
      </c>
      <c r="AI45" s="413">
        <f>(S45*T45)+(U45*V45)+(W45*X45)+(Y45*Z45)+(AA45*AB45)+(AC45*AD45)+(AE45*AF45)+(AG45*AH45)</f>
        <v>0</v>
      </c>
    </row>
    <row r="46" spans="1:35" s="400" customFormat="1" ht="45" customHeight="1" hidden="1">
      <c r="A46" s="406">
        <v>5</v>
      </c>
      <c r="B46" s="407">
        <f t="shared" si="29"/>
        <v>5</v>
      </c>
      <c r="C46" s="414">
        <v>1</v>
      </c>
      <c r="D46" s="412"/>
      <c r="E46" s="410">
        <f t="shared" si="48"/>
        <v>0</v>
      </c>
      <c r="F46" s="410">
        <v>1.1</v>
      </c>
      <c r="G46" s="410">
        <v>1.2</v>
      </c>
      <c r="H46" s="410">
        <v>0.05</v>
      </c>
      <c r="I46" s="410">
        <f t="shared" si="40"/>
        <v>0</v>
      </c>
      <c r="J46" s="410">
        <f t="shared" si="41"/>
        <v>0</v>
      </c>
      <c r="K46" s="410">
        <f t="shared" si="42"/>
        <v>0</v>
      </c>
      <c r="L46" s="410">
        <f t="shared" si="43"/>
        <v>0</v>
      </c>
      <c r="M46" s="411">
        <f t="shared" si="44"/>
        <v>0</v>
      </c>
      <c r="N46" s="411">
        <f t="shared" si="45"/>
        <v>0</v>
      </c>
      <c r="O46" s="411">
        <f t="shared" si="46"/>
        <v>0</v>
      </c>
      <c r="P46" s="452">
        <f t="shared" si="47"/>
        <v>0</v>
      </c>
      <c r="Q46" s="431"/>
      <c r="R46" s="393">
        <f>B46</f>
        <v>5</v>
      </c>
      <c r="S46" s="435">
        <f>E46</f>
        <v>0</v>
      </c>
      <c r="T46" s="413">
        <f>'ORÇAMENTO GERAL'!$J$31</f>
        <v>308.12</v>
      </c>
      <c r="U46" s="412">
        <f>I46</f>
        <v>0</v>
      </c>
      <c r="V46" s="413">
        <f>'ORÇAMENTO GERAL'!$J$32</f>
        <v>7.89</v>
      </c>
      <c r="W46" s="412">
        <f>J46</f>
        <v>0</v>
      </c>
      <c r="X46" s="413">
        <f>'ORÇAMENTO GERAL'!$J$33</f>
        <v>6.31</v>
      </c>
      <c r="Y46" s="412">
        <f>L46</f>
        <v>0</v>
      </c>
      <c r="Z46" s="413">
        <f>'ORÇAMENTO GERAL'!$J$34</f>
        <v>20.74</v>
      </c>
      <c r="AA46" s="412">
        <f>M46</f>
        <v>0</v>
      </c>
      <c r="AB46" s="413">
        <f>'ORÇAMENTO GERAL'!$J$35</f>
        <v>45.16</v>
      </c>
      <c r="AC46" s="412">
        <f>N46</f>
        <v>0</v>
      </c>
      <c r="AD46" s="413">
        <f>'ORÇAMENTO GERAL'!$J$36</f>
        <v>5.16</v>
      </c>
      <c r="AE46" s="412">
        <f>O46</f>
        <v>0</v>
      </c>
      <c r="AF46" s="413">
        <f>'ORÇAMENTO GERAL'!$J$37</f>
        <v>90.23</v>
      </c>
      <c r="AG46" s="412">
        <f>P46</f>
        <v>0</v>
      </c>
      <c r="AH46" s="413">
        <f>'ORÇAMENTO GERAL'!$J$38</f>
        <v>3.38</v>
      </c>
      <c r="AI46" s="413">
        <f>(S46*T46)+(U46*V46)+(W46*X46)+(Y46*Z46)+(AA46*AB46)+(AC46*AD46)+(AE46*AF46)+(AG46*AH46)</f>
        <v>0</v>
      </c>
    </row>
    <row r="47" spans="1:35" s="400" customFormat="1" ht="45" customHeight="1" hidden="1">
      <c r="A47" s="406">
        <v>6</v>
      </c>
      <c r="B47" s="407">
        <f t="shared" si="29"/>
        <v>6</v>
      </c>
      <c r="C47" s="414">
        <v>1</v>
      </c>
      <c r="D47" s="412"/>
      <c r="E47" s="410">
        <f t="shared" si="48"/>
        <v>0</v>
      </c>
      <c r="F47" s="410">
        <v>1.1</v>
      </c>
      <c r="G47" s="410">
        <v>1.2</v>
      </c>
      <c r="H47" s="410">
        <v>0.05</v>
      </c>
      <c r="I47" s="410">
        <f t="shared" si="40"/>
        <v>0</v>
      </c>
      <c r="J47" s="410">
        <f t="shared" si="41"/>
        <v>0</v>
      </c>
      <c r="K47" s="410">
        <f t="shared" si="42"/>
        <v>0</v>
      </c>
      <c r="L47" s="410">
        <f t="shared" si="43"/>
        <v>0</v>
      </c>
      <c r="M47" s="411">
        <f t="shared" si="44"/>
        <v>0</v>
      </c>
      <c r="N47" s="411">
        <f t="shared" si="45"/>
        <v>0</v>
      </c>
      <c r="O47" s="411">
        <f t="shared" si="46"/>
        <v>0</v>
      </c>
      <c r="P47" s="452">
        <f t="shared" si="47"/>
        <v>0</v>
      </c>
      <c r="Q47" s="431"/>
      <c r="R47" s="393">
        <f>B47</f>
        <v>6</v>
      </c>
      <c r="S47" s="435">
        <f>E47</f>
        <v>0</v>
      </c>
      <c r="T47" s="413">
        <f>'ORÇAMENTO GERAL'!$J$31</f>
        <v>308.12</v>
      </c>
      <c r="U47" s="412">
        <f>I47</f>
        <v>0</v>
      </c>
      <c r="V47" s="413">
        <f>'ORÇAMENTO GERAL'!$J$32</f>
        <v>7.89</v>
      </c>
      <c r="W47" s="412">
        <f>J47</f>
        <v>0</v>
      </c>
      <c r="X47" s="413">
        <f>'ORÇAMENTO GERAL'!$J$33</f>
        <v>6.31</v>
      </c>
      <c r="Y47" s="412">
        <f>L47</f>
        <v>0</v>
      </c>
      <c r="Z47" s="413">
        <f>'ORÇAMENTO GERAL'!$J$34</f>
        <v>20.74</v>
      </c>
      <c r="AA47" s="412">
        <f>M47</f>
        <v>0</v>
      </c>
      <c r="AB47" s="413">
        <f>'ORÇAMENTO GERAL'!$J$35</f>
        <v>45.16</v>
      </c>
      <c r="AC47" s="412">
        <f>N47</f>
        <v>0</v>
      </c>
      <c r="AD47" s="413">
        <f>'ORÇAMENTO GERAL'!$J$36</f>
        <v>5.16</v>
      </c>
      <c r="AE47" s="412">
        <f>O47</f>
        <v>0</v>
      </c>
      <c r="AF47" s="413">
        <f>'ORÇAMENTO GERAL'!$J$37</f>
        <v>90.23</v>
      </c>
      <c r="AG47" s="412">
        <f>P47</f>
        <v>0</v>
      </c>
      <c r="AH47" s="413">
        <f>'ORÇAMENTO GERAL'!$J$38</f>
        <v>3.38</v>
      </c>
      <c r="AI47" s="413">
        <f>(S47*T47)+(U47*V47)+(W47*X47)+(Y47*Z47)+(AA47*AB47)+(AC47*AD47)+(AE47*AF47)+(AG47*AH47)</f>
        <v>0</v>
      </c>
    </row>
    <row r="48" spans="1:35" s="400" customFormat="1" ht="45" customHeight="1" hidden="1">
      <c r="A48" s="406">
        <v>7</v>
      </c>
      <c r="B48" s="407">
        <f t="shared" si="29"/>
        <v>7</v>
      </c>
      <c r="C48" s="414">
        <v>1</v>
      </c>
      <c r="D48" s="412"/>
      <c r="E48" s="410">
        <f t="shared" si="48"/>
        <v>0</v>
      </c>
      <c r="F48" s="410">
        <v>1.1</v>
      </c>
      <c r="G48" s="410">
        <v>1.2</v>
      </c>
      <c r="H48" s="410">
        <v>0.05</v>
      </c>
      <c r="I48" s="410">
        <f t="shared" si="40"/>
        <v>0</v>
      </c>
      <c r="J48" s="410">
        <f t="shared" si="41"/>
        <v>0</v>
      </c>
      <c r="K48" s="410">
        <f t="shared" si="42"/>
        <v>0</v>
      </c>
      <c r="L48" s="410">
        <f t="shared" si="43"/>
        <v>0</v>
      </c>
      <c r="M48" s="411">
        <f t="shared" si="44"/>
        <v>0</v>
      </c>
      <c r="N48" s="411">
        <f t="shared" si="45"/>
        <v>0</v>
      </c>
      <c r="O48" s="411">
        <f t="shared" si="46"/>
        <v>0</v>
      </c>
      <c r="P48" s="452">
        <f t="shared" si="47"/>
        <v>0</v>
      </c>
      <c r="Q48" s="431"/>
      <c r="R48" s="393">
        <f t="shared" si="30"/>
        <v>7</v>
      </c>
      <c r="S48" s="435">
        <f t="shared" si="31"/>
        <v>0</v>
      </c>
      <c r="T48" s="413">
        <f>'ORÇAMENTO GERAL'!$J$31</f>
        <v>308.12</v>
      </c>
      <c r="U48" s="412">
        <f t="shared" si="32"/>
        <v>0</v>
      </c>
      <c r="V48" s="413">
        <f>'ORÇAMENTO GERAL'!$J$32</f>
        <v>7.89</v>
      </c>
      <c r="W48" s="412">
        <f t="shared" si="33"/>
        <v>0</v>
      </c>
      <c r="X48" s="413">
        <f>'ORÇAMENTO GERAL'!$J$33</f>
        <v>6.31</v>
      </c>
      <c r="Y48" s="412">
        <f t="shared" si="34"/>
        <v>0</v>
      </c>
      <c r="Z48" s="413">
        <f>'ORÇAMENTO GERAL'!$J$34</f>
        <v>20.74</v>
      </c>
      <c r="AA48" s="412">
        <f t="shared" si="35"/>
        <v>0</v>
      </c>
      <c r="AB48" s="413">
        <f>'ORÇAMENTO GERAL'!$J$35</f>
        <v>45.16</v>
      </c>
      <c r="AC48" s="412">
        <f t="shared" si="36"/>
        <v>0</v>
      </c>
      <c r="AD48" s="413">
        <f>'ORÇAMENTO GERAL'!$J$36</f>
        <v>5.16</v>
      </c>
      <c r="AE48" s="412">
        <f t="shared" si="37"/>
        <v>0</v>
      </c>
      <c r="AF48" s="413">
        <f>'ORÇAMENTO GERAL'!$J$37</f>
        <v>90.23</v>
      </c>
      <c r="AG48" s="412">
        <f t="shared" si="38"/>
        <v>0</v>
      </c>
      <c r="AH48" s="413">
        <f>'ORÇAMENTO GERAL'!$J$38</f>
        <v>3.38</v>
      </c>
      <c r="AI48" s="413">
        <f t="shared" si="39"/>
        <v>0</v>
      </c>
    </row>
    <row r="49" spans="1:35" s="400" customFormat="1" ht="45" customHeight="1" hidden="1">
      <c r="A49" s="406">
        <v>8</v>
      </c>
      <c r="B49" s="407">
        <f t="shared" si="29"/>
        <v>8</v>
      </c>
      <c r="C49" s="414">
        <v>1</v>
      </c>
      <c r="D49" s="412"/>
      <c r="E49" s="410">
        <f t="shared" si="48"/>
        <v>0</v>
      </c>
      <c r="F49" s="410">
        <v>1.1</v>
      </c>
      <c r="G49" s="410">
        <v>1.2</v>
      </c>
      <c r="H49" s="410">
        <v>0.05</v>
      </c>
      <c r="I49" s="410">
        <f t="shared" si="40"/>
        <v>0</v>
      </c>
      <c r="J49" s="410">
        <f t="shared" si="41"/>
        <v>0</v>
      </c>
      <c r="K49" s="410">
        <f t="shared" si="42"/>
        <v>0</v>
      </c>
      <c r="L49" s="410">
        <f t="shared" si="43"/>
        <v>0</v>
      </c>
      <c r="M49" s="411">
        <f t="shared" si="44"/>
        <v>0</v>
      </c>
      <c r="N49" s="411">
        <f t="shared" si="45"/>
        <v>0</v>
      </c>
      <c r="O49" s="411">
        <f t="shared" si="46"/>
        <v>0</v>
      </c>
      <c r="P49" s="452">
        <f t="shared" si="47"/>
        <v>0</v>
      </c>
      <c r="Q49" s="431"/>
      <c r="R49" s="393">
        <f t="shared" si="30"/>
        <v>8</v>
      </c>
      <c r="S49" s="435">
        <f t="shared" si="31"/>
        <v>0</v>
      </c>
      <c r="T49" s="413">
        <f>'ORÇAMENTO GERAL'!$J$31</f>
        <v>308.12</v>
      </c>
      <c r="U49" s="412">
        <f t="shared" si="32"/>
        <v>0</v>
      </c>
      <c r="V49" s="413">
        <f>'ORÇAMENTO GERAL'!$J$32</f>
        <v>7.89</v>
      </c>
      <c r="W49" s="412">
        <f t="shared" si="33"/>
        <v>0</v>
      </c>
      <c r="X49" s="413">
        <f>'ORÇAMENTO GERAL'!$J$33</f>
        <v>6.31</v>
      </c>
      <c r="Y49" s="412">
        <f t="shared" si="34"/>
        <v>0</v>
      </c>
      <c r="Z49" s="413">
        <f>'ORÇAMENTO GERAL'!$J$34</f>
        <v>20.74</v>
      </c>
      <c r="AA49" s="412">
        <f t="shared" si="35"/>
        <v>0</v>
      </c>
      <c r="AB49" s="413">
        <f>'ORÇAMENTO GERAL'!$J$35</f>
        <v>45.16</v>
      </c>
      <c r="AC49" s="412">
        <f t="shared" si="36"/>
        <v>0</v>
      </c>
      <c r="AD49" s="413">
        <f>'ORÇAMENTO GERAL'!$J$36</f>
        <v>5.16</v>
      </c>
      <c r="AE49" s="412">
        <f t="shared" si="37"/>
        <v>0</v>
      </c>
      <c r="AF49" s="413">
        <f>'ORÇAMENTO GERAL'!$J$37</f>
        <v>90.23</v>
      </c>
      <c r="AG49" s="412">
        <f t="shared" si="38"/>
        <v>0</v>
      </c>
      <c r="AH49" s="413">
        <f>'ORÇAMENTO GERAL'!$J$38</f>
        <v>3.38</v>
      </c>
      <c r="AI49" s="413">
        <f t="shared" si="39"/>
        <v>0</v>
      </c>
    </row>
    <row r="50" spans="1:35" s="400" customFormat="1" ht="45" customHeight="1" hidden="1">
      <c r="A50" s="406">
        <v>9</v>
      </c>
      <c r="B50" s="407">
        <f t="shared" si="29"/>
        <v>9</v>
      </c>
      <c r="C50" s="414">
        <v>1</v>
      </c>
      <c r="D50" s="412"/>
      <c r="E50" s="410">
        <f t="shared" si="48"/>
        <v>0</v>
      </c>
      <c r="F50" s="410">
        <v>1.1</v>
      </c>
      <c r="G50" s="410">
        <v>1.2</v>
      </c>
      <c r="H50" s="410">
        <v>0.05</v>
      </c>
      <c r="I50" s="410">
        <f t="shared" si="40"/>
        <v>0</v>
      </c>
      <c r="J50" s="410">
        <f t="shared" si="41"/>
        <v>0</v>
      </c>
      <c r="K50" s="410">
        <f t="shared" si="42"/>
        <v>0</v>
      </c>
      <c r="L50" s="410">
        <f t="shared" si="43"/>
        <v>0</v>
      </c>
      <c r="M50" s="411">
        <f t="shared" si="44"/>
        <v>0</v>
      </c>
      <c r="N50" s="411">
        <f t="shared" si="45"/>
        <v>0</v>
      </c>
      <c r="O50" s="411">
        <f t="shared" si="46"/>
        <v>0</v>
      </c>
      <c r="P50" s="452">
        <f t="shared" si="47"/>
        <v>0</v>
      </c>
      <c r="Q50" s="431"/>
      <c r="R50" s="393">
        <f t="shared" si="30"/>
        <v>9</v>
      </c>
      <c r="S50" s="435">
        <f t="shared" si="31"/>
        <v>0</v>
      </c>
      <c r="T50" s="413">
        <f>'ORÇAMENTO GERAL'!$J$31</f>
        <v>308.12</v>
      </c>
      <c r="U50" s="412">
        <f t="shared" si="32"/>
        <v>0</v>
      </c>
      <c r="V50" s="413">
        <f>'ORÇAMENTO GERAL'!$J$32</f>
        <v>7.89</v>
      </c>
      <c r="W50" s="412">
        <f t="shared" si="33"/>
        <v>0</v>
      </c>
      <c r="X50" s="413">
        <f>'ORÇAMENTO GERAL'!$J$33</f>
        <v>6.31</v>
      </c>
      <c r="Y50" s="412">
        <f t="shared" si="34"/>
        <v>0</v>
      </c>
      <c r="Z50" s="413">
        <f>'ORÇAMENTO GERAL'!$J$34</f>
        <v>20.74</v>
      </c>
      <c r="AA50" s="412">
        <f t="shared" si="35"/>
        <v>0</v>
      </c>
      <c r="AB50" s="413">
        <f>'ORÇAMENTO GERAL'!$J$35</f>
        <v>45.16</v>
      </c>
      <c r="AC50" s="412">
        <f t="shared" si="36"/>
        <v>0</v>
      </c>
      <c r="AD50" s="413">
        <f>'ORÇAMENTO GERAL'!$J$36</f>
        <v>5.16</v>
      </c>
      <c r="AE50" s="412">
        <f t="shared" si="37"/>
        <v>0</v>
      </c>
      <c r="AF50" s="413">
        <f>'ORÇAMENTO GERAL'!$J$37</f>
        <v>90.23</v>
      </c>
      <c r="AG50" s="412">
        <f t="shared" si="38"/>
        <v>0</v>
      </c>
      <c r="AH50" s="413">
        <f>'ORÇAMENTO GERAL'!$J$38</f>
        <v>3.38</v>
      </c>
      <c r="AI50" s="413">
        <f t="shared" si="39"/>
        <v>0</v>
      </c>
    </row>
    <row r="51" spans="1:35" s="400" customFormat="1" ht="45" customHeight="1" hidden="1">
      <c r="A51" s="406">
        <v>10</v>
      </c>
      <c r="B51" s="407">
        <f t="shared" si="29"/>
        <v>10</v>
      </c>
      <c r="C51" s="414">
        <v>1</v>
      </c>
      <c r="D51" s="412"/>
      <c r="E51" s="410">
        <f t="shared" si="48"/>
        <v>0</v>
      </c>
      <c r="F51" s="410">
        <v>1.1</v>
      </c>
      <c r="G51" s="410">
        <v>1.2</v>
      </c>
      <c r="H51" s="410">
        <v>0.05</v>
      </c>
      <c r="I51" s="410">
        <f t="shared" si="40"/>
        <v>0</v>
      </c>
      <c r="J51" s="410">
        <f t="shared" si="41"/>
        <v>0</v>
      </c>
      <c r="K51" s="410">
        <f t="shared" si="42"/>
        <v>0</v>
      </c>
      <c r="L51" s="410">
        <f t="shared" si="43"/>
        <v>0</v>
      </c>
      <c r="M51" s="411">
        <f t="shared" si="44"/>
        <v>0</v>
      </c>
      <c r="N51" s="411">
        <f t="shared" si="45"/>
        <v>0</v>
      </c>
      <c r="O51" s="411">
        <f t="shared" si="46"/>
        <v>0</v>
      </c>
      <c r="P51" s="452">
        <f t="shared" si="47"/>
        <v>0</v>
      </c>
      <c r="Q51" s="431"/>
      <c r="R51" s="393">
        <f t="shared" si="30"/>
        <v>10</v>
      </c>
      <c r="S51" s="435">
        <f t="shared" si="31"/>
        <v>0</v>
      </c>
      <c r="T51" s="413">
        <f>'ORÇAMENTO GERAL'!$J$31</f>
        <v>308.12</v>
      </c>
      <c r="U51" s="412">
        <f t="shared" si="32"/>
        <v>0</v>
      </c>
      <c r="V51" s="413">
        <f>'ORÇAMENTO GERAL'!$J$32</f>
        <v>7.89</v>
      </c>
      <c r="W51" s="412">
        <f t="shared" si="33"/>
        <v>0</v>
      </c>
      <c r="X51" s="413">
        <f>'ORÇAMENTO GERAL'!$J$33</f>
        <v>6.31</v>
      </c>
      <c r="Y51" s="412">
        <f t="shared" si="34"/>
        <v>0</v>
      </c>
      <c r="Z51" s="413">
        <f>'ORÇAMENTO GERAL'!$J$34</f>
        <v>20.74</v>
      </c>
      <c r="AA51" s="412">
        <f t="shared" si="35"/>
        <v>0</v>
      </c>
      <c r="AB51" s="413">
        <f>'ORÇAMENTO GERAL'!$J$35</f>
        <v>45.16</v>
      </c>
      <c r="AC51" s="412">
        <f t="shared" si="36"/>
        <v>0</v>
      </c>
      <c r="AD51" s="413">
        <f>'ORÇAMENTO GERAL'!$J$36</f>
        <v>5.16</v>
      </c>
      <c r="AE51" s="412">
        <f t="shared" si="37"/>
        <v>0</v>
      </c>
      <c r="AF51" s="413">
        <f>'ORÇAMENTO GERAL'!$J$37</f>
        <v>90.23</v>
      </c>
      <c r="AG51" s="412">
        <f t="shared" si="38"/>
        <v>0</v>
      </c>
      <c r="AH51" s="413">
        <f>'ORÇAMENTO GERAL'!$J$38</f>
        <v>3.38</v>
      </c>
      <c r="AI51" s="413">
        <f t="shared" si="39"/>
        <v>0</v>
      </c>
    </row>
    <row r="52" spans="1:35" s="400" customFormat="1" ht="45" customHeight="1" hidden="1">
      <c r="A52" s="406">
        <v>11</v>
      </c>
      <c r="B52" s="407">
        <f t="shared" si="29"/>
        <v>11</v>
      </c>
      <c r="C52" s="414">
        <v>1</v>
      </c>
      <c r="D52" s="412"/>
      <c r="E52" s="410">
        <f t="shared" si="48"/>
        <v>0</v>
      </c>
      <c r="F52" s="410">
        <v>1.1</v>
      </c>
      <c r="G52" s="410">
        <v>1.2</v>
      </c>
      <c r="H52" s="410">
        <v>0.05</v>
      </c>
      <c r="I52" s="410">
        <f t="shared" si="40"/>
        <v>0</v>
      </c>
      <c r="J52" s="410">
        <f t="shared" si="41"/>
        <v>0</v>
      </c>
      <c r="K52" s="410">
        <f t="shared" si="42"/>
        <v>0</v>
      </c>
      <c r="L52" s="410">
        <f t="shared" si="43"/>
        <v>0</v>
      </c>
      <c r="M52" s="411">
        <f t="shared" si="44"/>
        <v>0</v>
      </c>
      <c r="N52" s="411">
        <f t="shared" si="45"/>
        <v>0</v>
      </c>
      <c r="O52" s="411">
        <f t="shared" si="46"/>
        <v>0</v>
      </c>
      <c r="P52" s="452">
        <f t="shared" si="47"/>
        <v>0</v>
      </c>
      <c r="Q52" s="431"/>
      <c r="R52" s="393">
        <f>B52</f>
        <v>11</v>
      </c>
      <c r="S52" s="435">
        <f>E52</f>
        <v>0</v>
      </c>
      <c r="T52" s="413">
        <f>'ORÇAMENTO GERAL'!$J$31</f>
        <v>308.12</v>
      </c>
      <c r="U52" s="412">
        <f>I52</f>
        <v>0</v>
      </c>
      <c r="V52" s="413">
        <f>'ORÇAMENTO GERAL'!$J$32</f>
        <v>7.89</v>
      </c>
      <c r="W52" s="412">
        <f>J52</f>
        <v>0</v>
      </c>
      <c r="X52" s="413">
        <f>'ORÇAMENTO GERAL'!$J$33</f>
        <v>6.31</v>
      </c>
      <c r="Y52" s="412">
        <f>L52</f>
        <v>0</v>
      </c>
      <c r="Z52" s="413">
        <f>'ORÇAMENTO GERAL'!$J$34</f>
        <v>20.74</v>
      </c>
      <c r="AA52" s="412">
        <f>M52</f>
        <v>0</v>
      </c>
      <c r="AB52" s="413">
        <f>'ORÇAMENTO GERAL'!$J$35</f>
        <v>45.16</v>
      </c>
      <c r="AC52" s="412">
        <f>N52</f>
        <v>0</v>
      </c>
      <c r="AD52" s="413">
        <f>'ORÇAMENTO GERAL'!$J$36</f>
        <v>5.16</v>
      </c>
      <c r="AE52" s="412">
        <f>O52</f>
        <v>0</v>
      </c>
      <c r="AF52" s="413">
        <f>'ORÇAMENTO GERAL'!$J$37</f>
        <v>90.23</v>
      </c>
      <c r="AG52" s="412">
        <f>P52</f>
        <v>0</v>
      </c>
      <c r="AH52" s="413">
        <f>'ORÇAMENTO GERAL'!$J$38</f>
        <v>3.38</v>
      </c>
      <c r="AI52" s="413">
        <f>(S52*T52)+(U52*V52)+(W52*X52)+(Y52*Z52)+(AA52*AB52)+(AC52*AD52)+(AE52*AF52)+(AG52*AH52)</f>
        <v>0</v>
      </c>
    </row>
    <row r="53" spans="1:35" s="400" customFormat="1" ht="45" customHeight="1" hidden="1">
      <c r="A53" s="406">
        <v>12</v>
      </c>
      <c r="B53" s="407">
        <f t="shared" si="29"/>
        <v>12</v>
      </c>
      <c r="C53" s="414">
        <v>1</v>
      </c>
      <c r="D53" s="412"/>
      <c r="E53" s="410">
        <f t="shared" si="48"/>
        <v>0</v>
      </c>
      <c r="F53" s="410">
        <v>1.1</v>
      </c>
      <c r="G53" s="410">
        <v>1.2</v>
      </c>
      <c r="H53" s="410">
        <v>0.05</v>
      </c>
      <c r="I53" s="410">
        <f t="shared" si="40"/>
        <v>0</v>
      </c>
      <c r="J53" s="410">
        <f t="shared" si="41"/>
        <v>0</v>
      </c>
      <c r="K53" s="410">
        <f t="shared" si="42"/>
        <v>0</v>
      </c>
      <c r="L53" s="410">
        <f t="shared" si="43"/>
        <v>0</v>
      </c>
      <c r="M53" s="411">
        <f t="shared" si="44"/>
        <v>0</v>
      </c>
      <c r="N53" s="411">
        <f t="shared" si="45"/>
        <v>0</v>
      </c>
      <c r="O53" s="411">
        <f t="shared" si="46"/>
        <v>0</v>
      </c>
      <c r="P53" s="452">
        <f t="shared" si="47"/>
        <v>0</v>
      </c>
      <c r="Q53" s="431"/>
      <c r="R53" s="393">
        <f>B53</f>
        <v>12</v>
      </c>
      <c r="S53" s="435">
        <f>E53</f>
        <v>0</v>
      </c>
      <c r="T53" s="413">
        <f>'ORÇAMENTO GERAL'!$J$31</f>
        <v>308.12</v>
      </c>
      <c r="U53" s="412">
        <f>I53</f>
        <v>0</v>
      </c>
      <c r="V53" s="413">
        <f>'ORÇAMENTO GERAL'!$J$32</f>
        <v>7.89</v>
      </c>
      <c r="W53" s="412">
        <f>J53</f>
        <v>0</v>
      </c>
      <c r="X53" s="413">
        <f>'ORÇAMENTO GERAL'!$J$33</f>
        <v>6.31</v>
      </c>
      <c r="Y53" s="412">
        <f>L53</f>
        <v>0</v>
      </c>
      <c r="Z53" s="413">
        <f>'ORÇAMENTO GERAL'!$J$34</f>
        <v>20.74</v>
      </c>
      <c r="AA53" s="412">
        <f>M53</f>
        <v>0</v>
      </c>
      <c r="AB53" s="413">
        <f>'ORÇAMENTO GERAL'!$J$35</f>
        <v>45.16</v>
      </c>
      <c r="AC53" s="412">
        <f>N53</f>
        <v>0</v>
      </c>
      <c r="AD53" s="413">
        <f>'ORÇAMENTO GERAL'!$J$36</f>
        <v>5.16</v>
      </c>
      <c r="AE53" s="412">
        <f>O53</f>
        <v>0</v>
      </c>
      <c r="AF53" s="413">
        <f>'ORÇAMENTO GERAL'!$J$37</f>
        <v>90.23</v>
      </c>
      <c r="AG53" s="412">
        <f>P53</f>
        <v>0</v>
      </c>
      <c r="AH53" s="413">
        <f>'ORÇAMENTO GERAL'!$J$38</f>
        <v>3.38</v>
      </c>
      <c r="AI53" s="413">
        <f>(S53*T53)+(U53*V53)+(W53*X53)+(Y53*Z53)+(AA53*AB53)+(AC53*AD53)+(AE53*AF53)+(AG53*AH53)</f>
        <v>0</v>
      </c>
    </row>
    <row r="54" spans="1:35" s="400" customFormat="1" ht="45" customHeight="1" hidden="1">
      <c r="A54" s="406">
        <v>13</v>
      </c>
      <c r="B54" s="407">
        <f t="shared" si="29"/>
        <v>13</v>
      </c>
      <c r="C54" s="414">
        <v>1</v>
      </c>
      <c r="D54" s="412"/>
      <c r="E54" s="410">
        <f t="shared" si="48"/>
        <v>0</v>
      </c>
      <c r="F54" s="410">
        <v>1.1</v>
      </c>
      <c r="G54" s="410">
        <v>1.2</v>
      </c>
      <c r="H54" s="410">
        <v>0.05</v>
      </c>
      <c r="I54" s="410">
        <f t="shared" si="40"/>
        <v>0</v>
      </c>
      <c r="J54" s="410">
        <f t="shared" si="41"/>
        <v>0</v>
      </c>
      <c r="K54" s="410">
        <f t="shared" si="42"/>
        <v>0</v>
      </c>
      <c r="L54" s="410">
        <f t="shared" si="43"/>
        <v>0</v>
      </c>
      <c r="M54" s="411">
        <f t="shared" si="44"/>
        <v>0</v>
      </c>
      <c r="N54" s="411">
        <f t="shared" si="45"/>
        <v>0</v>
      </c>
      <c r="O54" s="411">
        <f t="shared" si="46"/>
        <v>0</v>
      </c>
      <c r="P54" s="452">
        <f t="shared" si="47"/>
        <v>0</v>
      </c>
      <c r="Q54" s="431"/>
      <c r="R54" s="393">
        <f>B54</f>
        <v>13</v>
      </c>
      <c r="S54" s="435">
        <f>E54</f>
        <v>0</v>
      </c>
      <c r="T54" s="413">
        <f>'ORÇAMENTO GERAL'!$J$31</f>
        <v>308.12</v>
      </c>
      <c r="U54" s="412">
        <f>I54</f>
        <v>0</v>
      </c>
      <c r="V54" s="413">
        <f>'ORÇAMENTO GERAL'!$J$32</f>
        <v>7.89</v>
      </c>
      <c r="W54" s="412">
        <f>J54</f>
        <v>0</v>
      </c>
      <c r="X54" s="413">
        <f>'ORÇAMENTO GERAL'!$J$33</f>
        <v>6.31</v>
      </c>
      <c r="Y54" s="412">
        <f>L54</f>
        <v>0</v>
      </c>
      <c r="Z54" s="413">
        <f>'ORÇAMENTO GERAL'!$J$34</f>
        <v>20.74</v>
      </c>
      <c r="AA54" s="412">
        <f>M54</f>
        <v>0</v>
      </c>
      <c r="AB54" s="413">
        <f>'ORÇAMENTO GERAL'!$J$35</f>
        <v>45.16</v>
      </c>
      <c r="AC54" s="412">
        <f>N54</f>
        <v>0</v>
      </c>
      <c r="AD54" s="413">
        <f>'ORÇAMENTO GERAL'!$J$36</f>
        <v>5.16</v>
      </c>
      <c r="AE54" s="412">
        <f>O54</f>
        <v>0</v>
      </c>
      <c r="AF54" s="413">
        <f>'ORÇAMENTO GERAL'!$J$37</f>
        <v>90.23</v>
      </c>
      <c r="AG54" s="412">
        <f>P54</f>
        <v>0</v>
      </c>
      <c r="AH54" s="413">
        <f>'ORÇAMENTO GERAL'!$J$38</f>
        <v>3.38</v>
      </c>
      <c r="AI54" s="413">
        <f>(S54*T54)+(U54*V54)+(W54*X54)+(Y54*Z54)+(AA54*AB54)+(AC54*AD54)+(AE54*AF54)+(AG54*AH54)</f>
        <v>0</v>
      </c>
    </row>
    <row r="55" spans="1:35" s="400" customFormat="1" ht="45" customHeight="1" hidden="1">
      <c r="A55" s="406">
        <v>14</v>
      </c>
      <c r="B55" s="407">
        <f t="shared" si="29"/>
        <v>14</v>
      </c>
      <c r="C55" s="414">
        <v>1</v>
      </c>
      <c r="D55" s="412"/>
      <c r="E55" s="410">
        <f t="shared" si="48"/>
        <v>0</v>
      </c>
      <c r="F55" s="410">
        <v>1.1</v>
      </c>
      <c r="G55" s="410">
        <v>1.2</v>
      </c>
      <c r="H55" s="410">
        <v>0.05</v>
      </c>
      <c r="I55" s="410">
        <f t="shared" si="40"/>
        <v>0</v>
      </c>
      <c r="J55" s="410">
        <f t="shared" si="41"/>
        <v>0</v>
      </c>
      <c r="K55" s="410">
        <f t="shared" si="42"/>
        <v>0</v>
      </c>
      <c r="L55" s="410">
        <f t="shared" si="43"/>
        <v>0</v>
      </c>
      <c r="M55" s="411">
        <f t="shared" si="44"/>
        <v>0</v>
      </c>
      <c r="N55" s="411">
        <f t="shared" si="45"/>
        <v>0</v>
      </c>
      <c r="O55" s="411">
        <f t="shared" si="46"/>
        <v>0</v>
      </c>
      <c r="P55" s="452">
        <f t="shared" si="47"/>
        <v>0</v>
      </c>
      <c r="Q55" s="431"/>
      <c r="R55" s="393">
        <f>B55</f>
        <v>14</v>
      </c>
      <c r="S55" s="435">
        <f>E55</f>
        <v>0</v>
      </c>
      <c r="T55" s="413">
        <f>'ORÇAMENTO GERAL'!$J$31</f>
        <v>308.12</v>
      </c>
      <c r="U55" s="412">
        <f>I55</f>
        <v>0</v>
      </c>
      <c r="V55" s="413">
        <f>'ORÇAMENTO GERAL'!$J$32</f>
        <v>7.89</v>
      </c>
      <c r="W55" s="412">
        <f>J55</f>
        <v>0</v>
      </c>
      <c r="X55" s="413">
        <f>'ORÇAMENTO GERAL'!$J$33</f>
        <v>6.31</v>
      </c>
      <c r="Y55" s="412">
        <f>L55</f>
        <v>0</v>
      </c>
      <c r="Z55" s="413">
        <f>'ORÇAMENTO GERAL'!$J$34</f>
        <v>20.74</v>
      </c>
      <c r="AA55" s="412">
        <f>M55</f>
        <v>0</v>
      </c>
      <c r="AB55" s="413">
        <f>'ORÇAMENTO GERAL'!$J$35</f>
        <v>45.16</v>
      </c>
      <c r="AC55" s="412">
        <f>N55</f>
        <v>0</v>
      </c>
      <c r="AD55" s="413">
        <f>'ORÇAMENTO GERAL'!$J$36</f>
        <v>5.16</v>
      </c>
      <c r="AE55" s="412">
        <f>O55</f>
        <v>0</v>
      </c>
      <c r="AF55" s="413">
        <f>'ORÇAMENTO GERAL'!$J$37</f>
        <v>90.23</v>
      </c>
      <c r="AG55" s="412">
        <f>P55</f>
        <v>0</v>
      </c>
      <c r="AH55" s="413">
        <f>'ORÇAMENTO GERAL'!$J$38</f>
        <v>3.38</v>
      </c>
      <c r="AI55" s="413">
        <f>(S55*T55)+(U55*V55)+(W55*X55)+(Y55*Z55)+(AA55*AB55)+(AC55*AD55)+(AE55*AF55)+(AG55*AH55)</f>
        <v>0</v>
      </c>
    </row>
    <row r="56" spans="1:35" s="400" customFormat="1" ht="45" customHeight="1" hidden="1">
      <c r="A56" s="406">
        <v>15</v>
      </c>
      <c r="B56" s="407">
        <f t="shared" si="29"/>
        <v>15</v>
      </c>
      <c r="C56" s="414">
        <v>1</v>
      </c>
      <c r="D56" s="412"/>
      <c r="E56" s="410">
        <f t="shared" si="48"/>
        <v>0</v>
      </c>
      <c r="F56" s="410">
        <v>1.1</v>
      </c>
      <c r="G56" s="410">
        <v>1.2</v>
      </c>
      <c r="H56" s="410">
        <v>0.05</v>
      </c>
      <c r="I56" s="410">
        <f t="shared" si="40"/>
        <v>0</v>
      </c>
      <c r="J56" s="410">
        <f t="shared" si="41"/>
        <v>0</v>
      </c>
      <c r="K56" s="410">
        <f t="shared" si="42"/>
        <v>0</v>
      </c>
      <c r="L56" s="410">
        <f t="shared" si="43"/>
        <v>0</v>
      </c>
      <c r="M56" s="411">
        <f t="shared" si="44"/>
        <v>0</v>
      </c>
      <c r="N56" s="411">
        <f t="shared" si="45"/>
        <v>0</v>
      </c>
      <c r="O56" s="411">
        <f t="shared" si="46"/>
        <v>0</v>
      </c>
      <c r="P56" s="452">
        <f t="shared" si="47"/>
        <v>0</v>
      </c>
      <c r="Q56" s="431"/>
      <c r="R56" s="393">
        <f t="shared" si="30"/>
        <v>15</v>
      </c>
      <c r="S56" s="435">
        <f t="shared" si="31"/>
        <v>0</v>
      </c>
      <c r="T56" s="413">
        <f>'ORÇAMENTO GERAL'!$J$31</f>
        <v>308.12</v>
      </c>
      <c r="U56" s="412">
        <f t="shared" si="32"/>
        <v>0</v>
      </c>
      <c r="V56" s="413">
        <f>'ORÇAMENTO GERAL'!$J$32</f>
        <v>7.89</v>
      </c>
      <c r="W56" s="412">
        <f t="shared" si="33"/>
        <v>0</v>
      </c>
      <c r="X56" s="413">
        <f>'ORÇAMENTO GERAL'!$J$33</f>
        <v>6.31</v>
      </c>
      <c r="Y56" s="412">
        <f t="shared" si="34"/>
        <v>0</v>
      </c>
      <c r="Z56" s="413">
        <f>'ORÇAMENTO GERAL'!$J$34</f>
        <v>20.74</v>
      </c>
      <c r="AA56" s="412">
        <f t="shared" si="35"/>
        <v>0</v>
      </c>
      <c r="AB56" s="413">
        <f>'ORÇAMENTO GERAL'!$J$35</f>
        <v>45.16</v>
      </c>
      <c r="AC56" s="412">
        <f t="shared" si="36"/>
        <v>0</v>
      </c>
      <c r="AD56" s="413">
        <f>'ORÇAMENTO GERAL'!$J$36</f>
        <v>5.16</v>
      </c>
      <c r="AE56" s="412">
        <f t="shared" si="37"/>
        <v>0</v>
      </c>
      <c r="AF56" s="413">
        <f>'ORÇAMENTO GERAL'!$J$37</f>
        <v>90.23</v>
      </c>
      <c r="AG56" s="412">
        <f t="shared" si="38"/>
        <v>0</v>
      </c>
      <c r="AH56" s="413">
        <f>'ORÇAMENTO GERAL'!$J$38</f>
        <v>3.38</v>
      </c>
      <c r="AI56" s="413">
        <f t="shared" si="39"/>
        <v>0</v>
      </c>
    </row>
    <row r="57" spans="1:35" s="400" customFormat="1" ht="45" customHeight="1" hidden="1">
      <c r="A57" s="406">
        <v>16</v>
      </c>
      <c r="B57" s="407">
        <f t="shared" si="29"/>
        <v>16</v>
      </c>
      <c r="C57" s="414">
        <v>1</v>
      </c>
      <c r="D57" s="412"/>
      <c r="E57" s="410">
        <f t="shared" si="48"/>
        <v>0</v>
      </c>
      <c r="F57" s="410">
        <v>1.1</v>
      </c>
      <c r="G57" s="410">
        <v>1.2</v>
      </c>
      <c r="H57" s="410">
        <v>0.05</v>
      </c>
      <c r="I57" s="410">
        <f t="shared" si="40"/>
        <v>0</v>
      </c>
      <c r="J57" s="410">
        <f t="shared" si="41"/>
        <v>0</v>
      </c>
      <c r="K57" s="410">
        <f t="shared" si="42"/>
        <v>0</v>
      </c>
      <c r="L57" s="410">
        <f t="shared" si="43"/>
        <v>0</v>
      </c>
      <c r="M57" s="411">
        <f t="shared" si="44"/>
        <v>0</v>
      </c>
      <c r="N57" s="411">
        <f t="shared" si="45"/>
        <v>0</v>
      </c>
      <c r="O57" s="411">
        <f t="shared" si="46"/>
        <v>0</v>
      </c>
      <c r="P57" s="452">
        <f t="shared" si="47"/>
        <v>0</v>
      </c>
      <c r="Q57" s="431"/>
      <c r="R57" s="393">
        <f t="shared" si="30"/>
        <v>16</v>
      </c>
      <c r="S57" s="435">
        <f t="shared" si="31"/>
        <v>0</v>
      </c>
      <c r="T57" s="413">
        <f>'ORÇAMENTO GERAL'!$J$31</f>
        <v>308.12</v>
      </c>
      <c r="U57" s="412">
        <f t="shared" si="32"/>
        <v>0</v>
      </c>
      <c r="V57" s="413">
        <f>'ORÇAMENTO GERAL'!$J$32</f>
        <v>7.89</v>
      </c>
      <c r="W57" s="412">
        <f t="shared" si="33"/>
        <v>0</v>
      </c>
      <c r="X57" s="413">
        <f>'ORÇAMENTO GERAL'!$J$33</f>
        <v>6.31</v>
      </c>
      <c r="Y57" s="412">
        <f t="shared" si="34"/>
        <v>0</v>
      </c>
      <c r="Z57" s="413">
        <f>'ORÇAMENTO GERAL'!$J$34</f>
        <v>20.74</v>
      </c>
      <c r="AA57" s="412">
        <f t="shared" si="35"/>
        <v>0</v>
      </c>
      <c r="AB57" s="413">
        <f>'ORÇAMENTO GERAL'!$J$35</f>
        <v>45.16</v>
      </c>
      <c r="AC57" s="412">
        <f t="shared" si="36"/>
        <v>0</v>
      </c>
      <c r="AD57" s="413">
        <f>'ORÇAMENTO GERAL'!$J$36</f>
        <v>5.16</v>
      </c>
      <c r="AE57" s="412">
        <f t="shared" si="37"/>
        <v>0</v>
      </c>
      <c r="AF57" s="413">
        <f>'ORÇAMENTO GERAL'!$J$37</f>
        <v>90.23</v>
      </c>
      <c r="AG57" s="412">
        <f t="shared" si="38"/>
        <v>0</v>
      </c>
      <c r="AH57" s="413">
        <f>'ORÇAMENTO GERAL'!$J$38</f>
        <v>3.38</v>
      </c>
      <c r="AI57" s="413">
        <f t="shared" si="39"/>
        <v>0</v>
      </c>
    </row>
    <row r="58" spans="1:35" s="400" customFormat="1" ht="45" customHeight="1" hidden="1">
      <c r="A58" s="406">
        <v>17</v>
      </c>
      <c r="B58" s="407">
        <f t="shared" si="29"/>
        <v>17</v>
      </c>
      <c r="C58" s="414">
        <v>1</v>
      </c>
      <c r="D58" s="412"/>
      <c r="E58" s="410">
        <f t="shared" si="48"/>
        <v>0</v>
      </c>
      <c r="F58" s="410">
        <v>1.1</v>
      </c>
      <c r="G58" s="410">
        <v>1.2</v>
      </c>
      <c r="H58" s="410">
        <v>0.05</v>
      </c>
      <c r="I58" s="410">
        <f t="shared" si="40"/>
        <v>0</v>
      </c>
      <c r="J58" s="410">
        <f t="shared" si="41"/>
        <v>0</v>
      </c>
      <c r="K58" s="410">
        <f t="shared" si="42"/>
        <v>0</v>
      </c>
      <c r="L58" s="410">
        <f t="shared" si="43"/>
        <v>0</v>
      </c>
      <c r="M58" s="411">
        <f t="shared" si="44"/>
        <v>0</v>
      </c>
      <c r="N58" s="411">
        <f t="shared" si="45"/>
        <v>0</v>
      </c>
      <c r="O58" s="411">
        <f t="shared" si="46"/>
        <v>0</v>
      </c>
      <c r="P58" s="452">
        <f t="shared" si="47"/>
        <v>0</v>
      </c>
      <c r="Q58" s="431"/>
      <c r="R58" s="393">
        <f t="shared" si="30"/>
        <v>17</v>
      </c>
      <c r="S58" s="435">
        <f t="shared" si="31"/>
        <v>0</v>
      </c>
      <c r="T58" s="413">
        <f>'ORÇAMENTO GERAL'!$J$31</f>
        <v>308.12</v>
      </c>
      <c r="U58" s="412">
        <f t="shared" si="32"/>
        <v>0</v>
      </c>
      <c r="V58" s="413">
        <f>'ORÇAMENTO GERAL'!$J$32</f>
        <v>7.89</v>
      </c>
      <c r="W58" s="412">
        <f t="shared" si="33"/>
        <v>0</v>
      </c>
      <c r="X58" s="413">
        <f>'ORÇAMENTO GERAL'!$J$33</f>
        <v>6.31</v>
      </c>
      <c r="Y58" s="412">
        <f t="shared" si="34"/>
        <v>0</v>
      </c>
      <c r="Z58" s="413">
        <f>'ORÇAMENTO GERAL'!$J$34</f>
        <v>20.74</v>
      </c>
      <c r="AA58" s="412">
        <f t="shared" si="35"/>
        <v>0</v>
      </c>
      <c r="AB58" s="413">
        <f>'ORÇAMENTO GERAL'!$J$35</f>
        <v>45.16</v>
      </c>
      <c r="AC58" s="412">
        <f t="shared" si="36"/>
        <v>0</v>
      </c>
      <c r="AD58" s="413">
        <f>'ORÇAMENTO GERAL'!$J$36</f>
        <v>5.16</v>
      </c>
      <c r="AE58" s="412">
        <f t="shared" si="37"/>
        <v>0</v>
      </c>
      <c r="AF58" s="413">
        <f>'ORÇAMENTO GERAL'!$J$37</f>
        <v>90.23</v>
      </c>
      <c r="AG58" s="412">
        <f t="shared" si="38"/>
        <v>0</v>
      </c>
      <c r="AH58" s="413">
        <f>'ORÇAMENTO GERAL'!$J$38</f>
        <v>3.38</v>
      </c>
      <c r="AI58" s="413">
        <f t="shared" si="39"/>
        <v>0</v>
      </c>
    </row>
    <row r="59" spans="1:35" s="400" customFormat="1" ht="45" customHeight="1" hidden="1">
      <c r="A59" s="406">
        <v>18</v>
      </c>
      <c r="B59" s="407">
        <f t="shared" si="29"/>
        <v>18</v>
      </c>
      <c r="C59" s="414">
        <v>1</v>
      </c>
      <c r="D59" s="412"/>
      <c r="E59" s="410">
        <f t="shared" si="48"/>
        <v>0</v>
      </c>
      <c r="F59" s="410">
        <v>1.1</v>
      </c>
      <c r="G59" s="410">
        <v>1.2</v>
      </c>
      <c r="H59" s="410">
        <v>0.05</v>
      </c>
      <c r="I59" s="410">
        <f t="shared" si="40"/>
        <v>0</v>
      </c>
      <c r="J59" s="410">
        <f t="shared" si="41"/>
        <v>0</v>
      </c>
      <c r="K59" s="410">
        <f t="shared" si="42"/>
        <v>0</v>
      </c>
      <c r="L59" s="410">
        <f t="shared" si="43"/>
        <v>0</v>
      </c>
      <c r="M59" s="411">
        <f t="shared" si="44"/>
        <v>0</v>
      </c>
      <c r="N59" s="411">
        <f t="shared" si="45"/>
        <v>0</v>
      </c>
      <c r="O59" s="411">
        <f t="shared" si="46"/>
        <v>0</v>
      </c>
      <c r="P59" s="452">
        <f t="shared" si="47"/>
        <v>0</v>
      </c>
      <c r="Q59" s="431"/>
      <c r="R59" s="393">
        <f t="shared" si="30"/>
        <v>18</v>
      </c>
      <c r="S59" s="435">
        <f t="shared" si="31"/>
        <v>0</v>
      </c>
      <c r="T59" s="413">
        <f>'ORÇAMENTO GERAL'!$J$31</f>
        <v>308.12</v>
      </c>
      <c r="U59" s="412">
        <f t="shared" si="32"/>
        <v>0</v>
      </c>
      <c r="V59" s="413">
        <f>'ORÇAMENTO GERAL'!$J$32</f>
        <v>7.89</v>
      </c>
      <c r="W59" s="412">
        <f t="shared" si="33"/>
        <v>0</v>
      </c>
      <c r="X59" s="413">
        <f>'ORÇAMENTO GERAL'!$J$33</f>
        <v>6.31</v>
      </c>
      <c r="Y59" s="412">
        <f t="shared" si="34"/>
        <v>0</v>
      </c>
      <c r="Z59" s="413">
        <f>'ORÇAMENTO GERAL'!$J$34</f>
        <v>20.74</v>
      </c>
      <c r="AA59" s="412">
        <f t="shared" si="35"/>
        <v>0</v>
      </c>
      <c r="AB59" s="413">
        <f>'ORÇAMENTO GERAL'!$J$35</f>
        <v>45.16</v>
      </c>
      <c r="AC59" s="412">
        <f t="shared" si="36"/>
        <v>0</v>
      </c>
      <c r="AD59" s="413">
        <f>'ORÇAMENTO GERAL'!$J$36</f>
        <v>5.16</v>
      </c>
      <c r="AE59" s="412">
        <f t="shared" si="37"/>
        <v>0</v>
      </c>
      <c r="AF59" s="413">
        <f>'ORÇAMENTO GERAL'!$J$37</f>
        <v>90.23</v>
      </c>
      <c r="AG59" s="412">
        <f t="shared" si="38"/>
        <v>0</v>
      </c>
      <c r="AH59" s="413">
        <f>'ORÇAMENTO GERAL'!$J$38</f>
        <v>3.38</v>
      </c>
      <c r="AI59" s="413">
        <f t="shared" si="39"/>
        <v>0</v>
      </c>
    </row>
    <row r="60" spans="1:35" s="400" customFormat="1" ht="45" customHeight="1" hidden="1">
      <c r="A60" s="406">
        <v>19</v>
      </c>
      <c r="B60" s="407">
        <f t="shared" si="29"/>
        <v>19</v>
      </c>
      <c r="C60" s="414">
        <v>1</v>
      </c>
      <c r="D60" s="411"/>
      <c r="E60" s="410">
        <f t="shared" si="48"/>
        <v>0</v>
      </c>
      <c r="F60" s="410">
        <v>1.1</v>
      </c>
      <c r="G60" s="410">
        <v>1.2</v>
      </c>
      <c r="H60" s="410">
        <v>0.05</v>
      </c>
      <c r="I60" s="410">
        <f t="shared" si="40"/>
        <v>0</v>
      </c>
      <c r="J60" s="410">
        <f t="shared" si="41"/>
        <v>0</v>
      </c>
      <c r="K60" s="410">
        <f t="shared" si="42"/>
        <v>0</v>
      </c>
      <c r="L60" s="410">
        <f t="shared" si="43"/>
        <v>0</v>
      </c>
      <c r="M60" s="411">
        <f t="shared" si="44"/>
        <v>0</v>
      </c>
      <c r="N60" s="411">
        <f t="shared" si="45"/>
        <v>0</v>
      </c>
      <c r="O60" s="411">
        <f t="shared" si="46"/>
        <v>0</v>
      </c>
      <c r="P60" s="452">
        <f t="shared" si="47"/>
        <v>0</v>
      </c>
      <c r="Q60" s="431"/>
      <c r="R60" s="393">
        <f>B60</f>
        <v>19</v>
      </c>
      <c r="S60" s="435">
        <f>E60</f>
        <v>0</v>
      </c>
      <c r="T60" s="413">
        <f>'ORÇAMENTO GERAL'!$J$31</f>
        <v>308.12</v>
      </c>
      <c r="U60" s="412">
        <f>I60</f>
        <v>0</v>
      </c>
      <c r="V60" s="413">
        <f>'ORÇAMENTO GERAL'!$J$32</f>
        <v>7.89</v>
      </c>
      <c r="W60" s="412">
        <f>J60</f>
        <v>0</v>
      </c>
      <c r="X60" s="413">
        <f>'ORÇAMENTO GERAL'!$J$33</f>
        <v>6.31</v>
      </c>
      <c r="Y60" s="412">
        <f>L60</f>
        <v>0</v>
      </c>
      <c r="Z60" s="413">
        <f>'ORÇAMENTO GERAL'!$J$34</f>
        <v>20.74</v>
      </c>
      <c r="AA60" s="412">
        <f>M60</f>
        <v>0</v>
      </c>
      <c r="AB60" s="413">
        <f>'ORÇAMENTO GERAL'!$J$35</f>
        <v>45.16</v>
      </c>
      <c r="AC60" s="412">
        <f>N60</f>
        <v>0</v>
      </c>
      <c r="AD60" s="413">
        <f>'ORÇAMENTO GERAL'!$J$36</f>
        <v>5.16</v>
      </c>
      <c r="AE60" s="412">
        <f>O60</f>
        <v>0</v>
      </c>
      <c r="AF60" s="413">
        <f>'ORÇAMENTO GERAL'!$J$37</f>
        <v>90.23</v>
      </c>
      <c r="AG60" s="412">
        <f>P60</f>
        <v>0</v>
      </c>
      <c r="AH60" s="413">
        <f>'ORÇAMENTO GERAL'!$J$38</f>
        <v>3.38</v>
      </c>
      <c r="AI60" s="413">
        <f>(S60*T60)+(U60*V60)+(W60*X60)+(Y60*Z60)+(AA60*AB60)+(AC60*AD60)+(AE60*AF60)+(AG60*AH60)</f>
        <v>0</v>
      </c>
    </row>
    <row r="61" spans="1:35" s="400" customFormat="1" ht="45" customHeight="1" hidden="1" thickBot="1">
      <c r="A61" s="450">
        <v>20</v>
      </c>
      <c r="B61" s="407">
        <f t="shared" si="29"/>
        <v>20</v>
      </c>
      <c r="C61" s="414">
        <v>1</v>
      </c>
      <c r="D61" s="451"/>
      <c r="E61" s="410">
        <f t="shared" si="48"/>
        <v>0</v>
      </c>
      <c r="F61" s="410">
        <v>1.1</v>
      </c>
      <c r="G61" s="410">
        <v>1.2</v>
      </c>
      <c r="H61" s="410">
        <v>0.05</v>
      </c>
      <c r="I61" s="410">
        <f t="shared" si="40"/>
        <v>0</v>
      </c>
      <c r="J61" s="410">
        <f t="shared" si="41"/>
        <v>0</v>
      </c>
      <c r="K61" s="410">
        <f t="shared" si="42"/>
        <v>0</v>
      </c>
      <c r="L61" s="410">
        <f t="shared" si="43"/>
        <v>0</v>
      </c>
      <c r="M61" s="411">
        <f t="shared" si="44"/>
        <v>0</v>
      </c>
      <c r="N61" s="411">
        <f t="shared" si="45"/>
        <v>0</v>
      </c>
      <c r="O61" s="411">
        <f t="shared" si="46"/>
        <v>0</v>
      </c>
      <c r="P61" s="452">
        <f t="shared" si="47"/>
        <v>0</v>
      </c>
      <c r="Q61" s="431"/>
      <c r="R61" s="393">
        <f t="shared" si="30"/>
        <v>20</v>
      </c>
      <c r="S61" s="435">
        <f t="shared" si="31"/>
        <v>0</v>
      </c>
      <c r="T61" s="413">
        <f>'ORÇAMENTO GERAL'!$J$31</f>
        <v>308.12</v>
      </c>
      <c r="U61" s="412">
        <f t="shared" si="32"/>
        <v>0</v>
      </c>
      <c r="V61" s="413">
        <f>'ORÇAMENTO GERAL'!$J$32</f>
        <v>7.89</v>
      </c>
      <c r="W61" s="412">
        <f t="shared" si="33"/>
        <v>0</v>
      </c>
      <c r="X61" s="413">
        <f>'ORÇAMENTO GERAL'!$J$33</f>
        <v>6.31</v>
      </c>
      <c r="Y61" s="412">
        <f t="shared" si="34"/>
        <v>0</v>
      </c>
      <c r="Z61" s="413">
        <f>'ORÇAMENTO GERAL'!$J$34</f>
        <v>20.74</v>
      </c>
      <c r="AA61" s="412">
        <f t="shared" si="35"/>
        <v>0</v>
      </c>
      <c r="AB61" s="413">
        <f>'ORÇAMENTO GERAL'!$J$35</f>
        <v>45.16</v>
      </c>
      <c r="AC61" s="412">
        <f t="shared" si="36"/>
        <v>0</v>
      </c>
      <c r="AD61" s="413">
        <f>'ORÇAMENTO GERAL'!$J$36</f>
        <v>5.16</v>
      </c>
      <c r="AE61" s="412">
        <f t="shared" si="37"/>
        <v>0</v>
      </c>
      <c r="AF61" s="413">
        <f>'ORÇAMENTO GERAL'!$J$37</f>
        <v>90.23</v>
      </c>
      <c r="AG61" s="412">
        <f t="shared" si="38"/>
        <v>0</v>
      </c>
      <c r="AH61" s="413">
        <f>'ORÇAMENTO GERAL'!$J$38</f>
        <v>3.38</v>
      </c>
      <c r="AI61" s="413">
        <f t="shared" si="39"/>
        <v>0</v>
      </c>
    </row>
    <row r="62" spans="1:17" s="400" customFormat="1" ht="45" customHeight="1" thickBot="1">
      <c r="A62" s="806" t="s">
        <v>29</v>
      </c>
      <c r="B62" s="807"/>
      <c r="C62" s="415"/>
      <c r="D62" s="415"/>
      <c r="E62" s="415">
        <f>SUM(E42:E61)</f>
        <v>315</v>
      </c>
      <c r="F62" s="415"/>
      <c r="G62" s="415"/>
      <c r="H62" s="415"/>
      <c r="I62" s="415">
        <f>SUM(I42:I61)</f>
        <v>434.7</v>
      </c>
      <c r="J62" s="415">
        <f>SUM(J42:J61)</f>
        <v>346.5</v>
      </c>
      <c r="K62" s="415"/>
      <c r="L62" s="415">
        <f>SUM(L42:L61)</f>
        <v>345.681</v>
      </c>
      <c r="M62" s="415">
        <f>SUM(M42:M61)</f>
        <v>346.5</v>
      </c>
      <c r="N62" s="415">
        <f>SUM(N42:N61)</f>
        <v>142.43040000000002</v>
      </c>
      <c r="O62" s="415">
        <f>SUM(O42:O61)</f>
        <v>315</v>
      </c>
      <c r="P62" s="415">
        <f>SUM(P42:P61)</f>
        <v>1112.7375000000002</v>
      </c>
      <c r="Q62" s="430"/>
    </row>
    <row r="63" spans="3:8" s="400" customFormat="1" ht="45" customHeight="1" thickBot="1">
      <c r="C63" s="420"/>
      <c r="D63" s="420"/>
      <c r="E63" s="420"/>
      <c r="F63" s="420"/>
      <c r="G63" s="420"/>
      <c r="H63" s="420"/>
    </row>
    <row r="64" spans="1:35" s="400" customFormat="1" ht="45" customHeight="1" thickBot="1">
      <c r="A64" s="823" t="s">
        <v>472</v>
      </c>
      <c r="B64" s="824"/>
      <c r="C64" s="824"/>
      <c r="D64" s="824"/>
      <c r="E64" s="824"/>
      <c r="F64" s="824"/>
      <c r="G64" s="824"/>
      <c r="H64" s="824"/>
      <c r="I64" s="824"/>
      <c r="J64" s="824"/>
      <c r="K64" s="824"/>
      <c r="L64" s="824"/>
      <c r="M64" s="824"/>
      <c r="N64" s="824"/>
      <c r="O64" s="824"/>
      <c r="P64" s="825"/>
      <c r="Q64" s="428"/>
      <c r="R64" s="796" t="str">
        <f>A64</f>
        <v>CÁLCULO PARA TUBULAÇÃO DE 800 MM</v>
      </c>
      <c r="S64" s="797"/>
      <c r="T64" s="797"/>
      <c r="U64" s="797"/>
      <c r="V64" s="797"/>
      <c r="W64" s="797"/>
      <c r="X64" s="797"/>
      <c r="Y64" s="797"/>
      <c r="Z64" s="797"/>
      <c r="AA64" s="797"/>
      <c r="AB64" s="797"/>
      <c r="AC64" s="797"/>
      <c r="AD64" s="797"/>
      <c r="AE64" s="797"/>
      <c r="AF64" s="797"/>
      <c r="AG64" s="797"/>
      <c r="AH64" s="797"/>
      <c r="AI64" s="798"/>
    </row>
    <row r="65" spans="1:35" s="400" customFormat="1" ht="45" customHeight="1">
      <c r="A65" s="812" t="s">
        <v>7</v>
      </c>
      <c r="B65" s="820" t="s">
        <v>474</v>
      </c>
      <c r="C65" s="808" t="s">
        <v>485</v>
      </c>
      <c r="D65" s="808"/>
      <c r="E65" s="808"/>
      <c r="F65" s="810" t="s">
        <v>449</v>
      </c>
      <c r="G65" s="810"/>
      <c r="H65" s="810"/>
      <c r="I65" s="810"/>
      <c r="J65" s="810" t="s">
        <v>459</v>
      </c>
      <c r="K65" s="808" t="s">
        <v>450</v>
      </c>
      <c r="L65" s="808"/>
      <c r="M65" s="810" t="s">
        <v>465</v>
      </c>
      <c r="N65" s="808" t="s">
        <v>466</v>
      </c>
      <c r="O65" s="808" t="s">
        <v>468</v>
      </c>
      <c r="P65" s="818" t="s">
        <v>45</v>
      </c>
      <c r="Q65" s="428"/>
      <c r="R65" s="799" t="s">
        <v>260</v>
      </c>
      <c r="S65" s="801" t="s">
        <v>477</v>
      </c>
      <c r="T65" s="795" t="s">
        <v>487</v>
      </c>
      <c r="U65" s="795" t="s">
        <v>475</v>
      </c>
      <c r="V65" s="795" t="s">
        <v>487</v>
      </c>
      <c r="W65" s="795" t="s">
        <v>459</v>
      </c>
      <c r="X65" s="795" t="s">
        <v>487</v>
      </c>
      <c r="Y65" s="795" t="s">
        <v>450</v>
      </c>
      <c r="Z65" s="795" t="s">
        <v>487</v>
      </c>
      <c r="AA65" s="795" t="s">
        <v>476</v>
      </c>
      <c r="AB65" s="795" t="s">
        <v>487</v>
      </c>
      <c r="AC65" s="795" t="s">
        <v>466</v>
      </c>
      <c r="AD65" s="795" t="s">
        <v>487</v>
      </c>
      <c r="AE65" s="795" t="s">
        <v>468</v>
      </c>
      <c r="AF65" s="795" t="s">
        <v>487</v>
      </c>
      <c r="AG65" s="795" t="s">
        <v>45</v>
      </c>
      <c r="AH65" s="795" t="s">
        <v>487</v>
      </c>
      <c r="AI65" s="795" t="s">
        <v>478</v>
      </c>
    </row>
    <row r="66" spans="1:35" s="400" customFormat="1" ht="45" customHeight="1">
      <c r="A66" s="813"/>
      <c r="B66" s="821"/>
      <c r="C66" s="809"/>
      <c r="D66" s="809"/>
      <c r="E66" s="809"/>
      <c r="F66" s="811"/>
      <c r="G66" s="811"/>
      <c r="H66" s="811"/>
      <c r="I66" s="811"/>
      <c r="J66" s="811"/>
      <c r="K66" s="809"/>
      <c r="L66" s="809"/>
      <c r="M66" s="811"/>
      <c r="N66" s="809"/>
      <c r="O66" s="809"/>
      <c r="P66" s="819"/>
      <c r="Q66" s="428"/>
      <c r="R66" s="800"/>
      <c r="S66" s="802"/>
      <c r="T66" s="794"/>
      <c r="U66" s="794"/>
      <c r="V66" s="794"/>
      <c r="W66" s="794"/>
      <c r="X66" s="794"/>
      <c r="Y66" s="794"/>
      <c r="Z66" s="794"/>
      <c r="AA66" s="794"/>
      <c r="AB66" s="794"/>
      <c r="AC66" s="794"/>
      <c r="AD66" s="794"/>
      <c r="AE66" s="794"/>
      <c r="AF66" s="794"/>
      <c r="AG66" s="794"/>
      <c r="AH66" s="794"/>
      <c r="AI66" s="794"/>
    </row>
    <row r="67" spans="1:35" s="400" customFormat="1" ht="45" customHeight="1">
      <c r="A67" s="813"/>
      <c r="B67" s="821"/>
      <c r="C67" s="401" t="s">
        <v>170</v>
      </c>
      <c r="D67" s="401" t="s">
        <v>454</v>
      </c>
      <c r="E67" s="401" t="s">
        <v>457</v>
      </c>
      <c r="F67" s="401" t="s">
        <v>448</v>
      </c>
      <c r="G67" s="401" t="s">
        <v>456</v>
      </c>
      <c r="H67" s="401" t="s">
        <v>458</v>
      </c>
      <c r="I67" s="401" t="s">
        <v>29</v>
      </c>
      <c r="J67" s="811"/>
      <c r="K67" s="401" t="s">
        <v>460</v>
      </c>
      <c r="L67" s="401" t="s">
        <v>29</v>
      </c>
      <c r="M67" s="811"/>
      <c r="N67" s="809"/>
      <c r="O67" s="809"/>
      <c r="P67" s="819"/>
      <c r="Q67" s="428"/>
      <c r="R67" s="800"/>
      <c r="S67" s="802"/>
      <c r="T67" s="794"/>
      <c r="U67" s="794"/>
      <c r="V67" s="794"/>
      <c r="W67" s="794"/>
      <c r="X67" s="794"/>
      <c r="Y67" s="794"/>
      <c r="Z67" s="794"/>
      <c r="AA67" s="794"/>
      <c r="AB67" s="794"/>
      <c r="AC67" s="794"/>
      <c r="AD67" s="794"/>
      <c r="AE67" s="794"/>
      <c r="AF67" s="794"/>
      <c r="AG67" s="794"/>
      <c r="AH67" s="794"/>
      <c r="AI67" s="794"/>
    </row>
    <row r="68" spans="1:18" s="400" customFormat="1" ht="45" customHeight="1">
      <c r="A68" s="813"/>
      <c r="B68" s="821"/>
      <c r="C68" s="402"/>
      <c r="D68" s="402"/>
      <c r="E68" s="402" t="s">
        <v>64</v>
      </c>
      <c r="F68" s="402" t="s">
        <v>67</v>
      </c>
      <c r="G68" s="402" t="s">
        <v>20</v>
      </c>
      <c r="H68" s="402" t="s">
        <v>12</v>
      </c>
      <c r="I68" s="402" t="s">
        <v>461</v>
      </c>
      <c r="J68" s="402" t="s">
        <v>462</v>
      </c>
      <c r="K68" s="402" t="s">
        <v>482</v>
      </c>
      <c r="L68" s="402" t="s">
        <v>463</v>
      </c>
      <c r="M68" s="402" t="s">
        <v>464</v>
      </c>
      <c r="N68" s="402" t="s">
        <v>483</v>
      </c>
      <c r="O68" s="402" t="s">
        <v>467</v>
      </c>
      <c r="P68" s="403" t="s">
        <v>469</v>
      </c>
      <c r="Q68" s="428"/>
      <c r="R68" s="437"/>
    </row>
    <row r="69" spans="1:18" s="400" customFormat="1" ht="45" customHeight="1" thickBot="1">
      <c r="A69" s="814"/>
      <c r="B69" s="822"/>
      <c r="C69" s="404" t="s">
        <v>455</v>
      </c>
      <c r="D69" s="404" t="s">
        <v>451</v>
      </c>
      <c r="E69" s="404" t="s">
        <v>451</v>
      </c>
      <c r="F69" s="404" t="s">
        <v>489</v>
      </c>
      <c r="G69" s="404" t="s">
        <v>490</v>
      </c>
      <c r="H69" s="404"/>
      <c r="I69" s="404"/>
      <c r="J69" s="404"/>
      <c r="K69" s="404"/>
      <c r="L69" s="404"/>
      <c r="M69" s="404"/>
      <c r="N69" s="404"/>
      <c r="O69" s="404"/>
      <c r="P69" s="405">
        <v>10</v>
      </c>
      <c r="Q69" s="429"/>
      <c r="R69" s="438"/>
    </row>
    <row r="70" spans="1:35" s="400" customFormat="1" ht="45" customHeight="1" thickBot="1">
      <c r="A70" s="406">
        <v>1</v>
      </c>
      <c r="B70" s="517" t="str">
        <f>B14</f>
        <v>RUA UNIÃO</v>
      </c>
      <c r="C70" s="409">
        <v>1</v>
      </c>
      <c r="D70" s="408">
        <v>0</v>
      </c>
      <c r="E70" s="409">
        <f>C70*D70</f>
        <v>0</v>
      </c>
      <c r="F70" s="410">
        <v>1.3</v>
      </c>
      <c r="G70" s="410">
        <v>1.4</v>
      </c>
      <c r="H70" s="410">
        <v>0.05</v>
      </c>
      <c r="I70" s="410">
        <f>(E70*F70*G70)+(E70*G70*H70)</f>
        <v>0</v>
      </c>
      <c r="J70" s="410">
        <f>E70*F70</f>
        <v>0</v>
      </c>
      <c r="K70" s="410">
        <f>(3.14*(0.4)^2*E70)</f>
        <v>0</v>
      </c>
      <c r="L70" s="410">
        <f>I70-K70</f>
        <v>0</v>
      </c>
      <c r="M70" s="411">
        <f>J70</f>
        <v>0</v>
      </c>
      <c r="N70" s="411">
        <f>K70*1.6</f>
        <v>0</v>
      </c>
      <c r="O70" s="411">
        <f>E70</f>
        <v>0</v>
      </c>
      <c r="P70" s="411">
        <f>K70*1.25*$P$13</f>
        <v>0</v>
      </c>
      <c r="Q70" s="431"/>
      <c r="R70" s="436" t="str">
        <f>B70</f>
        <v>RUA UNIÃO</v>
      </c>
      <c r="S70" s="435">
        <f>E70</f>
        <v>0</v>
      </c>
      <c r="T70" s="413">
        <f>'ORÇAMENTO GERAL'!$J$39</f>
        <v>474.06</v>
      </c>
      <c r="U70" s="412">
        <f>I70</f>
        <v>0</v>
      </c>
      <c r="V70" s="413">
        <f>'ORÇAMENTO GERAL'!$J$40</f>
        <v>7.89</v>
      </c>
      <c r="W70" s="412">
        <f>J70</f>
        <v>0</v>
      </c>
      <c r="X70" s="413">
        <f>'ORÇAMENTO GERAL'!$J$41</f>
        <v>6.31</v>
      </c>
      <c r="Y70" s="412">
        <f>L70</f>
        <v>0</v>
      </c>
      <c r="Z70" s="413">
        <f>'ORÇAMENTO GERAL'!$J$42</f>
        <v>20.74</v>
      </c>
      <c r="AA70" s="412">
        <f>M70</f>
        <v>0</v>
      </c>
      <c r="AB70" s="413">
        <f>'ORÇAMENTO GERAL'!$J$43</f>
        <v>45.16</v>
      </c>
      <c r="AC70" s="412">
        <f>N70</f>
        <v>0</v>
      </c>
      <c r="AD70" s="413">
        <f>'ORÇAMENTO GERAL'!$J$44</f>
        <v>5.16</v>
      </c>
      <c r="AE70" s="412">
        <f>O70</f>
        <v>0</v>
      </c>
      <c r="AF70" s="413">
        <f>'ORÇAMENTO GERAL'!$J$45</f>
        <v>121.81</v>
      </c>
      <c r="AG70" s="412">
        <f>P70</f>
        <v>0</v>
      </c>
      <c r="AH70" s="413">
        <f>'ORÇAMENTO GERAL'!$J$46</f>
        <v>3.38</v>
      </c>
      <c r="AI70" s="413">
        <f>(S70*T70)+(U70*V70)+(W70*X70)+(Y70*Z70)+(AA70*AB70)+(AC70*AD70)+(AE70*AF70)+(AG70*AH70)</f>
        <v>0</v>
      </c>
    </row>
    <row r="71" spans="1:35" s="400" customFormat="1" ht="45" customHeight="1">
      <c r="A71" s="406">
        <v>2</v>
      </c>
      <c r="B71" s="407" t="str">
        <f aca="true" t="shared" si="49" ref="B71:B89">B15</f>
        <v>RUA JARDIM DOS ESPORTES</v>
      </c>
      <c r="C71" s="414">
        <v>1</v>
      </c>
      <c r="D71" s="408">
        <v>315</v>
      </c>
      <c r="E71" s="410">
        <f>C71*D71</f>
        <v>315</v>
      </c>
      <c r="F71" s="410">
        <v>1.3</v>
      </c>
      <c r="G71" s="410">
        <v>1.4</v>
      </c>
      <c r="H71" s="410">
        <v>0.05</v>
      </c>
      <c r="I71" s="410">
        <f>(E71*F71*G71)+(E71*G71*H71)</f>
        <v>595.3499999999999</v>
      </c>
      <c r="J71" s="410">
        <f>E71*F71</f>
        <v>409.5</v>
      </c>
      <c r="K71" s="410">
        <f>(3.14*(0.4)^2*E71)</f>
        <v>158.25600000000003</v>
      </c>
      <c r="L71" s="410">
        <f>I71-K71</f>
        <v>437.0939999999999</v>
      </c>
      <c r="M71" s="411">
        <f>J71</f>
        <v>409.5</v>
      </c>
      <c r="N71" s="411">
        <f>K71*1.6</f>
        <v>253.20960000000005</v>
      </c>
      <c r="O71" s="411">
        <f>E71</f>
        <v>315</v>
      </c>
      <c r="P71" s="411">
        <f>K71*1.25*$P$13</f>
        <v>1978.2000000000005</v>
      </c>
      <c r="Q71" s="431"/>
      <c r="R71" s="393" t="str">
        <f aca="true" t="shared" si="50" ref="R71:R89">B71</f>
        <v>RUA JARDIM DOS ESPORTES</v>
      </c>
      <c r="S71" s="435">
        <f aca="true" t="shared" si="51" ref="S71:S89">E71</f>
        <v>315</v>
      </c>
      <c r="T71" s="413">
        <f>'ORÇAMENTO GERAL'!$J$39</f>
        <v>474.06</v>
      </c>
      <c r="U71" s="412">
        <f aca="true" t="shared" si="52" ref="U71:U89">I71</f>
        <v>595.3499999999999</v>
      </c>
      <c r="V71" s="413">
        <f>'ORÇAMENTO GERAL'!$J$40</f>
        <v>7.89</v>
      </c>
      <c r="W71" s="412">
        <f aca="true" t="shared" si="53" ref="W71:W89">J71</f>
        <v>409.5</v>
      </c>
      <c r="X71" s="413">
        <f>'ORÇAMENTO GERAL'!$J$41</f>
        <v>6.31</v>
      </c>
      <c r="Y71" s="412">
        <f aca="true" t="shared" si="54" ref="Y71:Y89">L71</f>
        <v>437.0939999999999</v>
      </c>
      <c r="Z71" s="413">
        <f>'ORÇAMENTO GERAL'!$J$42</f>
        <v>20.74</v>
      </c>
      <c r="AA71" s="412">
        <f aca="true" t="shared" si="55" ref="AA71:AA89">M71</f>
        <v>409.5</v>
      </c>
      <c r="AB71" s="413">
        <f>'ORÇAMENTO GERAL'!$J$43</f>
        <v>45.16</v>
      </c>
      <c r="AC71" s="412">
        <f aca="true" t="shared" si="56" ref="AC71:AC89">N71</f>
        <v>253.20960000000005</v>
      </c>
      <c r="AD71" s="413">
        <f>'ORÇAMENTO GERAL'!$J$44</f>
        <v>5.16</v>
      </c>
      <c r="AE71" s="412">
        <f aca="true" t="shared" si="57" ref="AE71:AE89">O71</f>
        <v>315</v>
      </c>
      <c r="AF71" s="413">
        <f>'ORÇAMENTO GERAL'!$J$45</f>
        <v>121.81</v>
      </c>
      <c r="AG71" s="412">
        <f aca="true" t="shared" si="58" ref="AG71:AG89">P71</f>
        <v>1978.2000000000005</v>
      </c>
      <c r="AH71" s="413">
        <f>'ORÇAMENTO GERAL'!$J$46</f>
        <v>3.38</v>
      </c>
      <c r="AI71" s="413">
        <f aca="true" t="shared" si="59" ref="AI71:AI89">(S71*T71)+(U71*V71)+(W71*X71)+(Y71*Z71)+(AA71*AB71)+(AC71*AD71)+(AE71*AF71)+(AG71*AH71)</f>
        <v>230531.53359599996</v>
      </c>
    </row>
    <row r="72" spans="1:35" s="400" customFormat="1" ht="45" customHeight="1" hidden="1">
      <c r="A72" s="406">
        <v>3</v>
      </c>
      <c r="B72" s="407" t="e">
        <f t="shared" si="49"/>
        <v>#REF!</v>
      </c>
      <c r="C72" s="414">
        <v>1</v>
      </c>
      <c r="D72" s="408">
        <v>0</v>
      </c>
      <c r="E72" s="410">
        <f aca="true" t="shared" si="60" ref="E72:E89">C72*D72</f>
        <v>0</v>
      </c>
      <c r="F72" s="410">
        <v>1.3</v>
      </c>
      <c r="G72" s="410">
        <v>1.4</v>
      </c>
      <c r="H72" s="410">
        <v>0.05</v>
      </c>
      <c r="I72" s="410">
        <f aca="true" t="shared" si="61" ref="I72:I89">(E72*F72*G72)+(E72*G72*H72)</f>
        <v>0</v>
      </c>
      <c r="J72" s="410">
        <f aca="true" t="shared" si="62" ref="J72:J89">E72*F72</f>
        <v>0</v>
      </c>
      <c r="K72" s="410">
        <f aca="true" t="shared" si="63" ref="K72:K89">(3.14*(0.4)^2*E72)</f>
        <v>0</v>
      </c>
      <c r="L72" s="410">
        <f aca="true" t="shared" si="64" ref="L72:L89">I72-K72</f>
        <v>0</v>
      </c>
      <c r="M72" s="411">
        <f aca="true" t="shared" si="65" ref="M72:M89">J72</f>
        <v>0</v>
      </c>
      <c r="N72" s="411">
        <f aca="true" t="shared" si="66" ref="N72:N89">K72*1.6</f>
        <v>0</v>
      </c>
      <c r="O72" s="411">
        <f aca="true" t="shared" si="67" ref="O72:O89">E72</f>
        <v>0</v>
      </c>
      <c r="P72" s="411">
        <f aca="true" t="shared" si="68" ref="P72:P89">K72*1.25*$P$13</f>
        <v>0</v>
      </c>
      <c r="Q72" s="431"/>
      <c r="R72" s="393" t="e">
        <f t="shared" si="50"/>
        <v>#REF!</v>
      </c>
      <c r="S72" s="435">
        <f t="shared" si="51"/>
        <v>0</v>
      </c>
      <c r="T72" s="413">
        <f>'ORÇAMENTO GERAL'!$J$39</f>
        <v>474.06</v>
      </c>
      <c r="U72" s="412">
        <f t="shared" si="52"/>
        <v>0</v>
      </c>
      <c r="V72" s="413">
        <f>'ORÇAMENTO GERAL'!$J$40</f>
        <v>7.89</v>
      </c>
      <c r="W72" s="412">
        <f t="shared" si="53"/>
        <v>0</v>
      </c>
      <c r="X72" s="413">
        <f>'ORÇAMENTO GERAL'!$J$41</f>
        <v>6.31</v>
      </c>
      <c r="Y72" s="412">
        <f t="shared" si="54"/>
        <v>0</v>
      </c>
      <c r="Z72" s="413">
        <f>'ORÇAMENTO GERAL'!$J$42</f>
        <v>20.74</v>
      </c>
      <c r="AA72" s="412">
        <f t="shared" si="55"/>
        <v>0</v>
      </c>
      <c r="AB72" s="413">
        <f>'ORÇAMENTO GERAL'!$J$43</f>
        <v>45.16</v>
      </c>
      <c r="AC72" s="412">
        <f t="shared" si="56"/>
        <v>0</v>
      </c>
      <c r="AD72" s="413">
        <f>'ORÇAMENTO GERAL'!$J$44</f>
        <v>5.16</v>
      </c>
      <c r="AE72" s="412">
        <f t="shared" si="57"/>
        <v>0</v>
      </c>
      <c r="AF72" s="413">
        <f>'ORÇAMENTO GERAL'!$J$45</f>
        <v>121.81</v>
      </c>
      <c r="AG72" s="412">
        <f t="shared" si="58"/>
        <v>0</v>
      </c>
      <c r="AH72" s="413">
        <f>'ORÇAMENTO GERAL'!$J$46</f>
        <v>3.38</v>
      </c>
      <c r="AI72" s="413">
        <f t="shared" si="59"/>
        <v>0</v>
      </c>
    </row>
    <row r="73" spans="1:35" s="400" customFormat="1" ht="45" customHeight="1" thickBot="1">
      <c r="A73" s="406">
        <v>3</v>
      </c>
      <c r="B73" s="407" t="str">
        <f t="shared" si="49"/>
        <v>BACIA LEITEIRA</v>
      </c>
      <c r="C73" s="414">
        <v>1</v>
      </c>
      <c r="D73" s="412">
        <v>380</v>
      </c>
      <c r="E73" s="410">
        <f t="shared" si="60"/>
        <v>380</v>
      </c>
      <c r="F73" s="410">
        <v>1.3</v>
      </c>
      <c r="G73" s="410">
        <v>1.4</v>
      </c>
      <c r="H73" s="410">
        <v>0.05</v>
      </c>
      <c r="I73" s="410">
        <f t="shared" si="61"/>
        <v>718.1999999999999</v>
      </c>
      <c r="J73" s="410">
        <f t="shared" si="62"/>
        <v>494</v>
      </c>
      <c r="K73" s="410">
        <f t="shared" si="63"/>
        <v>190.91200000000003</v>
      </c>
      <c r="L73" s="410">
        <f t="shared" si="64"/>
        <v>527.2879999999999</v>
      </c>
      <c r="M73" s="411">
        <f t="shared" si="65"/>
        <v>494</v>
      </c>
      <c r="N73" s="411">
        <f t="shared" si="66"/>
        <v>305.45920000000007</v>
      </c>
      <c r="O73" s="411">
        <f t="shared" si="67"/>
        <v>380</v>
      </c>
      <c r="P73" s="411">
        <f t="shared" si="68"/>
        <v>2386.4000000000005</v>
      </c>
      <c r="Q73" s="431"/>
      <c r="R73" s="393" t="str">
        <f t="shared" si="50"/>
        <v>BACIA LEITEIRA</v>
      </c>
      <c r="S73" s="435">
        <f t="shared" si="51"/>
        <v>380</v>
      </c>
      <c r="T73" s="413">
        <f>'ORÇAMENTO GERAL'!$J$39</f>
        <v>474.06</v>
      </c>
      <c r="U73" s="412">
        <f t="shared" si="52"/>
        <v>718.1999999999999</v>
      </c>
      <c r="V73" s="413">
        <f>'ORÇAMENTO GERAL'!$J$40</f>
        <v>7.89</v>
      </c>
      <c r="W73" s="412">
        <f t="shared" si="53"/>
        <v>494</v>
      </c>
      <c r="X73" s="413">
        <f>'ORÇAMENTO GERAL'!$J$41</f>
        <v>6.31</v>
      </c>
      <c r="Y73" s="412">
        <f t="shared" si="54"/>
        <v>527.2879999999999</v>
      </c>
      <c r="Z73" s="413">
        <f>'ORÇAMENTO GERAL'!$J$42</f>
        <v>20.74</v>
      </c>
      <c r="AA73" s="412">
        <f t="shared" si="55"/>
        <v>494</v>
      </c>
      <c r="AB73" s="413">
        <f>'ORÇAMENTO GERAL'!$J$43</f>
        <v>45.16</v>
      </c>
      <c r="AC73" s="412">
        <f t="shared" si="56"/>
        <v>305.45920000000007</v>
      </c>
      <c r="AD73" s="413">
        <f>'ORÇAMENTO GERAL'!$J$44</f>
        <v>5.16</v>
      </c>
      <c r="AE73" s="412">
        <f t="shared" si="57"/>
        <v>380</v>
      </c>
      <c r="AF73" s="413">
        <f>'ORÇAMENTO GERAL'!$J$45</f>
        <v>121.81</v>
      </c>
      <c r="AG73" s="412">
        <f t="shared" si="58"/>
        <v>2386.4000000000005</v>
      </c>
      <c r="AH73" s="413">
        <f>'ORÇAMENTO GERAL'!$J$46</f>
        <v>3.38</v>
      </c>
      <c r="AI73" s="413">
        <f t="shared" si="59"/>
        <v>278101.53259200003</v>
      </c>
    </row>
    <row r="74" spans="1:35" s="400" customFormat="1" ht="45" customHeight="1" hidden="1">
      <c r="A74" s="406">
        <v>5</v>
      </c>
      <c r="B74" s="407">
        <f t="shared" si="49"/>
        <v>5</v>
      </c>
      <c r="C74" s="414">
        <v>1</v>
      </c>
      <c r="D74" s="412"/>
      <c r="E74" s="410">
        <f t="shared" si="60"/>
        <v>0</v>
      </c>
      <c r="F74" s="410">
        <v>1.3</v>
      </c>
      <c r="G74" s="410">
        <v>1.4</v>
      </c>
      <c r="H74" s="410">
        <v>0.05</v>
      </c>
      <c r="I74" s="410">
        <f t="shared" si="61"/>
        <v>0</v>
      </c>
      <c r="J74" s="410">
        <f t="shared" si="62"/>
        <v>0</v>
      </c>
      <c r="K74" s="410">
        <f t="shared" si="63"/>
        <v>0</v>
      </c>
      <c r="L74" s="410">
        <f t="shared" si="64"/>
        <v>0</v>
      </c>
      <c r="M74" s="411">
        <f t="shared" si="65"/>
        <v>0</v>
      </c>
      <c r="N74" s="411">
        <f t="shared" si="66"/>
        <v>0</v>
      </c>
      <c r="O74" s="411">
        <f t="shared" si="67"/>
        <v>0</v>
      </c>
      <c r="P74" s="411">
        <f t="shared" si="68"/>
        <v>0</v>
      </c>
      <c r="Q74" s="431"/>
      <c r="R74" s="393">
        <f t="shared" si="50"/>
        <v>5</v>
      </c>
      <c r="S74" s="435">
        <f t="shared" si="51"/>
        <v>0</v>
      </c>
      <c r="T74" s="413">
        <f>'ORÇAMENTO GERAL'!$J$39</f>
        <v>474.06</v>
      </c>
      <c r="U74" s="412">
        <f t="shared" si="52"/>
        <v>0</v>
      </c>
      <c r="V74" s="413">
        <f>'ORÇAMENTO GERAL'!$J$40</f>
        <v>7.89</v>
      </c>
      <c r="W74" s="412">
        <f t="shared" si="53"/>
        <v>0</v>
      </c>
      <c r="X74" s="413">
        <f>'ORÇAMENTO GERAL'!$J$41</f>
        <v>6.31</v>
      </c>
      <c r="Y74" s="412">
        <f t="shared" si="54"/>
        <v>0</v>
      </c>
      <c r="Z74" s="413">
        <f>'ORÇAMENTO GERAL'!$J$42</f>
        <v>20.74</v>
      </c>
      <c r="AA74" s="412">
        <f t="shared" si="55"/>
        <v>0</v>
      </c>
      <c r="AB74" s="413">
        <f>'ORÇAMENTO GERAL'!$J$43</f>
        <v>45.16</v>
      </c>
      <c r="AC74" s="412">
        <f t="shared" si="56"/>
        <v>0</v>
      </c>
      <c r="AD74" s="413">
        <f>'ORÇAMENTO GERAL'!$J$44</f>
        <v>5.16</v>
      </c>
      <c r="AE74" s="412">
        <f t="shared" si="57"/>
        <v>0</v>
      </c>
      <c r="AF74" s="413">
        <f>'ORÇAMENTO GERAL'!$J$45</f>
        <v>121.81</v>
      </c>
      <c r="AG74" s="412">
        <f t="shared" si="58"/>
        <v>0</v>
      </c>
      <c r="AH74" s="413">
        <f>'ORÇAMENTO GERAL'!$J$46</f>
        <v>3.38</v>
      </c>
      <c r="AI74" s="413">
        <f t="shared" si="59"/>
        <v>0</v>
      </c>
    </row>
    <row r="75" spans="1:35" s="400" customFormat="1" ht="45" customHeight="1" hidden="1">
      <c r="A75" s="406">
        <v>6</v>
      </c>
      <c r="B75" s="407">
        <f t="shared" si="49"/>
        <v>6</v>
      </c>
      <c r="C75" s="414">
        <v>1</v>
      </c>
      <c r="D75" s="412"/>
      <c r="E75" s="410">
        <f t="shared" si="60"/>
        <v>0</v>
      </c>
      <c r="F75" s="410">
        <v>1.3</v>
      </c>
      <c r="G75" s="410">
        <v>1.4</v>
      </c>
      <c r="H75" s="410">
        <v>0.05</v>
      </c>
      <c r="I75" s="410">
        <f t="shared" si="61"/>
        <v>0</v>
      </c>
      <c r="J75" s="410">
        <f t="shared" si="62"/>
        <v>0</v>
      </c>
      <c r="K75" s="410">
        <f t="shared" si="63"/>
        <v>0</v>
      </c>
      <c r="L75" s="410">
        <f t="shared" si="64"/>
        <v>0</v>
      </c>
      <c r="M75" s="411">
        <f t="shared" si="65"/>
        <v>0</v>
      </c>
      <c r="N75" s="411">
        <f t="shared" si="66"/>
        <v>0</v>
      </c>
      <c r="O75" s="411">
        <f t="shared" si="67"/>
        <v>0</v>
      </c>
      <c r="P75" s="411">
        <f t="shared" si="68"/>
        <v>0</v>
      </c>
      <c r="Q75" s="431"/>
      <c r="R75" s="393">
        <f t="shared" si="50"/>
        <v>6</v>
      </c>
      <c r="S75" s="435">
        <f t="shared" si="51"/>
        <v>0</v>
      </c>
      <c r="T75" s="413">
        <f>'ORÇAMENTO GERAL'!$J$39</f>
        <v>474.06</v>
      </c>
      <c r="U75" s="412">
        <f t="shared" si="52"/>
        <v>0</v>
      </c>
      <c r="V75" s="413">
        <f>'ORÇAMENTO GERAL'!$J$40</f>
        <v>7.89</v>
      </c>
      <c r="W75" s="412">
        <f t="shared" si="53"/>
        <v>0</v>
      </c>
      <c r="X75" s="413">
        <f>'ORÇAMENTO GERAL'!$J$41</f>
        <v>6.31</v>
      </c>
      <c r="Y75" s="412">
        <f t="shared" si="54"/>
        <v>0</v>
      </c>
      <c r="Z75" s="413">
        <f>'ORÇAMENTO GERAL'!$J$42</f>
        <v>20.74</v>
      </c>
      <c r="AA75" s="412">
        <f t="shared" si="55"/>
        <v>0</v>
      </c>
      <c r="AB75" s="413">
        <f>'ORÇAMENTO GERAL'!$J$43</f>
        <v>45.16</v>
      </c>
      <c r="AC75" s="412">
        <f t="shared" si="56"/>
        <v>0</v>
      </c>
      <c r="AD75" s="413">
        <f>'ORÇAMENTO GERAL'!$J$44</f>
        <v>5.16</v>
      </c>
      <c r="AE75" s="412">
        <f t="shared" si="57"/>
        <v>0</v>
      </c>
      <c r="AF75" s="413">
        <f>'ORÇAMENTO GERAL'!$J$45</f>
        <v>121.81</v>
      </c>
      <c r="AG75" s="412">
        <f t="shared" si="58"/>
        <v>0</v>
      </c>
      <c r="AH75" s="413">
        <f>'ORÇAMENTO GERAL'!$J$46</f>
        <v>3.38</v>
      </c>
      <c r="AI75" s="413">
        <f t="shared" si="59"/>
        <v>0</v>
      </c>
    </row>
    <row r="76" spans="1:35" s="400" customFormat="1" ht="45" customHeight="1" hidden="1">
      <c r="A76" s="406">
        <v>7</v>
      </c>
      <c r="B76" s="407">
        <f t="shared" si="49"/>
        <v>7</v>
      </c>
      <c r="C76" s="414">
        <v>1</v>
      </c>
      <c r="D76" s="411"/>
      <c r="E76" s="410">
        <f t="shared" si="60"/>
        <v>0</v>
      </c>
      <c r="F76" s="410">
        <v>1.3</v>
      </c>
      <c r="G76" s="410">
        <v>1.4</v>
      </c>
      <c r="H76" s="410">
        <v>0.05</v>
      </c>
      <c r="I76" s="410">
        <f t="shared" si="61"/>
        <v>0</v>
      </c>
      <c r="J76" s="410">
        <f t="shared" si="62"/>
        <v>0</v>
      </c>
      <c r="K76" s="410">
        <f t="shared" si="63"/>
        <v>0</v>
      </c>
      <c r="L76" s="410">
        <f t="shared" si="64"/>
        <v>0</v>
      </c>
      <c r="M76" s="411">
        <f t="shared" si="65"/>
        <v>0</v>
      </c>
      <c r="N76" s="411">
        <f t="shared" si="66"/>
        <v>0</v>
      </c>
      <c r="O76" s="411">
        <f t="shared" si="67"/>
        <v>0</v>
      </c>
      <c r="P76" s="411">
        <f t="shared" si="68"/>
        <v>0</v>
      </c>
      <c r="Q76" s="431"/>
      <c r="R76" s="393">
        <f t="shared" si="50"/>
        <v>7</v>
      </c>
      <c r="S76" s="435">
        <f t="shared" si="51"/>
        <v>0</v>
      </c>
      <c r="T76" s="413">
        <f>'ORÇAMENTO GERAL'!$J$39</f>
        <v>474.06</v>
      </c>
      <c r="U76" s="412">
        <f t="shared" si="52"/>
        <v>0</v>
      </c>
      <c r="V76" s="413">
        <f>'ORÇAMENTO GERAL'!$J$40</f>
        <v>7.89</v>
      </c>
      <c r="W76" s="412">
        <f t="shared" si="53"/>
        <v>0</v>
      </c>
      <c r="X76" s="413">
        <f>'ORÇAMENTO GERAL'!$J$41</f>
        <v>6.31</v>
      </c>
      <c r="Y76" s="412">
        <f t="shared" si="54"/>
        <v>0</v>
      </c>
      <c r="Z76" s="413">
        <f>'ORÇAMENTO GERAL'!$J$42</f>
        <v>20.74</v>
      </c>
      <c r="AA76" s="412">
        <f t="shared" si="55"/>
        <v>0</v>
      </c>
      <c r="AB76" s="413">
        <f>'ORÇAMENTO GERAL'!$J$43</f>
        <v>45.16</v>
      </c>
      <c r="AC76" s="412">
        <f t="shared" si="56"/>
        <v>0</v>
      </c>
      <c r="AD76" s="413">
        <f>'ORÇAMENTO GERAL'!$J$44</f>
        <v>5.16</v>
      </c>
      <c r="AE76" s="412">
        <f t="shared" si="57"/>
        <v>0</v>
      </c>
      <c r="AF76" s="413">
        <f>'ORÇAMENTO GERAL'!$J$45</f>
        <v>121.81</v>
      </c>
      <c r="AG76" s="412">
        <f t="shared" si="58"/>
        <v>0</v>
      </c>
      <c r="AH76" s="413">
        <f>'ORÇAMENTO GERAL'!$J$46</f>
        <v>3.38</v>
      </c>
      <c r="AI76" s="413">
        <f t="shared" si="59"/>
        <v>0</v>
      </c>
    </row>
    <row r="77" spans="1:35" s="400" customFormat="1" ht="45" customHeight="1" hidden="1">
      <c r="A77" s="406">
        <v>8</v>
      </c>
      <c r="B77" s="407">
        <f t="shared" si="49"/>
        <v>8</v>
      </c>
      <c r="C77" s="414">
        <v>1</v>
      </c>
      <c r="D77" s="412"/>
      <c r="E77" s="410">
        <f t="shared" si="60"/>
        <v>0</v>
      </c>
      <c r="F77" s="410">
        <v>1.3</v>
      </c>
      <c r="G77" s="410">
        <v>1.4</v>
      </c>
      <c r="H77" s="410">
        <v>0.05</v>
      </c>
      <c r="I77" s="410">
        <f t="shared" si="61"/>
        <v>0</v>
      </c>
      <c r="J77" s="410">
        <f t="shared" si="62"/>
        <v>0</v>
      </c>
      <c r="K77" s="410">
        <f t="shared" si="63"/>
        <v>0</v>
      </c>
      <c r="L77" s="410">
        <f t="shared" si="64"/>
        <v>0</v>
      </c>
      <c r="M77" s="411">
        <f t="shared" si="65"/>
        <v>0</v>
      </c>
      <c r="N77" s="411">
        <f t="shared" si="66"/>
        <v>0</v>
      </c>
      <c r="O77" s="411">
        <f t="shared" si="67"/>
        <v>0</v>
      </c>
      <c r="P77" s="411">
        <f t="shared" si="68"/>
        <v>0</v>
      </c>
      <c r="Q77" s="431"/>
      <c r="R77" s="393">
        <f>B77</f>
        <v>8</v>
      </c>
      <c r="S77" s="435">
        <f>E77</f>
        <v>0</v>
      </c>
      <c r="T77" s="413">
        <f>'ORÇAMENTO GERAL'!$J$39</f>
        <v>474.06</v>
      </c>
      <c r="U77" s="412">
        <f>I77</f>
        <v>0</v>
      </c>
      <c r="V77" s="413">
        <f>'ORÇAMENTO GERAL'!$J$40</f>
        <v>7.89</v>
      </c>
      <c r="W77" s="412">
        <f>J77</f>
        <v>0</v>
      </c>
      <c r="X77" s="413">
        <f>'ORÇAMENTO GERAL'!$J$41</f>
        <v>6.31</v>
      </c>
      <c r="Y77" s="412">
        <f>L77</f>
        <v>0</v>
      </c>
      <c r="Z77" s="413">
        <f>'ORÇAMENTO GERAL'!$J$42</f>
        <v>20.74</v>
      </c>
      <c r="AA77" s="412">
        <f>M77</f>
        <v>0</v>
      </c>
      <c r="AB77" s="413">
        <f>'ORÇAMENTO GERAL'!$J$43</f>
        <v>45.16</v>
      </c>
      <c r="AC77" s="412">
        <f>N77</f>
        <v>0</v>
      </c>
      <c r="AD77" s="413">
        <f>'ORÇAMENTO GERAL'!$J$44</f>
        <v>5.16</v>
      </c>
      <c r="AE77" s="412">
        <f>O77</f>
        <v>0</v>
      </c>
      <c r="AF77" s="413">
        <f>'ORÇAMENTO GERAL'!$J$45</f>
        <v>121.81</v>
      </c>
      <c r="AG77" s="412">
        <f>P77</f>
        <v>0</v>
      </c>
      <c r="AH77" s="413">
        <f>'ORÇAMENTO GERAL'!$J$46</f>
        <v>3.38</v>
      </c>
      <c r="AI77" s="413">
        <f>(S77*T77)+(U77*V77)+(W77*X77)+(Y77*Z77)+(AA77*AB77)+(AC77*AD77)+(AE77*AF77)+(AG77*AH77)</f>
        <v>0</v>
      </c>
    </row>
    <row r="78" spans="1:35" s="400" customFormat="1" ht="45" customHeight="1" hidden="1">
      <c r="A78" s="406">
        <v>9</v>
      </c>
      <c r="B78" s="407">
        <f t="shared" si="49"/>
        <v>9</v>
      </c>
      <c r="C78" s="414">
        <v>1</v>
      </c>
      <c r="D78" s="412"/>
      <c r="E78" s="410">
        <f t="shared" si="60"/>
        <v>0</v>
      </c>
      <c r="F78" s="410">
        <v>1.3</v>
      </c>
      <c r="G78" s="410">
        <v>1.4</v>
      </c>
      <c r="H78" s="410">
        <v>0.05</v>
      </c>
      <c r="I78" s="410">
        <f t="shared" si="61"/>
        <v>0</v>
      </c>
      <c r="J78" s="410">
        <f t="shared" si="62"/>
        <v>0</v>
      </c>
      <c r="K78" s="410">
        <f t="shared" si="63"/>
        <v>0</v>
      </c>
      <c r="L78" s="410">
        <f t="shared" si="64"/>
        <v>0</v>
      </c>
      <c r="M78" s="411">
        <f t="shared" si="65"/>
        <v>0</v>
      </c>
      <c r="N78" s="411">
        <f t="shared" si="66"/>
        <v>0</v>
      </c>
      <c r="O78" s="411">
        <f t="shared" si="67"/>
        <v>0</v>
      </c>
      <c r="P78" s="411">
        <f t="shared" si="68"/>
        <v>0</v>
      </c>
      <c r="Q78" s="431"/>
      <c r="R78" s="393">
        <f>B78</f>
        <v>9</v>
      </c>
      <c r="S78" s="435">
        <f>E78</f>
        <v>0</v>
      </c>
      <c r="T78" s="413">
        <f>'ORÇAMENTO GERAL'!$J$39</f>
        <v>474.06</v>
      </c>
      <c r="U78" s="412">
        <f>I78</f>
        <v>0</v>
      </c>
      <c r="V78" s="413">
        <f>'ORÇAMENTO GERAL'!$J$40</f>
        <v>7.89</v>
      </c>
      <c r="W78" s="412">
        <f>J78</f>
        <v>0</v>
      </c>
      <c r="X78" s="413">
        <f>'ORÇAMENTO GERAL'!$J$41</f>
        <v>6.31</v>
      </c>
      <c r="Y78" s="412">
        <f>L78</f>
        <v>0</v>
      </c>
      <c r="Z78" s="413">
        <f>'ORÇAMENTO GERAL'!$J$42</f>
        <v>20.74</v>
      </c>
      <c r="AA78" s="412">
        <f>M78</f>
        <v>0</v>
      </c>
      <c r="AB78" s="413">
        <f>'ORÇAMENTO GERAL'!$J$43</f>
        <v>45.16</v>
      </c>
      <c r="AC78" s="412">
        <f>N78</f>
        <v>0</v>
      </c>
      <c r="AD78" s="413">
        <f>'ORÇAMENTO GERAL'!$J$44</f>
        <v>5.16</v>
      </c>
      <c r="AE78" s="412">
        <f>O78</f>
        <v>0</v>
      </c>
      <c r="AF78" s="413">
        <f>'ORÇAMENTO GERAL'!$J$45</f>
        <v>121.81</v>
      </c>
      <c r="AG78" s="412">
        <f>P78</f>
        <v>0</v>
      </c>
      <c r="AH78" s="413">
        <f>'ORÇAMENTO GERAL'!$J$46</f>
        <v>3.38</v>
      </c>
      <c r="AI78" s="413">
        <f>(S78*T78)+(U78*V78)+(W78*X78)+(Y78*Z78)+(AA78*AB78)+(AC78*AD78)+(AE78*AF78)+(AG78*AH78)</f>
        <v>0</v>
      </c>
    </row>
    <row r="79" spans="1:35" s="400" customFormat="1" ht="45" customHeight="1" hidden="1">
      <c r="A79" s="406">
        <v>10</v>
      </c>
      <c r="B79" s="407">
        <f t="shared" si="49"/>
        <v>10</v>
      </c>
      <c r="C79" s="414">
        <v>1</v>
      </c>
      <c r="D79" s="412"/>
      <c r="E79" s="410">
        <f t="shared" si="60"/>
        <v>0</v>
      </c>
      <c r="F79" s="410">
        <v>1.3</v>
      </c>
      <c r="G79" s="410">
        <v>1.4</v>
      </c>
      <c r="H79" s="410">
        <v>0.05</v>
      </c>
      <c r="I79" s="410">
        <f t="shared" si="61"/>
        <v>0</v>
      </c>
      <c r="J79" s="410">
        <f t="shared" si="62"/>
        <v>0</v>
      </c>
      <c r="K79" s="410">
        <f t="shared" si="63"/>
        <v>0</v>
      </c>
      <c r="L79" s="410">
        <f t="shared" si="64"/>
        <v>0</v>
      </c>
      <c r="M79" s="411">
        <f t="shared" si="65"/>
        <v>0</v>
      </c>
      <c r="N79" s="411">
        <f t="shared" si="66"/>
        <v>0</v>
      </c>
      <c r="O79" s="411">
        <f t="shared" si="67"/>
        <v>0</v>
      </c>
      <c r="P79" s="411">
        <f t="shared" si="68"/>
        <v>0</v>
      </c>
      <c r="Q79" s="431"/>
      <c r="R79" s="393">
        <f>B79</f>
        <v>10</v>
      </c>
      <c r="S79" s="435">
        <f>E79</f>
        <v>0</v>
      </c>
      <c r="T79" s="413">
        <f>'ORÇAMENTO GERAL'!$J$39</f>
        <v>474.06</v>
      </c>
      <c r="U79" s="412">
        <f>I79</f>
        <v>0</v>
      </c>
      <c r="V79" s="413">
        <f>'ORÇAMENTO GERAL'!$J$40</f>
        <v>7.89</v>
      </c>
      <c r="W79" s="412">
        <f>J79</f>
        <v>0</v>
      </c>
      <c r="X79" s="413">
        <f>'ORÇAMENTO GERAL'!$J$41</f>
        <v>6.31</v>
      </c>
      <c r="Y79" s="412">
        <f>L79</f>
        <v>0</v>
      </c>
      <c r="Z79" s="413">
        <f>'ORÇAMENTO GERAL'!$J$42</f>
        <v>20.74</v>
      </c>
      <c r="AA79" s="412">
        <f>M79</f>
        <v>0</v>
      </c>
      <c r="AB79" s="413">
        <f>'ORÇAMENTO GERAL'!$J$43</f>
        <v>45.16</v>
      </c>
      <c r="AC79" s="412">
        <f>N79</f>
        <v>0</v>
      </c>
      <c r="AD79" s="413">
        <f>'ORÇAMENTO GERAL'!$J$44</f>
        <v>5.16</v>
      </c>
      <c r="AE79" s="412">
        <f>O79</f>
        <v>0</v>
      </c>
      <c r="AF79" s="413">
        <f>'ORÇAMENTO GERAL'!$J$45</f>
        <v>121.81</v>
      </c>
      <c r="AG79" s="412">
        <f>P79</f>
        <v>0</v>
      </c>
      <c r="AH79" s="413">
        <f>'ORÇAMENTO GERAL'!$J$46</f>
        <v>3.38</v>
      </c>
      <c r="AI79" s="413">
        <f>(S79*T79)+(U79*V79)+(W79*X79)+(Y79*Z79)+(AA79*AB79)+(AC79*AD79)+(AE79*AF79)+(AG79*AH79)</f>
        <v>0</v>
      </c>
    </row>
    <row r="80" spans="1:35" s="400" customFormat="1" ht="45" customHeight="1" hidden="1">
      <c r="A80" s="406">
        <v>11</v>
      </c>
      <c r="B80" s="407">
        <f t="shared" si="49"/>
        <v>11</v>
      </c>
      <c r="C80" s="414">
        <v>1</v>
      </c>
      <c r="D80" s="411"/>
      <c r="E80" s="410">
        <f t="shared" si="60"/>
        <v>0</v>
      </c>
      <c r="F80" s="410">
        <v>1.3</v>
      </c>
      <c r="G80" s="410">
        <v>1.4</v>
      </c>
      <c r="H80" s="410">
        <v>0.05</v>
      </c>
      <c r="I80" s="410">
        <f t="shared" si="61"/>
        <v>0</v>
      </c>
      <c r="J80" s="410">
        <f t="shared" si="62"/>
        <v>0</v>
      </c>
      <c r="K80" s="410">
        <f t="shared" si="63"/>
        <v>0</v>
      </c>
      <c r="L80" s="410">
        <f t="shared" si="64"/>
        <v>0</v>
      </c>
      <c r="M80" s="411">
        <f t="shared" si="65"/>
        <v>0</v>
      </c>
      <c r="N80" s="411">
        <f t="shared" si="66"/>
        <v>0</v>
      </c>
      <c r="O80" s="411">
        <f t="shared" si="67"/>
        <v>0</v>
      </c>
      <c r="P80" s="411">
        <f t="shared" si="68"/>
        <v>0</v>
      </c>
      <c r="Q80" s="431"/>
      <c r="R80" s="393">
        <f>B80</f>
        <v>11</v>
      </c>
      <c r="S80" s="435">
        <f>E80</f>
        <v>0</v>
      </c>
      <c r="T80" s="413">
        <f>'ORÇAMENTO GERAL'!$J$39</f>
        <v>474.06</v>
      </c>
      <c r="U80" s="412">
        <f>I80</f>
        <v>0</v>
      </c>
      <c r="V80" s="413">
        <f>'ORÇAMENTO GERAL'!$J$40</f>
        <v>7.89</v>
      </c>
      <c r="W80" s="412">
        <f>J80</f>
        <v>0</v>
      </c>
      <c r="X80" s="413">
        <f>'ORÇAMENTO GERAL'!$J$41</f>
        <v>6.31</v>
      </c>
      <c r="Y80" s="412">
        <f>L80</f>
        <v>0</v>
      </c>
      <c r="Z80" s="413">
        <f>'ORÇAMENTO GERAL'!$J$42</f>
        <v>20.74</v>
      </c>
      <c r="AA80" s="412">
        <f>M80</f>
        <v>0</v>
      </c>
      <c r="AB80" s="413">
        <f>'ORÇAMENTO GERAL'!$J$43</f>
        <v>45.16</v>
      </c>
      <c r="AC80" s="412">
        <f>N80</f>
        <v>0</v>
      </c>
      <c r="AD80" s="413">
        <f>'ORÇAMENTO GERAL'!$J$44</f>
        <v>5.16</v>
      </c>
      <c r="AE80" s="412">
        <f>O80</f>
        <v>0</v>
      </c>
      <c r="AF80" s="413">
        <f>'ORÇAMENTO GERAL'!$J$45</f>
        <v>121.81</v>
      </c>
      <c r="AG80" s="412">
        <f>P80</f>
        <v>0</v>
      </c>
      <c r="AH80" s="413">
        <f>'ORÇAMENTO GERAL'!$J$46</f>
        <v>3.38</v>
      </c>
      <c r="AI80" s="413">
        <f>(S80*T80)+(U80*V80)+(W80*X80)+(Y80*Z80)+(AA80*AB80)+(AC80*AD80)+(AE80*AF80)+(AG80*AH80)</f>
        <v>0</v>
      </c>
    </row>
    <row r="81" spans="1:35" s="400" customFormat="1" ht="45" customHeight="1" hidden="1">
      <c r="A81" s="406">
        <v>12</v>
      </c>
      <c r="B81" s="407">
        <f t="shared" si="49"/>
        <v>12</v>
      </c>
      <c r="C81" s="414">
        <v>1</v>
      </c>
      <c r="D81" s="412"/>
      <c r="E81" s="410">
        <f t="shared" si="60"/>
        <v>0</v>
      </c>
      <c r="F81" s="410">
        <v>1.3</v>
      </c>
      <c r="G81" s="410">
        <v>1.4</v>
      </c>
      <c r="H81" s="410">
        <v>0.05</v>
      </c>
      <c r="I81" s="410">
        <f t="shared" si="61"/>
        <v>0</v>
      </c>
      <c r="J81" s="410">
        <f t="shared" si="62"/>
        <v>0</v>
      </c>
      <c r="K81" s="410">
        <f t="shared" si="63"/>
        <v>0</v>
      </c>
      <c r="L81" s="410">
        <f t="shared" si="64"/>
        <v>0</v>
      </c>
      <c r="M81" s="411">
        <f t="shared" si="65"/>
        <v>0</v>
      </c>
      <c r="N81" s="411">
        <f t="shared" si="66"/>
        <v>0</v>
      </c>
      <c r="O81" s="411">
        <f t="shared" si="67"/>
        <v>0</v>
      </c>
      <c r="P81" s="411">
        <f t="shared" si="68"/>
        <v>0</v>
      </c>
      <c r="Q81" s="431"/>
      <c r="R81" s="393">
        <f t="shared" si="50"/>
        <v>12</v>
      </c>
      <c r="S81" s="435">
        <f t="shared" si="51"/>
        <v>0</v>
      </c>
      <c r="T81" s="413">
        <f>'ORÇAMENTO GERAL'!$J$39</f>
        <v>474.06</v>
      </c>
      <c r="U81" s="412">
        <f t="shared" si="52"/>
        <v>0</v>
      </c>
      <c r="V81" s="413">
        <f>'ORÇAMENTO GERAL'!$J$40</f>
        <v>7.89</v>
      </c>
      <c r="W81" s="412">
        <f t="shared" si="53"/>
        <v>0</v>
      </c>
      <c r="X81" s="413">
        <f>'ORÇAMENTO GERAL'!$J$41</f>
        <v>6.31</v>
      </c>
      <c r="Y81" s="412">
        <f t="shared" si="54"/>
        <v>0</v>
      </c>
      <c r="Z81" s="413">
        <f>'ORÇAMENTO GERAL'!$J$42</f>
        <v>20.74</v>
      </c>
      <c r="AA81" s="412">
        <f t="shared" si="55"/>
        <v>0</v>
      </c>
      <c r="AB81" s="413">
        <f>'ORÇAMENTO GERAL'!$J$43</f>
        <v>45.16</v>
      </c>
      <c r="AC81" s="412">
        <f t="shared" si="56"/>
        <v>0</v>
      </c>
      <c r="AD81" s="413">
        <f>'ORÇAMENTO GERAL'!$J$44</f>
        <v>5.16</v>
      </c>
      <c r="AE81" s="412">
        <f t="shared" si="57"/>
        <v>0</v>
      </c>
      <c r="AF81" s="413">
        <f>'ORÇAMENTO GERAL'!$J$45</f>
        <v>121.81</v>
      </c>
      <c r="AG81" s="412">
        <f t="shared" si="58"/>
        <v>0</v>
      </c>
      <c r="AH81" s="413">
        <f>'ORÇAMENTO GERAL'!$J$46</f>
        <v>3.38</v>
      </c>
      <c r="AI81" s="413">
        <f t="shared" si="59"/>
        <v>0</v>
      </c>
    </row>
    <row r="82" spans="1:35" s="400" customFormat="1" ht="45" customHeight="1" hidden="1">
      <c r="A82" s="406">
        <v>13</v>
      </c>
      <c r="B82" s="407">
        <f t="shared" si="49"/>
        <v>13</v>
      </c>
      <c r="C82" s="414">
        <v>1</v>
      </c>
      <c r="D82" s="412"/>
      <c r="E82" s="410">
        <f t="shared" si="60"/>
        <v>0</v>
      </c>
      <c r="F82" s="410">
        <v>1.3</v>
      </c>
      <c r="G82" s="410">
        <v>1.4</v>
      </c>
      <c r="H82" s="410">
        <v>0.05</v>
      </c>
      <c r="I82" s="410">
        <f t="shared" si="61"/>
        <v>0</v>
      </c>
      <c r="J82" s="410">
        <f t="shared" si="62"/>
        <v>0</v>
      </c>
      <c r="K82" s="410">
        <f t="shared" si="63"/>
        <v>0</v>
      </c>
      <c r="L82" s="410">
        <f t="shared" si="64"/>
        <v>0</v>
      </c>
      <c r="M82" s="411">
        <f t="shared" si="65"/>
        <v>0</v>
      </c>
      <c r="N82" s="411">
        <f t="shared" si="66"/>
        <v>0</v>
      </c>
      <c r="O82" s="411">
        <f t="shared" si="67"/>
        <v>0</v>
      </c>
      <c r="P82" s="411">
        <f t="shared" si="68"/>
        <v>0</v>
      </c>
      <c r="Q82" s="431"/>
      <c r="R82" s="393">
        <f t="shared" si="50"/>
        <v>13</v>
      </c>
      <c r="S82" s="435">
        <f t="shared" si="51"/>
        <v>0</v>
      </c>
      <c r="T82" s="413">
        <f>'ORÇAMENTO GERAL'!$J$39</f>
        <v>474.06</v>
      </c>
      <c r="U82" s="412">
        <f t="shared" si="52"/>
        <v>0</v>
      </c>
      <c r="V82" s="413">
        <f>'ORÇAMENTO GERAL'!$J$40</f>
        <v>7.89</v>
      </c>
      <c r="W82" s="412">
        <f t="shared" si="53"/>
        <v>0</v>
      </c>
      <c r="X82" s="413">
        <f>'ORÇAMENTO GERAL'!$J$41</f>
        <v>6.31</v>
      </c>
      <c r="Y82" s="412">
        <f t="shared" si="54"/>
        <v>0</v>
      </c>
      <c r="Z82" s="413">
        <f>'ORÇAMENTO GERAL'!$J$42</f>
        <v>20.74</v>
      </c>
      <c r="AA82" s="412">
        <f t="shared" si="55"/>
        <v>0</v>
      </c>
      <c r="AB82" s="413">
        <f>'ORÇAMENTO GERAL'!$J$43</f>
        <v>45.16</v>
      </c>
      <c r="AC82" s="412">
        <f t="shared" si="56"/>
        <v>0</v>
      </c>
      <c r="AD82" s="413">
        <f>'ORÇAMENTO GERAL'!$J$44</f>
        <v>5.16</v>
      </c>
      <c r="AE82" s="412">
        <f t="shared" si="57"/>
        <v>0</v>
      </c>
      <c r="AF82" s="413">
        <f>'ORÇAMENTO GERAL'!$J$45</f>
        <v>121.81</v>
      </c>
      <c r="AG82" s="412">
        <f t="shared" si="58"/>
        <v>0</v>
      </c>
      <c r="AH82" s="413">
        <f>'ORÇAMENTO GERAL'!$J$46</f>
        <v>3.38</v>
      </c>
      <c r="AI82" s="413">
        <f t="shared" si="59"/>
        <v>0</v>
      </c>
    </row>
    <row r="83" spans="1:35" s="400" customFormat="1" ht="45" customHeight="1" hidden="1">
      <c r="A83" s="406">
        <v>14</v>
      </c>
      <c r="B83" s="407">
        <f t="shared" si="49"/>
        <v>14</v>
      </c>
      <c r="C83" s="414">
        <v>1</v>
      </c>
      <c r="D83" s="412"/>
      <c r="E83" s="410">
        <f t="shared" si="60"/>
        <v>0</v>
      </c>
      <c r="F83" s="410">
        <v>1.3</v>
      </c>
      <c r="G83" s="410">
        <v>1.4</v>
      </c>
      <c r="H83" s="410">
        <v>0.05</v>
      </c>
      <c r="I83" s="410">
        <f t="shared" si="61"/>
        <v>0</v>
      </c>
      <c r="J83" s="410">
        <f t="shared" si="62"/>
        <v>0</v>
      </c>
      <c r="K83" s="410">
        <f t="shared" si="63"/>
        <v>0</v>
      </c>
      <c r="L83" s="410">
        <f t="shared" si="64"/>
        <v>0</v>
      </c>
      <c r="M83" s="411">
        <f t="shared" si="65"/>
        <v>0</v>
      </c>
      <c r="N83" s="411">
        <f t="shared" si="66"/>
        <v>0</v>
      </c>
      <c r="O83" s="411">
        <f t="shared" si="67"/>
        <v>0</v>
      </c>
      <c r="P83" s="411">
        <f t="shared" si="68"/>
        <v>0</v>
      </c>
      <c r="Q83" s="431"/>
      <c r="R83" s="393">
        <f t="shared" si="50"/>
        <v>14</v>
      </c>
      <c r="S83" s="435">
        <f t="shared" si="51"/>
        <v>0</v>
      </c>
      <c r="T83" s="413">
        <f>'ORÇAMENTO GERAL'!$J$39</f>
        <v>474.06</v>
      </c>
      <c r="U83" s="412">
        <f t="shared" si="52"/>
        <v>0</v>
      </c>
      <c r="V83" s="413">
        <f>'ORÇAMENTO GERAL'!$J$40</f>
        <v>7.89</v>
      </c>
      <c r="W83" s="412">
        <f t="shared" si="53"/>
        <v>0</v>
      </c>
      <c r="X83" s="413">
        <f>'ORÇAMENTO GERAL'!$J$41</f>
        <v>6.31</v>
      </c>
      <c r="Y83" s="412">
        <f t="shared" si="54"/>
        <v>0</v>
      </c>
      <c r="Z83" s="413">
        <f>'ORÇAMENTO GERAL'!$J$42</f>
        <v>20.74</v>
      </c>
      <c r="AA83" s="412">
        <f t="shared" si="55"/>
        <v>0</v>
      </c>
      <c r="AB83" s="413">
        <f>'ORÇAMENTO GERAL'!$J$43</f>
        <v>45.16</v>
      </c>
      <c r="AC83" s="412">
        <f t="shared" si="56"/>
        <v>0</v>
      </c>
      <c r="AD83" s="413">
        <f>'ORÇAMENTO GERAL'!$J$44</f>
        <v>5.16</v>
      </c>
      <c r="AE83" s="412">
        <f t="shared" si="57"/>
        <v>0</v>
      </c>
      <c r="AF83" s="413">
        <f>'ORÇAMENTO GERAL'!$J$45</f>
        <v>121.81</v>
      </c>
      <c r="AG83" s="412">
        <f t="shared" si="58"/>
        <v>0</v>
      </c>
      <c r="AH83" s="413">
        <f>'ORÇAMENTO GERAL'!$J$46</f>
        <v>3.38</v>
      </c>
      <c r="AI83" s="413">
        <f t="shared" si="59"/>
        <v>0</v>
      </c>
    </row>
    <row r="84" spans="1:35" s="400" customFormat="1" ht="45" customHeight="1" hidden="1">
      <c r="A84" s="406">
        <v>15</v>
      </c>
      <c r="B84" s="407">
        <f t="shared" si="49"/>
        <v>15</v>
      </c>
      <c r="C84" s="414">
        <v>1</v>
      </c>
      <c r="D84" s="411"/>
      <c r="E84" s="410">
        <f t="shared" si="60"/>
        <v>0</v>
      </c>
      <c r="F84" s="410">
        <v>1.3</v>
      </c>
      <c r="G84" s="410">
        <v>1.4</v>
      </c>
      <c r="H84" s="410">
        <v>0.05</v>
      </c>
      <c r="I84" s="410">
        <f t="shared" si="61"/>
        <v>0</v>
      </c>
      <c r="J84" s="410">
        <f t="shared" si="62"/>
        <v>0</v>
      </c>
      <c r="K84" s="410">
        <f t="shared" si="63"/>
        <v>0</v>
      </c>
      <c r="L84" s="410">
        <f t="shared" si="64"/>
        <v>0</v>
      </c>
      <c r="M84" s="411">
        <f t="shared" si="65"/>
        <v>0</v>
      </c>
      <c r="N84" s="411">
        <f t="shared" si="66"/>
        <v>0</v>
      </c>
      <c r="O84" s="411">
        <f t="shared" si="67"/>
        <v>0</v>
      </c>
      <c r="P84" s="411">
        <f t="shared" si="68"/>
        <v>0</v>
      </c>
      <c r="Q84" s="431"/>
      <c r="R84" s="393">
        <f t="shared" si="50"/>
        <v>15</v>
      </c>
      <c r="S84" s="435">
        <f t="shared" si="51"/>
        <v>0</v>
      </c>
      <c r="T84" s="413">
        <f>'ORÇAMENTO GERAL'!$J$39</f>
        <v>474.06</v>
      </c>
      <c r="U84" s="412">
        <f t="shared" si="52"/>
        <v>0</v>
      </c>
      <c r="V84" s="413">
        <f>'ORÇAMENTO GERAL'!$J$40</f>
        <v>7.89</v>
      </c>
      <c r="W84" s="412">
        <f t="shared" si="53"/>
        <v>0</v>
      </c>
      <c r="X84" s="413">
        <f>'ORÇAMENTO GERAL'!$J$41</f>
        <v>6.31</v>
      </c>
      <c r="Y84" s="412">
        <f t="shared" si="54"/>
        <v>0</v>
      </c>
      <c r="Z84" s="413">
        <f>'ORÇAMENTO GERAL'!$J$42</f>
        <v>20.74</v>
      </c>
      <c r="AA84" s="412">
        <f t="shared" si="55"/>
        <v>0</v>
      </c>
      <c r="AB84" s="413">
        <f>'ORÇAMENTO GERAL'!$J$43</f>
        <v>45.16</v>
      </c>
      <c r="AC84" s="412">
        <f t="shared" si="56"/>
        <v>0</v>
      </c>
      <c r="AD84" s="413">
        <f>'ORÇAMENTO GERAL'!$J$44</f>
        <v>5.16</v>
      </c>
      <c r="AE84" s="412">
        <f t="shared" si="57"/>
        <v>0</v>
      </c>
      <c r="AF84" s="413">
        <f>'ORÇAMENTO GERAL'!$J$45</f>
        <v>121.81</v>
      </c>
      <c r="AG84" s="412">
        <f t="shared" si="58"/>
        <v>0</v>
      </c>
      <c r="AH84" s="413">
        <f>'ORÇAMENTO GERAL'!$J$46</f>
        <v>3.38</v>
      </c>
      <c r="AI84" s="413">
        <f t="shared" si="59"/>
        <v>0</v>
      </c>
    </row>
    <row r="85" spans="1:35" s="400" customFormat="1" ht="45" customHeight="1" hidden="1">
      <c r="A85" s="406">
        <v>16</v>
      </c>
      <c r="B85" s="407">
        <f t="shared" si="49"/>
        <v>16</v>
      </c>
      <c r="C85" s="414">
        <v>1</v>
      </c>
      <c r="D85" s="412"/>
      <c r="E85" s="410">
        <f t="shared" si="60"/>
        <v>0</v>
      </c>
      <c r="F85" s="410">
        <v>1.3</v>
      </c>
      <c r="G85" s="410">
        <v>1.4</v>
      </c>
      <c r="H85" s="410">
        <v>0.05</v>
      </c>
      <c r="I85" s="410">
        <f t="shared" si="61"/>
        <v>0</v>
      </c>
      <c r="J85" s="410">
        <f t="shared" si="62"/>
        <v>0</v>
      </c>
      <c r="K85" s="410">
        <f t="shared" si="63"/>
        <v>0</v>
      </c>
      <c r="L85" s="410">
        <f t="shared" si="64"/>
        <v>0</v>
      </c>
      <c r="M85" s="411">
        <f t="shared" si="65"/>
        <v>0</v>
      </c>
      <c r="N85" s="411">
        <f t="shared" si="66"/>
        <v>0</v>
      </c>
      <c r="O85" s="411">
        <f t="shared" si="67"/>
        <v>0</v>
      </c>
      <c r="P85" s="411">
        <f t="shared" si="68"/>
        <v>0</v>
      </c>
      <c r="Q85" s="431"/>
      <c r="R85" s="393">
        <f>B85</f>
        <v>16</v>
      </c>
      <c r="S85" s="435">
        <f>E85</f>
        <v>0</v>
      </c>
      <c r="T85" s="413">
        <f>'ORÇAMENTO GERAL'!$J$39</f>
        <v>474.06</v>
      </c>
      <c r="U85" s="412">
        <f>I85</f>
        <v>0</v>
      </c>
      <c r="V85" s="413">
        <f>'ORÇAMENTO GERAL'!$J$40</f>
        <v>7.89</v>
      </c>
      <c r="W85" s="412">
        <f>J85</f>
        <v>0</v>
      </c>
      <c r="X85" s="413">
        <f>'ORÇAMENTO GERAL'!$J$41</f>
        <v>6.31</v>
      </c>
      <c r="Y85" s="412">
        <f>L85</f>
        <v>0</v>
      </c>
      <c r="Z85" s="413">
        <f>'ORÇAMENTO GERAL'!$J$42</f>
        <v>20.74</v>
      </c>
      <c r="AA85" s="412">
        <f>M85</f>
        <v>0</v>
      </c>
      <c r="AB85" s="413">
        <f>'ORÇAMENTO GERAL'!$J$43</f>
        <v>45.16</v>
      </c>
      <c r="AC85" s="412">
        <f>N85</f>
        <v>0</v>
      </c>
      <c r="AD85" s="413">
        <f>'ORÇAMENTO GERAL'!$J$44</f>
        <v>5.16</v>
      </c>
      <c r="AE85" s="412">
        <f>O85</f>
        <v>0</v>
      </c>
      <c r="AF85" s="413">
        <f>'ORÇAMENTO GERAL'!$J$45</f>
        <v>121.81</v>
      </c>
      <c r="AG85" s="412">
        <f>P85</f>
        <v>0</v>
      </c>
      <c r="AH85" s="413">
        <f>'ORÇAMENTO GERAL'!$J$46</f>
        <v>3.38</v>
      </c>
      <c r="AI85" s="413">
        <f>(S85*T85)+(U85*V85)+(W85*X85)+(Y85*Z85)+(AA85*AB85)+(AC85*AD85)+(AE85*AF85)+(AG85*AH85)</f>
        <v>0</v>
      </c>
    </row>
    <row r="86" spans="1:35" s="400" customFormat="1" ht="45" customHeight="1" hidden="1">
      <c r="A86" s="406">
        <v>17</v>
      </c>
      <c r="B86" s="407">
        <f t="shared" si="49"/>
        <v>17</v>
      </c>
      <c r="C86" s="414">
        <v>1</v>
      </c>
      <c r="D86" s="412"/>
      <c r="E86" s="410">
        <f t="shared" si="60"/>
        <v>0</v>
      </c>
      <c r="F86" s="410">
        <v>1.3</v>
      </c>
      <c r="G86" s="410">
        <v>1.4</v>
      </c>
      <c r="H86" s="410">
        <v>0.05</v>
      </c>
      <c r="I86" s="410">
        <f t="shared" si="61"/>
        <v>0</v>
      </c>
      <c r="J86" s="410">
        <f t="shared" si="62"/>
        <v>0</v>
      </c>
      <c r="K86" s="410">
        <f t="shared" si="63"/>
        <v>0</v>
      </c>
      <c r="L86" s="410">
        <f t="shared" si="64"/>
        <v>0</v>
      </c>
      <c r="M86" s="411">
        <f t="shared" si="65"/>
        <v>0</v>
      </c>
      <c r="N86" s="411">
        <f t="shared" si="66"/>
        <v>0</v>
      </c>
      <c r="O86" s="411">
        <f t="shared" si="67"/>
        <v>0</v>
      </c>
      <c r="P86" s="411">
        <f t="shared" si="68"/>
        <v>0</v>
      </c>
      <c r="Q86" s="431"/>
      <c r="R86" s="393">
        <f>B86</f>
        <v>17</v>
      </c>
      <c r="S86" s="435">
        <f>E86</f>
        <v>0</v>
      </c>
      <c r="T86" s="413">
        <f>'ORÇAMENTO GERAL'!$J$39</f>
        <v>474.06</v>
      </c>
      <c r="U86" s="412">
        <f>I86</f>
        <v>0</v>
      </c>
      <c r="V86" s="413">
        <f>'ORÇAMENTO GERAL'!$J$40</f>
        <v>7.89</v>
      </c>
      <c r="W86" s="412">
        <f>J86</f>
        <v>0</v>
      </c>
      <c r="X86" s="413">
        <f>'ORÇAMENTO GERAL'!$J$41</f>
        <v>6.31</v>
      </c>
      <c r="Y86" s="412">
        <f>L86</f>
        <v>0</v>
      </c>
      <c r="Z86" s="413">
        <f>'ORÇAMENTO GERAL'!$J$42</f>
        <v>20.74</v>
      </c>
      <c r="AA86" s="412">
        <f>M86</f>
        <v>0</v>
      </c>
      <c r="AB86" s="413">
        <f>'ORÇAMENTO GERAL'!$J$43</f>
        <v>45.16</v>
      </c>
      <c r="AC86" s="412">
        <f>N86</f>
        <v>0</v>
      </c>
      <c r="AD86" s="413">
        <f>'ORÇAMENTO GERAL'!$J$44</f>
        <v>5.16</v>
      </c>
      <c r="AE86" s="412">
        <f>O86</f>
        <v>0</v>
      </c>
      <c r="AF86" s="413">
        <f>'ORÇAMENTO GERAL'!$J$45</f>
        <v>121.81</v>
      </c>
      <c r="AG86" s="412">
        <f>P86</f>
        <v>0</v>
      </c>
      <c r="AH86" s="413">
        <f>'ORÇAMENTO GERAL'!$J$46</f>
        <v>3.38</v>
      </c>
      <c r="AI86" s="413">
        <f>(S86*T86)+(U86*V86)+(W86*X86)+(Y86*Z86)+(AA86*AB86)+(AC86*AD86)+(AE86*AF86)+(AG86*AH86)</f>
        <v>0</v>
      </c>
    </row>
    <row r="87" spans="1:35" s="400" customFormat="1" ht="45" customHeight="1" hidden="1">
      <c r="A87" s="406">
        <v>18</v>
      </c>
      <c r="B87" s="407">
        <f t="shared" si="49"/>
        <v>18</v>
      </c>
      <c r="C87" s="414">
        <v>1</v>
      </c>
      <c r="D87" s="412"/>
      <c r="E87" s="410">
        <f t="shared" si="60"/>
        <v>0</v>
      </c>
      <c r="F87" s="410">
        <v>1.3</v>
      </c>
      <c r="G87" s="410">
        <v>1.4</v>
      </c>
      <c r="H87" s="410">
        <v>0.05</v>
      </c>
      <c r="I87" s="410">
        <f t="shared" si="61"/>
        <v>0</v>
      </c>
      <c r="J87" s="410">
        <f t="shared" si="62"/>
        <v>0</v>
      </c>
      <c r="K87" s="410">
        <f t="shared" si="63"/>
        <v>0</v>
      </c>
      <c r="L87" s="410">
        <f t="shared" si="64"/>
        <v>0</v>
      </c>
      <c r="M87" s="411">
        <f t="shared" si="65"/>
        <v>0</v>
      </c>
      <c r="N87" s="411">
        <f t="shared" si="66"/>
        <v>0</v>
      </c>
      <c r="O87" s="411">
        <f t="shared" si="67"/>
        <v>0</v>
      </c>
      <c r="P87" s="411">
        <f t="shared" si="68"/>
        <v>0</v>
      </c>
      <c r="Q87" s="431"/>
      <c r="R87" s="393">
        <f>B87</f>
        <v>18</v>
      </c>
      <c r="S87" s="435">
        <f>E87</f>
        <v>0</v>
      </c>
      <c r="T87" s="413">
        <f>'ORÇAMENTO GERAL'!$J$39</f>
        <v>474.06</v>
      </c>
      <c r="U87" s="412">
        <f>I87</f>
        <v>0</v>
      </c>
      <c r="V87" s="413">
        <f>'ORÇAMENTO GERAL'!$J$40</f>
        <v>7.89</v>
      </c>
      <c r="W87" s="412">
        <f>J87</f>
        <v>0</v>
      </c>
      <c r="X87" s="413">
        <f>'ORÇAMENTO GERAL'!$J$41</f>
        <v>6.31</v>
      </c>
      <c r="Y87" s="412">
        <f>L87</f>
        <v>0</v>
      </c>
      <c r="Z87" s="413">
        <f>'ORÇAMENTO GERAL'!$J$42</f>
        <v>20.74</v>
      </c>
      <c r="AA87" s="412">
        <f>M87</f>
        <v>0</v>
      </c>
      <c r="AB87" s="413">
        <f>'ORÇAMENTO GERAL'!$J$43</f>
        <v>45.16</v>
      </c>
      <c r="AC87" s="412">
        <f>N87</f>
        <v>0</v>
      </c>
      <c r="AD87" s="413">
        <f>'ORÇAMENTO GERAL'!$J$44</f>
        <v>5.16</v>
      </c>
      <c r="AE87" s="412">
        <f>O87</f>
        <v>0</v>
      </c>
      <c r="AF87" s="413">
        <f>'ORÇAMENTO GERAL'!$J$45</f>
        <v>121.81</v>
      </c>
      <c r="AG87" s="412">
        <f>P87</f>
        <v>0</v>
      </c>
      <c r="AH87" s="413">
        <f>'ORÇAMENTO GERAL'!$J$46</f>
        <v>3.38</v>
      </c>
      <c r="AI87" s="413">
        <f>(S87*T87)+(U87*V87)+(W87*X87)+(Y87*Z87)+(AA87*AB87)+(AC87*AD87)+(AE87*AF87)+(AG87*AH87)</f>
        <v>0</v>
      </c>
    </row>
    <row r="88" spans="1:35" s="400" customFormat="1" ht="45" customHeight="1" hidden="1">
      <c r="A88" s="406">
        <v>19</v>
      </c>
      <c r="B88" s="407">
        <f t="shared" si="49"/>
        <v>19</v>
      </c>
      <c r="C88" s="414">
        <v>1</v>
      </c>
      <c r="D88" s="411"/>
      <c r="E88" s="410">
        <f t="shared" si="60"/>
        <v>0</v>
      </c>
      <c r="F88" s="410">
        <v>1.3</v>
      </c>
      <c r="G88" s="410">
        <v>1.4</v>
      </c>
      <c r="H88" s="410">
        <v>0.05</v>
      </c>
      <c r="I88" s="410">
        <f t="shared" si="61"/>
        <v>0</v>
      </c>
      <c r="J88" s="410">
        <f t="shared" si="62"/>
        <v>0</v>
      </c>
      <c r="K88" s="410">
        <f t="shared" si="63"/>
        <v>0</v>
      </c>
      <c r="L88" s="410">
        <f t="shared" si="64"/>
        <v>0</v>
      </c>
      <c r="M88" s="411">
        <f t="shared" si="65"/>
        <v>0</v>
      </c>
      <c r="N88" s="411">
        <f t="shared" si="66"/>
        <v>0</v>
      </c>
      <c r="O88" s="411">
        <f t="shared" si="67"/>
        <v>0</v>
      </c>
      <c r="P88" s="411">
        <f t="shared" si="68"/>
        <v>0</v>
      </c>
      <c r="Q88" s="431"/>
      <c r="R88" s="393">
        <f>B88</f>
        <v>19</v>
      </c>
      <c r="S88" s="435">
        <f>E88</f>
        <v>0</v>
      </c>
      <c r="T88" s="413">
        <f>'ORÇAMENTO GERAL'!$J$39</f>
        <v>474.06</v>
      </c>
      <c r="U88" s="412">
        <f>I88</f>
        <v>0</v>
      </c>
      <c r="V88" s="413">
        <f>'ORÇAMENTO GERAL'!$J$40</f>
        <v>7.89</v>
      </c>
      <c r="W88" s="412">
        <f>J88</f>
        <v>0</v>
      </c>
      <c r="X88" s="413">
        <f>'ORÇAMENTO GERAL'!$J$41</f>
        <v>6.31</v>
      </c>
      <c r="Y88" s="412">
        <f>L88</f>
        <v>0</v>
      </c>
      <c r="Z88" s="413">
        <f>'ORÇAMENTO GERAL'!$J$42</f>
        <v>20.74</v>
      </c>
      <c r="AA88" s="412">
        <f>M88</f>
        <v>0</v>
      </c>
      <c r="AB88" s="413">
        <f>'ORÇAMENTO GERAL'!$J$43</f>
        <v>45.16</v>
      </c>
      <c r="AC88" s="412">
        <f>N88</f>
        <v>0</v>
      </c>
      <c r="AD88" s="413">
        <f>'ORÇAMENTO GERAL'!$J$44</f>
        <v>5.16</v>
      </c>
      <c r="AE88" s="412">
        <f>O88</f>
        <v>0</v>
      </c>
      <c r="AF88" s="413">
        <f>'ORÇAMENTO GERAL'!$J$45</f>
        <v>121.81</v>
      </c>
      <c r="AG88" s="412">
        <f>P88</f>
        <v>0</v>
      </c>
      <c r="AH88" s="413">
        <f>'ORÇAMENTO GERAL'!$J$46</f>
        <v>3.38</v>
      </c>
      <c r="AI88" s="413">
        <f>(S88*T88)+(U88*V88)+(W88*X88)+(Y88*Z88)+(AA88*AB88)+(AC88*AD88)+(AE88*AF88)+(AG88*AH88)</f>
        <v>0</v>
      </c>
    </row>
    <row r="89" spans="1:35" s="400" customFormat="1" ht="45" customHeight="1" hidden="1" thickBot="1">
      <c r="A89" s="406">
        <v>20</v>
      </c>
      <c r="B89" s="407">
        <f t="shared" si="49"/>
        <v>20</v>
      </c>
      <c r="C89" s="414">
        <v>1</v>
      </c>
      <c r="D89" s="412"/>
      <c r="E89" s="410">
        <f t="shared" si="60"/>
        <v>0</v>
      </c>
      <c r="F89" s="410">
        <v>1.3</v>
      </c>
      <c r="G89" s="410">
        <v>1.4</v>
      </c>
      <c r="H89" s="410">
        <v>0.05</v>
      </c>
      <c r="I89" s="410">
        <f t="shared" si="61"/>
        <v>0</v>
      </c>
      <c r="J89" s="410">
        <f t="shared" si="62"/>
        <v>0</v>
      </c>
      <c r="K89" s="410">
        <f t="shared" si="63"/>
        <v>0</v>
      </c>
      <c r="L89" s="410">
        <f t="shared" si="64"/>
        <v>0</v>
      </c>
      <c r="M89" s="411">
        <f t="shared" si="65"/>
        <v>0</v>
      </c>
      <c r="N89" s="411">
        <f t="shared" si="66"/>
        <v>0</v>
      </c>
      <c r="O89" s="411">
        <f t="shared" si="67"/>
        <v>0</v>
      </c>
      <c r="P89" s="411">
        <f t="shared" si="68"/>
        <v>0</v>
      </c>
      <c r="Q89" s="431"/>
      <c r="R89" s="393">
        <f t="shared" si="50"/>
        <v>20</v>
      </c>
      <c r="S89" s="435">
        <f t="shared" si="51"/>
        <v>0</v>
      </c>
      <c r="T89" s="413">
        <f>'ORÇAMENTO GERAL'!$J$39</f>
        <v>474.06</v>
      </c>
      <c r="U89" s="412">
        <f t="shared" si="52"/>
        <v>0</v>
      </c>
      <c r="V89" s="413">
        <f>'ORÇAMENTO GERAL'!$J$40</f>
        <v>7.89</v>
      </c>
      <c r="W89" s="412">
        <f t="shared" si="53"/>
        <v>0</v>
      </c>
      <c r="X89" s="413">
        <f>'ORÇAMENTO GERAL'!$J$41</f>
        <v>6.31</v>
      </c>
      <c r="Y89" s="412">
        <f t="shared" si="54"/>
        <v>0</v>
      </c>
      <c r="Z89" s="413">
        <f>'ORÇAMENTO GERAL'!$J$42</f>
        <v>20.74</v>
      </c>
      <c r="AA89" s="412">
        <f t="shared" si="55"/>
        <v>0</v>
      </c>
      <c r="AB89" s="413">
        <f>'ORÇAMENTO GERAL'!$J$43</f>
        <v>45.16</v>
      </c>
      <c r="AC89" s="412">
        <f t="shared" si="56"/>
        <v>0</v>
      </c>
      <c r="AD89" s="413">
        <f>'ORÇAMENTO GERAL'!$J$44</f>
        <v>5.16</v>
      </c>
      <c r="AE89" s="412">
        <f t="shared" si="57"/>
        <v>0</v>
      </c>
      <c r="AF89" s="413">
        <f>'ORÇAMENTO GERAL'!$J$45</f>
        <v>121.81</v>
      </c>
      <c r="AG89" s="412">
        <f t="shared" si="58"/>
        <v>0</v>
      </c>
      <c r="AH89" s="413">
        <f>'ORÇAMENTO GERAL'!$J$46</f>
        <v>3.38</v>
      </c>
      <c r="AI89" s="413">
        <f t="shared" si="59"/>
        <v>0</v>
      </c>
    </row>
    <row r="90" spans="1:17" s="400" customFormat="1" ht="45" customHeight="1" thickBot="1">
      <c r="A90" s="806" t="s">
        <v>29</v>
      </c>
      <c r="B90" s="807"/>
      <c r="C90" s="415"/>
      <c r="D90" s="415"/>
      <c r="E90" s="415">
        <f>SUM(E70:E89)</f>
        <v>695</v>
      </c>
      <c r="F90" s="415"/>
      <c r="G90" s="415"/>
      <c r="H90" s="415"/>
      <c r="I90" s="415">
        <f>SUM(I70:I89)</f>
        <v>1313.5499999999997</v>
      </c>
      <c r="J90" s="415">
        <f>SUM(J70:J89)</f>
        <v>903.5</v>
      </c>
      <c r="K90" s="415"/>
      <c r="L90" s="415">
        <f>SUM(L70:L89)</f>
        <v>964.3819999999998</v>
      </c>
      <c r="M90" s="415">
        <f>SUM(M70:M89)</f>
        <v>903.5</v>
      </c>
      <c r="N90" s="415">
        <f>SUM(N70:N89)</f>
        <v>558.6688000000001</v>
      </c>
      <c r="O90" s="415">
        <f>SUM(O70:O89)</f>
        <v>695</v>
      </c>
      <c r="P90" s="415">
        <f>SUM(P70:P89)</f>
        <v>4364.600000000001</v>
      </c>
      <c r="Q90" s="430"/>
    </row>
    <row r="91" spans="3:8" s="400" customFormat="1" ht="45" customHeight="1">
      <c r="C91" s="420"/>
      <c r="D91" s="420"/>
      <c r="E91" s="420"/>
      <c r="F91" s="420"/>
      <c r="G91" s="420"/>
      <c r="H91" s="420"/>
    </row>
    <row r="92" spans="1:35" s="400" customFormat="1" ht="45" customHeight="1" hidden="1" thickBot="1">
      <c r="A92" s="823" t="s">
        <v>473</v>
      </c>
      <c r="B92" s="824"/>
      <c r="C92" s="824"/>
      <c r="D92" s="824"/>
      <c r="E92" s="824"/>
      <c r="F92" s="824"/>
      <c r="G92" s="824"/>
      <c r="H92" s="824"/>
      <c r="I92" s="824"/>
      <c r="J92" s="824"/>
      <c r="K92" s="824"/>
      <c r="L92" s="824"/>
      <c r="M92" s="824"/>
      <c r="N92" s="824"/>
      <c r="O92" s="824"/>
      <c r="P92" s="825"/>
      <c r="Q92" s="428"/>
      <c r="R92" s="796" t="str">
        <f>A92</f>
        <v>CÁLCULO PARA TUBULAÇÃO DE 1000 MM</v>
      </c>
      <c r="S92" s="797"/>
      <c r="T92" s="797"/>
      <c r="U92" s="797"/>
      <c r="V92" s="797"/>
      <c r="W92" s="797"/>
      <c r="X92" s="797"/>
      <c r="Y92" s="797"/>
      <c r="Z92" s="797"/>
      <c r="AA92" s="797"/>
      <c r="AB92" s="797"/>
      <c r="AC92" s="797"/>
      <c r="AD92" s="797"/>
      <c r="AE92" s="797"/>
      <c r="AF92" s="797"/>
      <c r="AG92" s="797"/>
      <c r="AH92" s="797"/>
      <c r="AI92" s="798"/>
    </row>
    <row r="93" spans="1:35" s="400" customFormat="1" ht="45" customHeight="1" hidden="1">
      <c r="A93" s="812" t="s">
        <v>7</v>
      </c>
      <c r="B93" s="820" t="s">
        <v>474</v>
      </c>
      <c r="C93" s="808" t="s">
        <v>486</v>
      </c>
      <c r="D93" s="808"/>
      <c r="E93" s="808"/>
      <c r="F93" s="810" t="s">
        <v>449</v>
      </c>
      <c r="G93" s="810"/>
      <c r="H93" s="810"/>
      <c r="I93" s="810"/>
      <c r="J93" s="810" t="s">
        <v>459</v>
      </c>
      <c r="K93" s="808" t="s">
        <v>450</v>
      </c>
      <c r="L93" s="808"/>
      <c r="M93" s="810" t="s">
        <v>465</v>
      </c>
      <c r="N93" s="808" t="s">
        <v>466</v>
      </c>
      <c r="O93" s="808" t="s">
        <v>468</v>
      </c>
      <c r="P93" s="818" t="s">
        <v>45</v>
      </c>
      <c r="Q93" s="428"/>
      <c r="R93" s="799" t="s">
        <v>260</v>
      </c>
      <c r="S93" s="801" t="s">
        <v>477</v>
      </c>
      <c r="T93" s="795" t="s">
        <v>487</v>
      </c>
      <c r="U93" s="795" t="s">
        <v>475</v>
      </c>
      <c r="V93" s="795" t="s">
        <v>487</v>
      </c>
      <c r="W93" s="795" t="s">
        <v>459</v>
      </c>
      <c r="X93" s="795" t="s">
        <v>487</v>
      </c>
      <c r="Y93" s="795" t="s">
        <v>450</v>
      </c>
      <c r="Z93" s="795" t="s">
        <v>487</v>
      </c>
      <c r="AA93" s="795" t="s">
        <v>476</v>
      </c>
      <c r="AB93" s="795" t="s">
        <v>487</v>
      </c>
      <c r="AC93" s="795" t="s">
        <v>466</v>
      </c>
      <c r="AD93" s="795" t="s">
        <v>487</v>
      </c>
      <c r="AE93" s="795" t="s">
        <v>468</v>
      </c>
      <c r="AF93" s="795" t="s">
        <v>487</v>
      </c>
      <c r="AG93" s="795" t="s">
        <v>45</v>
      </c>
      <c r="AH93" s="795" t="s">
        <v>487</v>
      </c>
      <c r="AI93" s="795" t="s">
        <v>478</v>
      </c>
    </row>
    <row r="94" spans="1:35" s="400" customFormat="1" ht="45" customHeight="1" hidden="1">
      <c r="A94" s="813"/>
      <c r="B94" s="821"/>
      <c r="C94" s="809"/>
      <c r="D94" s="809"/>
      <c r="E94" s="809"/>
      <c r="F94" s="811"/>
      <c r="G94" s="811"/>
      <c r="H94" s="811"/>
      <c r="I94" s="811"/>
      <c r="J94" s="811"/>
      <c r="K94" s="809"/>
      <c r="L94" s="809"/>
      <c r="M94" s="811"/>
      <c r="N94" s="809"/>
      <c r="O94" s="809"/>
      <c r="P94" s="819"/>
      <c r="Q94" s="428"/>
      <c r="R94" s="800"/>
      <c r="S94" s="802"/>
      <c r="T94" s="794"/>
      <c r="U94" s="794"/>
      <c r="V94" s="794"/>
      <c r="W94" s="794"/>
      <c r="X94" s="794"/>
      <c r="Y94" s="794"/>
      <c r="Z94" s="794"/>
      <c r="AA94" s="794"/>
      <c r="AB94" s="794"/>
      <c r="AC94" s="794"/>
      <c r="AD94" s="794"/>
      <c r="AE94" s="794"/>
      <c r="AF94" s="794"/>
      <c r="AG94" s="794"/>
      <c r="AH94" s="794"/>
      <c r="AI94" s="794"/>
    </row>
    <row r="95" spans="1:35" s="400" customFormat="1" ht="45" customHeight="1" hidden="1">
      <c r="A95" s="813"/>
      <c r="B95" s="821"/>
      <c r="C95" s="401" t="s">
        <v>170</v>
      </c>
      <c r="D95" s="401" t="s">
        <v>454</v>
      </c>
      <c r="E95" s="401" t="s">
        <v>457</v>
      </c>
      <c r="F95" s="401" t="s">
        <v>448</v>
      </c>
      <c r="G95" s="401" t="s">
        <v>456</v>
      </c>
      <c r="H95" s="401" t="s">
        <v>458</v>
      </c>
      <c r="I95" s="401" t="s">
        <v>29</v>
      </c>
      <c r="J95" s="811"/>
      <c r="K95" s="401" t="s">
        <v>460</v>
      </c>
      <c r="L95" s="401" t="s">
        <v>29</v>
      </c>
      <c r="M95" s="811"/>
      <c r="N95" s="809"/>
      <c r="O95" s="809"/>
      <c r="P95" s="819"/>
      <c r="Q95" s="428"/>
      <c r="R95" s="800"/>
      <c r="S95" s="802"/>
      <c r="T95" s="794"/>
      <c r="U95" s="794"/>
      <c r="V95" s="794"/>
      <c r="W95" s="794"/>
      <c r="X95" s="794"/>
      <c r="Y95" s="794"/>
      <c r="Z95" s="794"/>
      <c r="AA95" s="794"/>
      <c r="AB95" s="794"/>
      <c r="AC95" s="794"/>
      <c r="AD95" s="794"/>
      <c r="AE95" s="794"/>
      <c r="AF95" s="794"/>
      <c r="AG95" s="794"/>
      <c r="AH95" s="794"/>
      <c r="AI95" s="794"/>
    </row>
    <row r="96" spans="1:18" s="400" customFormat="1" ht="45" customHeight="1" hidden="1">
      <c r="A96" s="813"/>
      <c r="B96" s="821"/>
      <c r="C96" s="402"/>
      <c r="D96" s="402"/>
      <c r="E96" s="402" t="s">
        <v>64</v>
      </c>
      <c r="F96" s="402" t="s">
        <v>67</v>
      </c>
      <c r="G96" s="402" t="s">
        <v>20</v>
      </c>
      <c r="H96" s="402" t="s">
        <v>12</v>
      </c>
      <c r="I96" s="402" t="s">
        <v>461</v>
      </c>
      <c r="J96" s="402" t="s">
        <v>462</v>
      </c>
      <c r="K96" s="402" t="s">
        <v>482</v>
      </c>
      <c r="L96" s="402" t="s">
        <v>463</v>
      </c>
      <c r="M96" s="402" t="s">
        <v>464</v>
      </c>
      <c r="N96" s="402" t="s">
        <v>483</v>
      </c>
      <c r="O96" s="402" t="s">
        <v>467</v>
      </c>
      <c r="P96" s="403" t="s">
        <v>469</v>
      </c>
      <c r="Q96" s="428"/>
      <c r="R96" s="437"/>
    </row>
    <row r="97" spans="1:18" s="400" customFormat="1" ht="45" customHeight="1" hidden="1" thickBot="1">
      <c r="A97" s="814"/>
      <c r="B97" s="822"/>
      <c r="C97" s="404" t="s">
        <v>455</v>
      </c>
      <c r="D97" s="404" t="s">
        <v>451</v>
      </c>
      <c r="E97" s="404" t="s">
        <v>451</v>
      </c>
      <c r="F97" s="404" t="s">
        <v>489</v>
      </c>
      <c r="G97" s="404" t="s">
        <v>490</v>
      </c>
      <c r="H97" s="404"/>
      <c r="I97" s="404"/>
      <c r="J97" s="404"/>
      <c r="K97" s="404"/>
      <c r="L97" s="404"/>
      <c r="M97" s="404"/>
      <c r="N97" s="404"/>
      <c r="O97" s="404"/>
      <c r="P97" s="405">
        <v>10</v>
      </c>
      <c r="Q97" s="429"/>
      <c r="R97" s="438"/>
    </row>
    <row r="98" spans="1:35" s="400" customFormat="1" ht="45" customHeight="1" hidden="1">
      <c r="A98" s="406">
        <v>1</v>
      </c>
      <c r="B98" s="407" t="str">
        <f>B14</f>
        <v>RUA UNIÃO</v>
      </c>
      <c r="C98" s="409">
        <v>1</v>
      </c>
      <c r="D98" s="408">
        <v>0</v>
      </c>
      <c r="E98" s="409">
        <f>C98*D98</f>
        <v>0</v>
      </c>
      <c r="F98" s="410">
        <v>1.5</v>
      </c>
      <c r="G98" s="410">
        <v>1.6</v>
      </c>
      <c r="H98" s="410">
        <v>0.05</v>
      </c>
      <c r="I98" s="410">
        <f>(E98*F98*G98)+(E98*G98*H98)</f>
        <v>0</v>
      </c>
      <c r="J98" s="410">
        <f>E98*F98</f>
        <v>0</v>
      </c>
      <c r="K98" s="410">
        <f>(3.14*(0.5)^2*E98)</f>
        <v>0</v>
      </c>
      <c r="L98" s="410">
        <f>I98-K98</f>
        <v>0</v>
      </c>
      <c r="M98" s="411">
        <f>J98</f>
        <v>0</v>
      </c>
      <c r="N98" s="411">
        <f>K98*1.6</f>
        <v>0</v>
      </c>
      <c r="O98" s="411">
        <f>E98</f>
        <v>0</v>
      </c>
      <c r="P98" s="411">
        <f>K98*1.25*$P$13</f>
        <v>0</v>
      </c>
      <c r="Q98" s="431"/>
      <c r="R98" s="436" t="str">
        <f aca="true" t="shared" si="69" ref="R98:R103">B98</f>
        <v>RUA UNIÃO</v>
      </c>
      <c r="S98" s="435">
        <f aca="true" t="shared" si="70" ref="S98:S103">E98</f>
        <v>0</v>
      </c>
      <c r="T98" s="413">
        <f>'ORÇAMENTO GERAL'!$J$47</f>
        <v>433.29</v>
      </c>
      <c r="U98" s="412">
        <f aca="true" t="shared" si="71" ref="U98:U103">I98</f>
        <v>0</v>
      </c>
      <c r="V98" s="413">
        <f>'ORÇAMENTO GERAL'!$J$48</f>
        <v>7.89</v>
      </c>
      <c r="W98" s="412">
        <f aca="true" t="shared" si="72" ref="W98:W103">J98</f>
        <v>0</v>
      </c>
      <c r="X98" s="413">
        <f>'ORÇAMENTO GERAL'!$J$49</f>
        <v>6.31</v>
      </c>
      <c r="Y98" s="412">
        <f aca="true" t="shared" si="73" ref="Y98:Y103">L98</f>
        <v>0</v>
      </c>
      <c r="Z98" s="413">
        <f>'ORÇAMENTO GERAL'!$J$50</f>
        <v>20.74</v>
      </c>
      <c r="AA98" s="412">
        <f aca="true" t="shared" si="74" ref="AA98:AA103">M98</f>
        <v>0</v>
      </c>
      <c r="AB98" s="413">
        <f>'ORÇAMENTO GERAL'!$J$51</f>
        <v>45.16</v>
      </c>
      <c r="AC98" s="412">
        <f aca="true" t="shared" si="75" ref="AC98:AC103">N98</f>
        <v>0</v>
      </c>
      <c r="AD98" s="413">
        <f>'ORÇAMENTO GERAL'!$J$52</f>
        <v>5.16</v>
      </c>
      <c r="AE98" s="412">
        <f aca="true" t="shared" si="76" ref="AE98:AE103">O98</f>
        <v>0</v>
      </c>
      <c r="AF98" s="413">
        <f>'ORÇAMENTO GERAL'!$J$53</f>
        <v>158.97</v>
      </c>
      <c r="AG98" s="412">
        <f aca="true" t="shared" si="77" ref="AG98:AG103">P98</f>
        <v>0</v>
      </c>
      <c r="AH98" s="413">
        <f>'ORÇAMENTO GERAL'!$J$54</f>
        <v>3.38</v>
      </c>
      <c r="AI98" s="413">
        <f aca="true" t="shared" si="78" ref="AI98:AI103">(S98*T98)+(U98*V98)+(W98*X98)+(Y98*Z98)+(AA98*AB98)+(AC98*AD98)+(AE98*AF98)+(AG98*AH98)</f>
        <v>0</v>
      </c>
    </row>
    <row r="99" spans="1:35" s="400" customFormat="1" ht="45" customHeight="1" hidden="1">
      <c r="A99" s="406">
        <v>2</v>
      </c>
      <c r="B99" s="407" t="str">
        <f aca="true" t="shared" si="79" ref="B99:B117">B15</f>
        <v>RUA JARDIM DOS ESPORTES</v>
      </c>
      <c r="C99" s="414">
        <v>1</v>
      </c>
      <c r="D99" s="412"/>
      <c r="E99" s="410">
        <f>C99*D99</f>
        <v>0</v>
      </c>
      <c r="F99" s="410">
        <v>1.5</v>
      </c>
      <c r="G99" s="410">
        <v>1.6</v>
      </c>
      <c r="H99" s="410">
        <v>0.05</v>
      </c>
      <c r="I99" s="410">
        <f>(E99*F99*G99)+(E99*G99*H99)</f>
        <v>0</v>
      </c>
      <c r="J99" s="410">
        <f>E99*F99</f>
        <v>0</v>
      </c>
      <c r="K99" s="410">
        <f>(3.14*(0.5)^2*E99)</f>
        <v>0</v>
      </c>
      <c r="L99" s="410">
        <f>I99-K99</f>
        <v>0</v>
      </c>
      <c r="M99" s="411">
        <f>J99</f>
        <v>0</v>
      </c>
      <c r="N99" s="411">
        <f>K99*1.6</f>
        <v>0</v>
      </c>
      <c r="O99" s="411">
        <f>E99</f>
        <v>0</v>
      </c>
      <c r="P99" s="411">
        <f>K99*1.25*$P$13</f>
        <v>0</v>
      </c>
      <c r="Q99" s="431"/>
      <c r="R99" s="393" t="str">
        <f t="shared" si="69"/>
        <v>RUA JARDIM DOS ESPORTES</v>
      </c>
      <c r="S99" s="435">
        <f t="shared" si="70"/>
        <v>0</v>
      </c>
      <c r="T99" s="413">
        <f>'ORÇAMENTO GERAL'!$J$47</f>
        <v>433.29</v>
      </c>
      <c r="U99" s="412">
        <f t="shared" si="71"/>
        <v>0</v>
      </c>
      <c r="V99" s="413">
        <f>'ORÇAMENTO GERAL'!$J$48</f>
        <v>7.89</v>
      </c>
      <c r="W99" s="412">
        <f t="shared" si="72"/>
        <v>0</v>
      </c>
      <c r="X99" s="413">
        <f>'ORÇAMENTO GERAL'!$J$49</f>
        <v>6.31</v>
      </c>
      <c r="Y99" s="412">
        <f t="shared" si="73"/>
        <v>0</v>
      </c>
      <c r="Z99" s="413">
        <f>'ORÇAMENTO GERAL'!$J$50</f>
        <v>20.74</v>
      </c>
      <c r="AA99" s="412">
        <f t="shared" si="74"/>
        <v>0</v>
      </c>
      <c r="AB99" s="413">
        <f>'ORÇAMENTO GERAL'!$J$51</f>
        <v>45.16</v>
      </c>
      <c r="AC99" s="412">
        <f t="shared" si="75"/>
        <v>0</v>
      </c>
      <c r="AD99" s="413">
        <f>'ORÇAMENTO GERAL'!$J$52</f>
        <v>5.16</v>
      </c>
      <c r="AE99" s="412">
        <f t="shared" si="76"/>
        <v>0</v>
      </c>
      <c r="AF99" s="413">
        <f>'ORÇAMENTO GERAL'!$J$53</f>
        <v>158.97</v>
      </c>
      <c r="AG99" s="412">
        <f t="shared" si="77"/>
        <v>0</v>
      </c>
      <c r="AH99" s="413">
        <f>'ORÇAMENTO GERAL'!$J$54</f>
        <v>3.38</v>
      </c>
      <c r="AI99" s="413">
        <f t="shared" si="78"/>
        <v>0</v>
      </c>
    </row>
    <row r="100" spans="1:35" s="400" customFormat="1" ht="45" customHeight="1" hidden="1">
      <c r="A100" s="406">
        <v>3</v>
      </c>
      <c r="B100" s="407" t="e">
        <f t="shared" si="79"/>
        <v>#REF!</v>
      </c>
      <c r="C100" s="414">
        <v>1</v>
      </c>
      <c r="D100" s="412"/>
      <c r="E100" s="410">
        <f aca="true" t="shared" si="80" ref="E100:E117">C100*D100</f>
        <v>0</v>
      </c>
      <c r="F100" s="410">
        <v>1.5</v>
      </c>
      <c r="G100" s="410">
        <v>1.6</v>
      </c>
      <c r="H100" s="410">
        <v>0.05</v>
      </c>
      <c r="I100" s="410">
        <f aca="true" t="shared" si="81" ref="I100:I117">(E100*F100*G100)+(E100*G100*H100)</f>
        <v>0</v>
      </c>
      <c r="J100" s="410">
        <f aca="true" t="shared" si="82" ref="J100:J117">E100*F100</f>
        <v>0</v>
      </c>
      <c r="K100" s="410">
        <f aca="true" t="shared" si="83" ref="K100:K117">(3.14*(0.5)^2*E100)</f>
        <v>0</v>
      </c>
      <c r="L100" s="410">
        <f aca="true" t="shared" si="84" ref="L100:L117">I100-K100</f>
        <v>0</v>
      </c>
      <c r="M100" s="411">
        <f aca="true" t="shared" si="85" ref="M100:M117">J100</f>
        <v>0</v>
      </c>
      <c r="N100" s="411">
        <f aca="true" t="shared" si="86" ref="N100:N117">K100*1.6</f>
        <v>0</v>
      </c>
      <c r="O100" s="411">
        <f aca="true" t="shared" si="87" ref="O100:O117">E100</f>
        <v>0</v>
      </c>
      <c r="P100" s="411">
        <f aca="true" t="shared" si="88" ref="P100:P117">K100*1.25*$P$13</f>
        <v>0</v>
      </c>
      <c r="Q100" s="431"/>
      <c r="R100" s="393" t="e">
        <f t="shared" si="69"/>
        <v>#REF!</v>
      </c>
      <c r="S100" s="435">
        <f t="shared" si="70"/>
        <v>0</v>
      </c>
      <c r="T100" s="413">
        <f>'ORÇAMENTO GERAL'!$J$47</f>
        <v>433.29</v>
      </c>
      <c r="U100" s="412">
        <f t="shared" si="71"/>
        <v>0</v>
      </c>
      <c r="V100" s="413">
        <f>'ORÇAMENTO GERAL'!$J$48</f>
        <v>7.89</v>
      </c>
      <c r="W100" s="412">
        <f t="shared" si="72"/>
        <v>0</v>
      </c>
      <c r="X100" s="413">
        <f>'ORÇAMENTO GERAL'!$J$49</f>
        <v>6.31</v>
      </c>
      <c r="Y100" s="412">
        <f t="shared" si="73"/>
        <v>0</v>
      </c>
      <c r="Z100" s="413">
        <f>'ORÇAMENTO GERAL'!$J$50</f>
        <v>20.74</v>
      </c>
      <c r="AA100" s="412">
        <f t="shared" si="74"/>
        <v>0</v>
      </c>
      <c r="AB100" s="413">
        <f>'ORÇAMENTO GERAL'!$J$51</f>
        <v>45.16</v>
      </c>
      <c r="AC100" s="412">
        <f t="shared" si="75"/>
        <v>0</v>
      </c>
      <c r="AD100" s="413">
        <f>'ORÇAMENTO GERAL'!$J$52</f>
        <v>5.16</v>
      </c>
      <c r="AE100" s="412">
        <f t="shared" si="76"/>
        <v>0</v>
      </c>
      <c r="AF100" s="413">
        <f>'ORÇAMENTO GERAL'!$J$53</f>
        <v>158.97</v>
      </c>
      <c r="AG100" s="412">
        <f t="shared" si="77"/>
        <v>0</v>
      </c>
      <c r="AH100" s="413">
        <f>'ORÇAMENTO GERAL'!$J$54</f>
        <v>3.38</v>
      </c>
      <c r="AI100" s="413">
        <f t="shared" si="78"/>
        <v>0</v>
      </c>
    </row>
    <row r="101" spans="1:35" s="400" customFormat="1" ht="45" customHeight="1" hidden="1">
      <c r="A101" s="406">
        <v>4</v>
      </c>
      <c r="B101" s="407" t="str">
        <f t="shared" si="79"/>
        <v>BACIA LEITEIRA</v>
      </c>
      <c r="C101" s="414">
        <v>1</v>
      </c>
      <c r="D101" s="412"/>
      <c r="E101" s="410">
        <f t="shared" si="80"/>
        <v>0</v>
      </c>
      <c r="F101" s="410">
        <v>1.5</v>
      </c>
      <c r="G101" s="410">
        <v>1.6</v>
      </c>
      <c r="H101" s="410">
        <v>0.05</v>
      </c>
      <c r="I101" s="410">
        <f t="shared" si="81"/>
        <v>0</v>
      </c>
      <c r="J101" s="410">
        <f t="shared" si="82"/>
        <v>0</v>
      </c>
      <c r="K101" s="410">
        <f t="shared" si="83"/>
        <v>0</v>
      </c>
      <c r="L101" s="410">
        <f t="shared" si="84"/>
        <v>0</v>
      </c>
      <c r="M101" s="411">
        <f t="shared" si="85"/>
        <v>0</v>
      </c>
      <c r="N101" s="411">
        <f t="shared" si="86"/>
        <v>0</v>
      </c>
      <c r="O101" s="411">
        <f t="shared" si="87"/>
        <v>0</v>
      </c>
      <c r="P101" s="411">
        <f t="shared" si="88"/>
        <v>0</v>
      </c>
      <c r="Q101" s="431"/>
      <c r="R101" s="393" t="str">
        <f t="shared" si="69"/>
        <v>BACIA LEITEIRA</v>
      </c>
      <c r="S101" s="435">
        <f t="shared" si="70"/>
        <v>0</v>
      </c>
      <c r="T101" s="413">
        <f>'ORÇAMENTO GERAL'!$J$47</f>
        <v>433.29</v>
      </c>
      <c r="U101" s="412">
        <f t="shared" si="71"/>
        <v>0</v>
      </c>
      <c r="V101" s="413">
        <f>'ORÇAMENTO GERAL'!$J$48</f>
        <v>7.89</v>
      </c>
      <c r="W101" s="412">
        <f t="shared" si="72"/>
        <v>0</v>
      </c>
      <c r="X101" s="413">
        <f>'ORÇAMENTO GERAL'!$J$49</f>
        <v>6.31</v>
      </c>
      <c r="Y101" s="412">
        <f t="shared" si="73"/>
        <v>0</v>
      </c>
      <c r="Z101" s="413">
        <f>'ORÇAMENTO GERAL'!$J$50</f>
        <v>20.74</v>
      </c>
      <c r="AA101" s="412">
        <f t="shared" si="74"/>
        <v>0</v>
      </c>
      <c r="AB101" s="413">
        <f>'ORÇAMENTO GERAL'!$J$51</f>
        <v>45.16</v>
      </c>
      <c r="AC101" s="412">
        <f t="shared" si="75"/>
        <v>0</v>
      </c>
      <c r="AD101" s="413">
        <f>'ORÇAMENTO GERAL'!$J$52</f>
        <v>5.16</v>
      </c>
      <c r="AE101" s="412">
        <f t="shared" si="76"/>
        <v>0</v>
      </c>
      <c r="AF101" s="413">
        <f>'ORÇAMENTO GERAL'!$J$53</f>
        <v>158.97</v>
      </c>
      <c r="AG101" s="412">
        <f t="shared" si="77"/>
        <v>0</v>
      </c>
      <c r="AH101" s="413">
        <f>'ORÇAMENTO GERAL'!$J$54</f>
        <v>3.38</v>
      </c>
      <c r="AI101" s="413">
        <f t="shared" si="78"/>
        <v>0</v>
      </c>
    </row>
    <row r="102" spans="1:35" s="400" customFormat="1" ht="45" customHeight="1" hidden="1">
      <c r="A102" s="406">
        <v>5</v>
      </c>
      <c r="B102" s="407">
        <f t="shared" si="79"/>
        <v>5</v>
      </c>
      <c r="C102" s="414">
        <v>1</v>
      </c>
      <c r="D102" s="412"/>
      <c r="E102" s="410">
        <f t="shared" si="80"/>
        <v>0</v>
      </c>
      <c r="F102" s="410">
        <v>1.5</v>
      </c>
      <c r="G102" s="410">
        <v>1.6</v>
      </c>
      <c r="H102" s="410">
        <v>0.05</v>
      </c>
      <c r="I102" s="410">
        <f t="shared" si="81"/>
        <v>0</v>
      </c>
      <c r="J102" s="410">
        <f t="shared" si="82"/>
        <v>0</v>
      </c>
      <c r="K102" s="410">
        <f t="shared" si="83"/>
        <v>0</v>
      </c>
      <c r="L102" s="410">
        <f t="shared" si="84"/>
        <v>0</v>
      </c>
      <c r="M102" s="411">
        <f t="shared" si="85"/>
        <v>0</v>
      </c>
      <c r="N102" s="411">
        <f t="shared" si="86"/>
        <v>0</v>
      </c>
      <c r="O102" s="411">
        <f t="shared" si="87"/>
        <v>0</v>
      </c>
      <c r="P102" s="411">
        <f t="shared" si="88"/>
        <v>0</v>
      </c>
      <c r="Q102" s="431"/>
      <c r="R102" s="393">
        <f t="shared" si="69"/>
        <v>5</v>
      </c>
      <c r="S102" s="435">
        <f t="shared" si="70"/>
        <v>0</v>
      </c>
      <c r="T102" s="413">
        <f>'ORÇAMENTO GERAL'!$J$47</f>
        <v>433.29</v>
      </c>
      <c r="U102" s="412">
        <f t="shared" si="71"/>
        <v>0</v>
      </c>
      <c r="V102" s="413">
        <f>'ORÇAMENTO GERAL'!$J$48</f>
        <v>7.89</v>
      </c>
      <c r="W102" s="412">
        <f t="shared" si="72"/>
        <v>0</v>
      </c>
      <c r="X102" s="413">
        <f>'ORÇAMENTO GERAL'!$J$49</f>
        <v>6.31</v>
      </c>
      <c r="Y102" s="412">
        <f t="shared" si="73"/>
        <v>0</v>
      </c>
      <c r="Z102" s="413">
        <f>'ORÇAMENTO GERAL'!$J$50</f>
        <v>20.74</v>
      </c>
      <c r="AA102" s="412">
        <f t="shared" si="74"/>
        <v>0</v>
      </c>
      <c r="AB102" s="413">
        <f>'ORÇAMENTO GERAL'!$J$51</f>
        <v>45.16</v>
      </c>
      <c r="AC102" s="412">
        <f t="shared" si="75"/>
        <v>0</v>
      </c>
      <c r="AD102" s="413">
        <f>'ORÇAMENTO GERAL'!$J$52</f>
        <v>5.16</v>
      </c>
      <c r="AE102" s="412">
        <f t="shared" si="76"/>
        <v>0</v>
      </c>
      <c r="AF102" s="413">
        <f>'ORÇAMENTO GERAL'!$J$53</f>
        <v>158.97</v>
      </c>
      <c r="AG102" s="412">
        <f t="shared" si="77"/>
        <v>0</v>
      </c>
      <c r="AH102" s="413">
        <f>'ORÇAMENTO GERAL'!$J$54</f>
        <v>3.38</v>
      </c>
      <c r="AI102" s="413">
        <f t="shared" si="78"/>
        <v>0</v>
      </c>
    </row>
    <row r="103" spans="1:35" s="400" customFormat="1" ht="45" customHeight="1" hidden="1">
      <c r="A103" s="406">
        <v>6</v>
      </c>
      <c r="B103" s="407">
        <f t="shared" si="79"/>
        <v>6</v>
      </c>
      <c r="C103" s="414">
        <v>1</v>
      </c>
      <c r="D103" s="412"/>
      <c r="E103" s="410">
        <f t="shared" si="80"/>
        <v>0</v>
      </c>
      <c r="F103" s="410">
        <v>1.5</v>
      </c>
      <c r="G103" s="410">
        <v>1.6</v>
      </c>
      <c r="H103" s="410">
        <v>0.05</v>
      </c>
      <c r="I103" s="410">
        <f t="shared" si="81"/>
        <v>0</v>
      </c>
      <c r="J103" s="410">
        <f t="shared" si="82"/>
        <v>0</v>
      </c>
      <c r="K103" s="410">
        <f t="shared" si="83"/>
        <v>0</v>
      </c>
      <c r="L103" s="410">
        <f t="shared" si="84"/>
        <v>0</v>
      </c>
      <c r="M103" s="411">
        <f t="shared" si="85"/>
        <v>0</v>
      </c>
      <c r="N103" s="411">
        <f t="shared" si="86"/>
        <v>0</v>
      </c>
      <c r="O103" s="411">
        <f t="shared" si="87"/>
        <v>0</v>
      </c>
      <c r="P103" s="411">
        <f t="shared" si="88"/>
        <v>0</v>
      </c>
      <c r="Q103" s="431"/>
      <c r="R103" s="393">
        <f t="shared" si="69"/>
        <v>6</v>
      </c>
      <c r="S103" s="435">
        <f t="shared" si="70"/>
        <v>0</v>
      </c>
      <c r="T103" s="413">
        <f>'ORÇAMENTO GERAL'!$J$47</f>
        <v>433.29</v>
      </c>
      <c r="U103" s="412">
        <f t="shared" si="71"/>
        <v>0</v>
      </c>
      <c r="V103" s="413">
        <f>'ORÇAMENTO GERAL'!$J$48</f>
        <v>7.89</v>
      </c>
      <c r="W103" s="412">
        <f t="shared" si="72"/>
        <v>0</v>
      </c>
      <c r="X103" s="413">
        <f>'ORÇAMENTO GERAL'!$J$49</f>
        <v>6.31</v>
      </c>
      <c r="Y103" s="412">
        <f t="shared" si="73"/>
        <v>0</v>
      </c>
      <c r="Z103" s="413">
        <f>'ORÇAMENTO GERAL'!$J$50</f>
        <v>20.74</v>
      </c>
      <c r="AA103" s="412">
        <f t="shared" si="74"/>
        <v>0</v>
      </c>
      <c r="AB103" s="413">
        <f>'ORÇAMENTO GERAL'!$J$51</f>
        <v>45.16</v>
      </c>
      <c r="AC103" s="412">
        <f t="shared" si="75"/>
        <v>0</v>
      </c>
      <c r="AD103" s="413">
        <f>'ORÇAMENTO GERAL'!$J$52</f>
        <v>5.16</v>
      </c>
      <c r="AE103" s="412">
        <f t="shared" si="76"/>
        <v>0</v>
      </c>
      <c r="AF103" s="413">
        <f>'ORÇAMENTO GERAL'!$J$53</f>
        <v>158.97</v>
      </c>
      <c r="AG103" s="412">
        <f t="shared" si="77"/>
        <v>0</v>
      </c>
      <c r="AH103" s="413">
        <f>'ORÇAMENTO GERAL'!$J$54</f>
        <v>3.38</v>
      </c>
      <c r="AI103" s="413">
        <f t="shared" si="78"/>
        <v>0</v>
      </c>
    </row>
    <row r="104" spans="1:35" s="400" customFormat="1" ht="45" customHeight="1" hidden="1">
      <c r="A104" s="406">
        <v>7</v>
      </c>
      <c r="B104" s="407">
        <f t="shared" si="79"/>
        <v>7</v>
      </c>
      <c r="C104" s="414">
        <v>1</v>
      </c>
      <c r="D104" s="412"/>
      <c r="E104" s="410">
        <f t="shared" si="80"/>
        <v>0</v>
      </c>
      <c r="F104" s="410">
        <v>1.5</v>
      </c>
      <c r="G104" s="410">
        <v>1.6</v>
      </c>
      <c r="H104" s="410">
        <v>0.05</v>
      </c>
      <c r="I104" s="410">
        <f t="shared" si="81"/>
        <v>0</v>
      </c>
      <c r="J104" s="410">
        <f t="shared" si="82"/>
        <v>0</v>
      </c>
      <c r="K104" s="410">
        <f t="shared" si="83"/>
        <v>0</v>
      </c>
      <c r="L104" s="410">
        <f t="shared" si="84"/>
        <v>0</v>
      </c>
      <c r="M104" s="411">
        <f t="shared" si="85"/>
        <v>0</v>
      </c>
      <c r="N104" s="411">
        <f t="shared" si="86"/>
        <v>0</v>
      </c>
      <c r="O104" s="411">
        <f t="shared" si="87"/>
        <v>0</v>
      </c>
      <c r="P104" s="411">
        <f t="shared" si="88"/>
        <v>0</v>
      </c>
      <c r="Q104" s="431"/>
      <c r="R104" s="393">
        <f aca="true" t="shared" si="89" ref="R104:R113">B104</f>
        <v>7</v>
      </c>
      <c r="S104" s="435">
        <f aca="true" t="shared" si="90" ref="S104:S113">E104</f>
        <v>0</v>
      </c>
      <c r="T104" s="413">
        <f>'ORÇAMENTO GERAL'!$J$47</f>
        <v>433.29</v>
      </c>
      <c r="U104" s="412">
        <f aca="true" t="shared" si="91" ref="U104:U113">I104</f>
        <v>0</v>
      </c>
      <c r="V104" s="413">
        <f>'ORÇAMENTO GERAL'!$J$48</f>
        <v>7.89</v>
      </c>
      <c r="W104" s="412">
        <f aca="true" t="shared" si="92" ref="W104:W113">J104</f>
        <v>0</v>
      </c>
      <c r="X104" s="413">
        <f>'ORÇAMENTO GERAL'!$J$49</f>
        <v>6.31</v>
      </c>
      <c r="Y104" s="412">
        <f aca="true" t="shared" si="93" ref="Y104:Y113">L104</f>
        <v>0</v>
      </c>
      <c r="Z104" s="413">
        <f>'ORÇAMENTO GERAL'!$J$50</f>
        <v>20.74</v>
      </c>
      <c r="AA104" s="412">
        <f aca="true" t="shared" si="94" ref="AA104:AA113">M104</f>
        <v>0</v>
      </c>
      <c r="AB104" s="413">
        <f>'ORÇAMENTO GERAL'!$J$51</f>
        <v>45.16</v>
      </c>
      <c r="AC104" s="412">
        <f aca="true" t="shared" si="95" ref="AC104:AC113">N104</f>
        <v>0</v>
      </c>
      <c r="AD104" s="413">
        <f>'ORÇAMENTO GERAL'!$J$52</f>
        <v>5.16</v>
      </c>
      <c r="AE104" s="412">
        <f aca="true" t="shared" si="96" ref="AE104:AE113">O104</f>
        <v>0</v>
      </c>
      <c r="AF104" s="413">
        <f>'ORÇAMENTO GERAL'!$J$53</f>
        <v>158.97</v>
      </c>
      <c r="AG104" s="412">
        <f aca="true" t="shared" si="97" ref="AG104:AG113">P104</f>
        <v>0</v>
      </c>
      <c r="AH104" s="413">
        <f>'ORÇAMENTO GERAL'!$J$54</f>
        <v>3.38</v>
      </c>
      <c r="AI104" s="413">
        <f aca="true" t="shared" si="98" ref="AI104:AI113">(S104*T104)+(U104*V104)+(W104*X104)+(Y104*Z104)+(AA104*AB104)+(AC104*AD104)+(AE104*AF104)+(AG104*AH104)</f>
        <v>0</v>
      </c>
    </row>
    <row r="105" spans="1:35" s="400" customFormat="1" ht="45" customHeight="1" hidden="1">
      <c r="A105" s="406">
        <v>8</v>
      </c>
      <c r="B105" s="407">
        <f t="shared" si="79"/>
        <v>8</v>
      </c>
      <c r="C105" s="414">
        <v>1</v>
      </c>
      <c r="D105" s="412"/>
      <c r="E105" s="410">
        <f t="shared" si="80"/>
        <v>0</v>
      </c>
      <c r="F105" s="410">
        <v>1.5</v>
      </c>
      <c r="G105" s="410">
        <v>1.6</v>
      </c>
      <c r="H105" s="410">
        <v>0.05</v>
      </c>
      <c r="I105" s="410">
        <f t="shared" si="81"/>
        <v>0</v>
      </c>
      <c r="J105" s="410">
        <f t="shared" si="82"/>
        <v>0</v>
      </c>
      <c r="K105" s="410">
        <f t="shared" si="83"/>
        <v>0</v>
      </c>
      <c r="L105" s="410">
        <f t="shared" si="84"/>
        <v>0</v>
      </c>
      <c r="M105" s="411">
        <f t="shared" si="85"/>
        <v>0</v>
      </c>
      <c r="N105" s="411">
        <f t="shared" si="86"/>
        <v>0</v>
      </c>
      <c r="O105" s="411">
        <f t="shared" si="87"/>
        <v>0</v>
      </c>
      <c r="P105" s="411">
        <f t="shared" si="88"/>
        <v>0</v>
      </c>
      <c r="Q105" s="431"/>
      <c r="R105" s="393">
        <f t="shared" si="89"/>
        <v>8</v>
      </c>
      <c r="S105" s="435">
        <f t="shared" si="90"/>
        <v>0</v>
      </c>
      <c r="T105" s="413">
        <f>'ORÇAMENTO GERAL'!$J$47</f>
        <v>433.29</v>
      </c>
      <c r="U105" s="412">
        <f t="shared" si="91"/>
        <v>0</v>
      </c>
      <c r="V105" s="413">
        <f>'ORÇAMENTO GERAL'!$J$48</f>
        <v>7.89</v>
      </c>
      <c r="W105" s="412">
        <f t="shared" si="92"/>
        <v>0</v>
      </c>
      <c r="X105" s="413">
        <f>'ORÇAMENTO GERAL'!$J$49</f>
        <v>6.31</v>
      </c>
      <c r="Y105" s="412">
        <f t="shared" si="93"/>
        <v>0</v>
      </c>
      <c r="Z105" s="413">
        <f>'ORÇAMENTO GERAL'!$J$50</f>
        <v>20.74</v>
      </c>
      <c r="AA105" s="412">
        <f t="shared" si="94"/>
        <v>0</v>
      </c>
      <c r="AB105" s="413">
        <f>'ORÇAMENTO GERAL'!$J$51</f>
        <v>45.16</v>
      </c>
      <c r="AC105" s="412">
        <f t="shared" si="95"/>
        <v>0</v>
      </c>
      <c r="AD105" s="413">
        <f>'ORÇAMENTO GERAL'!$J$52</f>
        <v>5.16</v>
      </c>
      <c r="AE105" s="412">
        <f t="shared" si="96"/>
        <v>0</v>
      </c>
      <c r="AF105" s="413">
        <f>'ORÇAMENTO GERAL'!$J$53</f>
        <v>158.97</v>
      </c>
      <c r="AG105" s="412">
        <f t="shared" si="97"/>
        <v>0</v>
      </c>
      <c r="AH105" s="413">
        <f>'ORÇAMENTO GERAL'!$J$54</f>
        <v>3.38</v>
      </c>
      <c r="AI105" s="413">
        <f t="shared" si="98"/>
        <v>0</v>
      </c>
    </row>
    <row r="106" spans="1:35" s="400" customFormat="1" ht="45" customHeight="1" hidden="1">
      <c r="A106" s="406">
        <v>9</v>
      </c>
      <c r="B106" s="407">
        <f t="shared" si="79"/>
        <v>9</v>
      </c>
      <c r="C106" s="414">
        <v>1</v>
      </c>
      <c r="D106" s="412"/>
      <c r="E106" s="410">
        <f t="shared" si="80"/>
        <v>0</v>
      </c>
      <c r="F106" s="410">
        <v>1.5</v>
      </c>
      <c r="G106" s="410">
        <v>1.6</v>
      </c>
      <c r="H106" s="410">
        <v>0.05</v>
      </c>
      <c r="I106" s="410">
        <f t="shared" si="81"/>
        <v>0</v>
      </c>
      <c r="J106" s="410">
        <f t="shared" si="82"/>
        <v>0</v>
      </c>
      <c r="K106" s="410">
        <f t="shared" si="83"/>
        <v>0</v>
      </c>
      <c r="L106" s="410">
        <f t="shared" si="84"/>
        <v>0</v>
      </c>
      <c r="M106" s="411">
        <f t="shared" si="85"/>
        <v>0</v>
      </c>
      <c r="N106" s="411">
        <f t="shared" si="86"/>
        <v>0</v>
      </c>
      <c r="O106" s="411">
        <f t="shared" si="87"/>
        <v>0</v>
      </c>
      <c r="P106" s="411">
        <f t="shared" si="88"/>
        <v>0</v>
      </c>
      <c r="Q106" s="431"/>
      <c r="R106" s="393">
        <f t="shared" si="89"/>
        <v>9</v>
      </c>
      <c r="S106" s="435">
        <f t="shared" si="90"/>
        <v>0</v>
      </c>
      <c r="T106" s="413">
        <f>'ORÇAMENTO GERAL'!$J$47</f>
        <v>433.29</v>
      </c>
      <c r="U106" s="412">
        <f t="shared" si="91"/>
        <v>0</v>
      </c>
      <c r="V106" s="413">
        <f>'ORÇAMENTO GERAL'!$J$48</f>
        <v>7.89</v>
      </c>
      <c r="W106" s="412">
        <f t="shared" si="92"/>
        <v>0</v>
      </c>
      <c r="X106" s="413">
        <f>'ORÇAMENTO GERAL'!$J$49</f>
        <v>6.31</v>
      </c>
      <c r="Y106" s="412">
        <f t="shared" si="93"/>
        <v>0</v>
      </c>
      <c r="Z106" s="413">
        <f>'ORÇAMENTO GERAL'!$J$50</f>
        <v>20.74</v>
      </c>
      <c r="AA106" s="412">
        <f t="shared" si="94"/>
        <v>0</v>
      </c>
      <c r="AB106" s="413">
        <f>'ORÇAMENTO GERAL'!$J$51</f>
        <v>45.16</v>
      </c>
      <c r="AC106" s="412">
        <f t="shared" si="95"/>
        <v>0</v>
      </c>
      <c r="AD106" s="413">
        <f>'ORÇAMENTO GERAL'!$J$52</f>
        <v>5.16</v>
      </c>
      <c r="AE106" s="412">
        <f t="shared" si="96"/>
        <v>0</v>
      </c>
      <c r="AF106" s="413">
        <f>'ORÇAMENTO GERAL'!$J$53</f>
        <v>158.97</v>
      </c>
      <c r="AG106" s="412">
        <f t="shared" si="97"/>
        <v>0</v>
      </c>
      <c r="AH106" s="413">
        <f>'ORÇAMENTO GERAL'!$J$54</f>
        <v>3.38</v>
      </c>
      <c r="AI106" s="413">
        <f t="shared" si="98"/>
        <v>0</v>
      </c>
    </row>
    <row r="107" spans="1:35" s="400" customFormat="1" ht="45" customHeight="1" hidden="1">
      <c r="A107" s="406">
        <v>10</v>
      </c>
      <c r="B107" s="407">
        <f t="shared" si="79"/>
        <v>10</v>
      </c>
      <c r="C107" s="414">
        <v>1</v>
      </c>
      <c r="D107" s="412"/>
      <c r="E107" s="410">
        <f t="shared" si="80"/>
        <v>0</v>
      </c>
      <c r="F107" s="410">
        <v>1.5</v>
      </c>
      <c r="G107" s="410">
        <v>1.6</v>
      </c>
      <c r="H107" s="410">
        <v>0.05</v>
      </c>
      <c r="I107" s="410">
        <f t="shared" si="81"/>
        <v>0</v>
      </c>
      <c r="J107" s="410">
        <f t="shared" si="82"/>
        <v>0</v>
      </c>
      <c r="K107" s="410">
        <f t="shared" si="83"/>
        <v>0</v>
      </c>
      <c r="L107" s="410">
        <f t="shared" si="84"/>
        <v>0</v>
      </c>
      <c r="M107" s="411">
        <f t="shared" si="85"/>
        <v>0</v>
      </c>
      <c r="N107" s="411">
        <f t="shared" si="86"/>
        <v>0</v>
      </c>
      <c r="O107" s="411">
        <f t="shared" si="87"/>
        <v>0</v>
      </c>
      <c r="P107" s="411">
        <f t="shared" si="88"/>
        <v>0</v>
      </c>
      <c r="Q107" s="431"/>
      <c r="R107" s="393">
        <f t="shared" si="89"/>
        <v>10</v>
      </c>
      <c r="S107" s="435">
        <f t="shared" si="90"/>
        <v>0</v>
      </c>
      <c r="T107" s="413">
        <f>'ORÇAMENTO GERAL'!$J$47</f>
        <v>433.29</v>
      </c>
      <c r="U107" s="412">
        <f t="shared" si="91"/>
        <v>0</v>
      </c>
      <c r="V107" s="413">
        <f>'ORÇAMENTO GERAL'!$J$48</f>
        <v>7.89</v>
      </c>
      <c r="W107" s="412">
        <f t="shared" si="92"/>
        <v>0</v>
      </c>
      <c r="X107" s="413">
        <f>'ORÇAMENTO GERAL'!$J$49</f>
        <v>6.31</v>
      </c>
      <c r="Y107" s="412">
        <f t="shared" si="93"/>
        <v>0</v>
      </c>
      <c r="Z107" s="413">
        <f>'ORÇAMENTO GERAL'!$J$50</f>
        <v>20.74</v>
      </c>
      <c r="AA107" s="412">
        <f t="shared" si="94"/>
        <v>0</v>
      </c>
      <c r="AB107" s="413">
        <f>'ORÇAMENTO GERAL'!$J$51</f>
        <v>45.16</v>
      </c>
      <c r="AC107" s="412">
        <f t="shared" si="95"/>
        <v>0</v>
      </c>
      <c r="AD107" s="413">
        <f>'ORÇAMENTO GERAL'!$J$52</f>
        <v>5.16</v>
      </c>
      <c r="AE107" s="412">
        <f t="shared" si="96"/>
        <v>0</v>
      </c>
      <c r="AF107" s="413">
        <f>'ORÇAMENTO GERAL'!$J$53</f>
        <v>158.97</v>
      </c>
      <c r="AG107" s="412">
        <f t="shared" si="97"/>
        <v>0</v>
      </c>
      <c r="AH107" s="413">
        <f>'ORÇAMENTO GERAL'!$J$54</f>
        <v>3.38</v>
      </c>
      <c r="AI107" s="413">
        <f t="shared" si="98"/>
        <v>0</v>
      </c>
    </row>
    <row r="108" spans="1:35" s="400" customFormat="1" ht="45" customHeight="1" hidden="1">
      <c r="A108" s="406">
        <v>11</v>
      </c>
      <c r="B108" s="407">
        <f t="shared" si="79"/>
        <v>11</v>
      </c>
      <c r="C108" s="414">
        <v>1</v>
      </c>
      <c r="D108" s="412"/>
      <c r="E108" s="410">
        <f t="shared" si="80"/>
        <v>0</v>
      </c>
      <c r="F108" s="410">
        <v>1.5</v>
      </c>
      <c r="G108" s="410">
        <v>1.6</v>
      </c>
      <c r="H108" s="410">
        <v>0.05</v>
      </c>
      <c r="I108" s="410">
        <f t="shared" si="81"/>
        <v>0</v>
      </c>
      <c r="J108" s="410">
        <f t="shared" si="82"/>
        <v>0</v>
      </c>
      <c r="K108" s="410">
        <f t="shared" si="83"/>
        <v>0</v>
      </c>
      <c r="L108" s="410">
        <f t="shared" si="84"/>
        <v>0</v>
      </c>
      <c r="M108" s="411">
        <f t="shared" si="85"/>
        <v>0</v>
      </c>
      <c r="N108" s="411">
        <f t="shared" si="86"/>
        <v>0</v>
      </c>
      <c r="O108" s="411">
        <f t="shared" si="87"/>
        <v>0</v>
      </c>
      <c r="P108" s="411">
        <f t="shared" si="88"/>
        <v>0</v>
      </c>
      <c r="Q108" s="431"/>
      <c r="R108" s="393">
        <f t="shared" si="89"/>
        <v>11</v>
      </c>
      <c r="S108" s="435">
        <f t="shared" si="90"/>
        <v>0</v>
      </c>
      <c r="T108" s="413">
        <f>'ORÇAMENTO GERAL'!$J$47</f>
        <v>433.29</v>
      </c>
      <c r="U108" s="412">
        <f t="shared" si="91"/>
        <v>0</v>
      </c>
      <c r="V108" s="413">
        <f>'ORÇAMENTO GERAL'!$J$48</f>
        <v>7.89</v>
      </c>
      <c r="W108" s="412">
        <f t="shared" si="92"/>
        <v>0</v>
      </c>
      <c r="X108" s="413">
        <f>'ORÇAMENTO GERAL'!$J$49</f>
        <v>6.31</v>
      </c>
      <c r="Y108" s="412">
        <f t="shared" si="93"/>
        <v>0</v>
      </c>
      <c r="Z108" s="413">
        <f>'ORÇAMENTO GERAL'!$J$50</f>
        <v>20.74</v>
      </c>
      <c r="AA108" s="412">
        <f t="shared" si="94"/>
        <v>0</v>
      </c>
      <c r="AB108" s="413">
        <f>'ORÇAMENTO GERAL'!$J$51</f>
        <v>45.16</v>
      </c>
      <c r="AC108" s="412">
        <f t="shared" si="95"/>
        <v>0</v>
      </c>
      <c r="AD108" s="413">
        <f>'ORÇAMENTO GERAL'!$J$52</f>
        <v>5.16</v>
      </c>
      <c r="AE108" s="412">
        <f t="shared" si="96"/>
        <v>0</v>
      </c>
      <c r="AF108" s="413">
        <f>'ORÇAMENTO GERAL'!$J$53</f>
        <v>158.97</v>
      </c>
      <c r="AG108" s="412">
        <f t="shared" si="97"/>
        <v>0</v>
      </c>
      <c r="AH108" s="413">
        <f>'ORÇAMENTO GERAL'!$J$54</f>
        <v>3.38</v>
      </c>
      <c r="AI108" s="413">
        <f t="shared" si="98"/>
        <v>0</v>
      </c>
    </row>
    <row r="109" spans="1:35" s="400" customFormat="1" ht="45" customHeight="1" hidden="1">
      <c r="A109" s="406">
        <v>12</v>
      </c>
      <c r="B109" s="407">
        <f t="shared" si="79"/>
        <v>12</v>
      </c>
      <c r="C109" s="414">
        <v>1</v>
      </c>
      <c r="D109" s="412"/>
      <c r="E109" s="410">
        <f t="shared" si="80"/>
        <v>0</v>
      </c>
      <c r="F109" s="410">
        <v>1.5</v>
      </c>
      <c r="G109" s="410">
        <v>1.6</v>
      </c>
      <c r="H109" s="410">
        <v>0.05</v>
      </c>
      <c r="I109" s="410">
        <f t="shared" si="81"/>
        <v>0</v>
      </c>
      <c r="J109" s="410">
        <f t="shared" si="82"/>
        <v>0</v>
      </c>
      <c r="K109" s="410">
        <f t="shared" si="83"/>
        <v>0</v>
      </c>
      <c r="L109" s="410">
        <f t="shared" si="84"/>
        <v>0</v>
      </c>
      <c r="M109" s="411">
        <f t="shared" si="85"/>
        <v>0</v>
      </c>
      <c r="N109" s="411">
        <f t="shared" si="86"/>
        <v>0</v>
      </c>
      <c r="O109" s="411">
        <f t="shared" si="87"/>
        <v>0</v>
      </c>
      <c r="P109" s="411">
        <f t="shared" si="88"/>
        <v>0</v>
      </c>
      <c r="Q109" s="431"/>
      <c r="R109" s="393">
        <f t="shared" si="89"/>
        <v>12</v>
      </c>
      <c r="S109" s="435">
        <f t="shared" si="90"/>
        <v>0</v>
      </c>
      <c r="T109" s="413">
        <f>'ORÇAMENTO GERAL'!$J$47</f>
        <v>433.29</v>
      </c>
      <c r="U109" s="412">
        <f t="shared" si="91"/>
        <v>0</v>
      </c>
      <c r="V109" s="413">
        <f>'ORÇAMENTO GERAL'!$J$48</f>
        <v>7.89</v>
      </c>
      <c r="W109" s="412">
        <f t="shared" si="92"/>
        <v>0</v>
      </c>
      <c r="X109" s="413">
        <f>'ORÇAMENTO GERAL'!$J$49</f>
        <v>6.31</v>
      </c>
      <c r="Y109" s="412">
        <f t="shared" si="93"/>
        <v>0</v>
      </c>
      <c r="Z109" s="413">
        <f>'ORÇAMENTO GERAL'!$J$50</f>
        <v>20.74</v>
      </c>
      <c r="AA109" s="412">
        <f t="shared" si="94"/>
        <v>0</v>
      </c>
      <c r="AB109" s="413">
        <f>'ORÇAMENTO GERAL'!$J$51</f>
        <v>45.16</v>
      </c>
      <c r="AC109" s="412">
        <f t="shared" si="95"/>
        <v>0</v>
      </c>
      <c r="AD109" s="413">
        <f>'ORÇAMENTO GERAL'!$J$52</f>
        <v>5.16</v>
      </c>
      <c r="AE109" s="412">
        <f t="shared" si="96"/>
        <v>0</v>
      </c>
      <c r="AF109" s="413">
        <f>'ORÇAMENTO GERAL'!$J$53</f>
        <v>158.97</v>
      </c>
      <c r="AG109" s="412">
        <f t="shared" si="97"/>
        <v>0</v>
      </c>
      <c r="AH109" s="413">
        <f>'ORÇAMENTO GERAL'!$J$54</f>
        <v>3.38</v>
      </c>
      <c r="AI109" s="413">
        <f t="shared" si="98"/>
        <v>0</v>
      </c>
    </row>
    <row r="110" spans="1:35" s="400" customFormat="1" ht="45" customHeight="1" hidden="1">
      <c r="A110" s="406">
        <v>13</v>
      </c>
      <c r="B110" s="407">
        <f t="shared" si="79"/>
        <v>13</v>
      </c>
      <c r="C110" s="414">
        <v>1</v>
      </c>
      <c r="D110" s="412"/>
      <c r="E110" s="410">
        <f t="shared" si="80"/>
        <v>0</v>
      </c>
      <c r="F110" s="410">
        <v>1.5</v>
      </c>
      <c r="G110" s="410">
        <v>1.6</v>
      </c>
      <c r="H110" s="410">
        <v>0.05</v>
      </c>
      <c r="I110" s="410">
        <f t="shared" si="81"/>
        <v>0</v>
      </c>
      <c r="J110" s="410">
        <f t="shared" si="82"/>
        <v>0</v>
      </c>
      <c r="K110" s="410">
        <f t="shared" si="83"/>
        <v>0</v>
      </c>
      <c r="L110" s="410">
        <f t="shared" si="84"/>
        <v>0</v>
      </c>
      <c r="M110" s="411">
        <f t="shared" si="85"/>
        <v>0</v>
      </c>
      <c r="N110" s="411">
        <f t="shared" si="86"/>
        <v>0</v>
      </c>
      <c r="O110" s="411">
        <f t="shared" si="87"/>
        <v>0</v>
      </c>
      <c r="P110" s="411">
        <f t="shared" si="88"/>
        <v>0</v>
      </c>
      <c r="Q110" s="431"/>
      <c r="R110" s="393">
        <f t="shared" si="89"/>
        <v>13</v>
      </c>
      <c r="S110" s="435">
        <f t="shared" si="90"/>
        <v>0</v>
      </c>
      <c r="T110" s="413">
        <f>'ORÇAMENTO GERAL'!$J$47</f>
        <v>433.29</v>
      </c>
      <c r="U110" s="412">
        <f t="shared" si="91"/>
        <v>0</v>
      </c>
      <c r="V110" s="413">
        <f>'ORÇAMENTO GERAL'!$J$48</f>
        <v>7.89</v>
      </c>
      <c r="W110" s="412">
        <f t="shared" si="92"/>
        <v>0</v>
      </c>
      <c r="X110" s="413">
        <f>'ORÇAMENTO GERAL'!$J$49</f>
        <v>6.31</v>
      </c>
      <c r="Y110" s="412">
        <f t="shared" si="93"/>
        <v>0</v>
      </c>
      <c r="Z110" s="413">
        <f>'ORÇAMENTO GERAL'!$J$50</f>
        <v>20.74</v>
      </c>
      <c r="AA110" s="412">
        <f t="shared" si="94"/>
        <v>0</v>
      </c>
      <c r="AB110" s="413">
        <f>'ORÇAMENTO GERAL'!$J$51</f>
        <v>45.16</v>
      </c>
      <c r="AC110" s="412">
        <f t="shared" si="95"/>
        <v>0</v>
      </c>
      <c r="AD110" s="413">
        <f>'ORÇAMENTO GERAL'!$J$52</f>
        <v>5.16</v>
      </c>
      <c r="AE110" s="412">
        <f t="shared" si="96"/>
        <v>0</v>
      </c>
      <c r="AF110" s="413">
        <f>'ORÇAMENTO GERAL'!$J$53</f>
        <v>158.97</v>
      </c>
      <c r="AG110" s="412">
        <f t="shared" si="97"/>
        <v>0</v>
      </c>
      <c r="AH110" s="413">
        <f>'ORÇAMENTO GERAL'!$J$54</f>
        <v>3.38</v>
      </c>
      <c r="AI110" s="413">
        <f t="shared" si="98"/>
        <v>0</v>
      </c>
    </row>
    <row r="111" spans="1:35" s="400" customFormat="1" ht="45" customHeight="1" hidden="1">
      <c r="A111" s="406">
        <v>14</v>
      </c>
      <c r="B111" s="407">
        <f t="shared" si="79"/>
        <v>14</v>
      </c>
      <c r="C111" s="414">
        <v>1</v>
      </c>
      <c r="D111" s="412"/>
      <c r="E111" s="410">
        <f t="shared" si="80"/>
        <v>0</v>
      </c>
      <c r="F111" s="410">
        <v>1.5</v>
      </c>
      <c r="G111" s="410">
        <v>1.6</v>
      </c>
      <c r="H111" s="410">
        <v>0.05</v>
      </c>
      <c r="I111" s="410">
        <f t="shared" si="81"/>
        <v>0</v>
      </c>
      <c r="J111" s="410">
        <f t="shared" si="82"/>
        <v>0</v>
      </c>
      <c r="K111" s="410">
        <f t="shared" si="83"/>
        <v>0</v>
      </c>
      <c r="L111" s="410">
        <f t="shared" si="84"/>
        <v>0</v>
      </c>
      <c r="M111" s="411">
        <f t="shared" si="85"/>
        <v>0</v>
      </c>
      <c r="N111" s="411">
        <f t="shared" si="86"/>
        <v>0</v>
      </c>
      <c r="O111" s="411">
        <f t="shared" si="87"/>
        <v>0</v>
      </c>
      <c r="P111" s="411">
        <f t="shared" si="88"/>
        <v>0</v>
      </c>
      <c r="Q111" s="431"/>
      <c r="R111" s="393">
        <f t="shared" si="89"/>
        <v>14</v>
      </c>
      <c r="S111" s="435">
        <f t="shared" si="90"/>
        <v>0</v>
      </c>
      <c r="T111" s="413">
        <f>'ORÇAMENTO GERAL'!$J$47</f>
        <v>433.29</v>
      </c>
      <c r="U111" s="412">
        <f t="shared" si="91"/>
        <v>0</v>
      </c>
      <c r="V111" s="413">
        <f>'ORÇAMENTO GERAL'!$J$48</f>
        <v>7.89</v>
      </c>
      <c r="W111" s="412">
        <f t="shared" si="92"/>
        <v>0</v>
      </c>
      <c r="X111" s="413">
        <f>'ORÇAMENTO GERAL'!$J$49</f>
        <v>6.31</v>
      </c>
      <c r="Y111" s="412">
        <f t="shared" si="93"/>
        <v>0</v>
      </c>
      <c r="Z111" s="413">
        <f>'ORÇAMENTO GERAL'!$J$50</f>
        <v>20.74</v>
      </c>
      <c r="AA111" s="412">
        <f t="shared" si="94"/>
        <v>0</v>
      </c>
      <c r="AB111" s="413">
        <f>'ORÇAMENTO GERAL'!$J$51</f>
        <v>45.16</v>
      </c>
      <c r="AC111" s="412">
        <f t="shared" si="95"/>
        <v>0</v>
      </c>
      <c r="AD111" s="413">
        <f>'ORÇAMENTO GERAL'!$J$52</f>
        <v>5.16</v>
      </c>
      <c r="AE111" s="412">
        <f t="shared" si="96"/>
        <v>0</v>
      </c>
      <c r="AF111" s="413">
        <f>'ORÇAMENTO GERAL'!$J$53</f>
        <v>158.97</v>
      </c>
      <c r="AG111" s="412">
        <f t="shared" si="97"/>
        <v>0</v>
      </c>
      <c r="AH111" s="413">
        <f>'ORÇAMENTO GERAL'!$J$54</f>
        <v>3.38</v>
      </c>
      <c r="AI111" s="413">
        <f t="shared" si="98"/>
        <v>0</v>
      </c>
    </row>
    <row r="112" spans="1:35" s="400" customFormat="1" ht="45" customHeight="1" hidden="1">
      <c r="A112" s="406">
        <v>15</v>
      </c>
      <c r="B112" s="407">
        <f t="shared" si="79"/>
        <v>15</v>
      </c>
      <c r="C112" s="414">
        <v>1</v>
      </c>
      <c r="D112" s="412"/>
      <c r="E112" s="410">
        <f t="shared" si="80"/>
        <v>0</v>
      </c>
      <c r="F112" s="410">
        <v>1.5</v>
      </c>
      <c r="G112" s="410">
        <v>1.6</v>
      </c>
      <c r="H112" s="410">
        <v>0.05</v>
      </c>
      <c r="I112" s="410">
        <f t="shared" si="81"/>
        <v>0</v>
      </c>
      <c r="J112" s="410">
        <f t="shared" si="82"/>
        <v>0</v>
      </c>
      <c r="K112" s="410">
        <f t="shared" si="83"/>
        <v>0</v>
      </c>
      <c r="L112" s="410">
        <f t="shared" si="84"/>
        <v>0</v>
      </c>
      <c r="M112" s="411">
        <f t="shared" si="85"/>
        <v>0</v>
      </c>
      <c r="N112" s="411">
        <f t="shared" si="86"/>
        <v>0</v>
      </c>
      <c r="O112" s="411">
        <f t="shared" si="87"/>
        <v>0</v>
      </c>
      <c r="P112" s="411">
        <f t="shared" si="88"/>
        <v>0</v>
      </c>
      <c r="Q112" s="431"/>
      <c r="R112" s="393">
        <f t="shared" si="89"/>
        <v>15</v>
      </c>
      <c r="S112" s="435">
        <f t="shared" si="90"/>
        <v>0</v>
      </c>
      <c r="T112" s="413">
        <f>'ORÇAMENTO GERAL'!$J$47</f>
        <v>433.29</v>
      </c>
      <c r="U112" s="412">
        <f t="shared" si="91"/>
        <v>0</v>
      </c>
      <c r="V112" s="413">
        <f>'ORÇAMENTO GERAL'!$J$48</f>
        <v>7.89</v>
      </c>
      <c r="W112" s="412">
        <f t="shared" si="92"/>
        <v>0</v>
      </c>
      <c r="X112" s="413">
        <f>'ORÇAMENTO GERAL'!$J$49</f>
        <v>6.31</v>
      </c>
      <c r="Y112" s="412">
        <f t="shared" si="93"/>
        <v>0</v>
      </c>
      <c r="Z112" s="413">
        <f>'ORÇAMENTO GERAL'!$J$50</f>
        <v>20.74</v>
      </c>
      <c r="AA112" s="412">
        <f t="shared" si="94"/>
        <v>0</v>
      </c>
      <c r="AB112" s="413">
        <f>'ORÇAMENTO GERAL'!$J$51</f>
        <v>45.16</v>
      </c>
      <c r="AC112" s="412">
        <f t="shared" si="95"/>
        <v>0</v>
      </c>
      <c r="AD112" s="413">
        <f>'ORÇAMENTO GERAL'!$J$52</f>
        <v>5.16</v>
      </c>
      <c r="AE112" s="412">
        <f t="shared" si="96"/>
        <v>0</v>
      </c>
      <c r="AF112" s="413">
        <f>'ORÇAMENTO GERAL'!$J$53</f>
        <v>158.97</v>
      </c>
      <c r="AG112" s="412">
        <f t="shared" si="97"/>
        <v>0</v>
      </c>
      <c r="AH112" s="413">
        <f>'ORÇAMENTO GERAL'!$J$54</f>
        <v>3.38</v>
      </c>
      <c r="AI112" s="413">
        <f t="shared" si="98"/>
        <v>0</v>
      </c>
    </row>
    <row r="113" spans="1:35" s="400" customFormat="1" ht="45" customHeight="1" hidden="1">
      <c r="A113" s="406">
        <v>16</v>
      </c>
      <c r="B113" s="407">
        <f t="shared" si="79"/>
        <v>16</v>
      </c>
      <c r="C113" s="414">
        <v>1</v>
      </c>
      <c r="D113" s="412"/>
      <c r="E113" s="410">
        <f t="shared" si="80"/>
        <v>0</v>
      </c>
      <c r="F113" s="410">
        <v>1.5</v>
      </c>
      <c r="G113" s="410">
        <v>1.6</v>
      </c>
      <c r="H113" s="410">
        <v>0.05</v>
      </c>
      <c r="I113" s="410">
        <f t="shared" si="81"/>
        <v>0</v>
      </c>
      <c r="J113" s="410">
        <f t="shared" si="82"/>
        <v>0</v>
      </c>
      <c r="K113" s="410">
        <f t="shared" si="83"/>
        <v>0</v>
      </c>
      <c r="L113" s="410">
        <f t="shared" si="84"/>
        <v>0</v>
      </c>
      <c r="M113" s="411">
        <f t="shared" si="85"/>
        <v>0</v>
      </c>
      <c r="N113" s="411">
        <f t="shared" si="86"/>
        <v>0</v>
      </c>
      <c r="O113" s="411">
        <f t="shared" si="87"/>
        <v>0</v>
      </c>
      <c r="P113" s="411">
        <f t="shared" si="88"/>
        <v>0</v>
      </c>
      <c r="Q113" s="431"/>
      <c r="R113" s="393">
        <f t="shared" si="89"/>
        <v>16</v>
      </c>
      <c r="S113" s="435">
        <f t="shared" si="90"/>
        <v>0</v>
      </c>
      <c r="T113" s="413">
        <f>'ORÇAMENTO GERAL'!$J$47</f>
        <v>433.29</v>
      </c>
      <c r="U113" s="412">
        <f t="shared" si="91"/>
        <v>0</v>
      </c>
      <c r="V113" s="413">
        <f>'ORÇAMENTO GERAL'!$J$48</f>
        <v>7.89</v>
      </c>
      <c r="W113" s="412">
        <f t="shared" si="92"/>
        <v>0</v>
      </c>
      <c r="X113" s="413">
        <f>'ORÇAMENTO GERAL'!$J$49</f>
        <v>6.31</v>
      </c>
      <c r="Y113" s="412">
        <f t="shared" si="93"/>
        <v>0</v>
      </c>
      <c r="Z113" s="413">
        <f>'ORÇAMENTO GERAL'!$J$50</f>
        <v>20.74</v>
      </c>
      <c r="AA113" s="412">
        <f t="shared" si="94"/>
        <v>0</v>
      </c>
      <c r="AB113" s="413">
        <f>'ORÇAMENTO GERAL'!$J$51</f>
        <v>45.16</v>
      </c>
      <c r="AC113" s="412">
        <f t="shared" si="95"/>
        <v>0</v>
      </c>
      <c r="AD113" s="413">
        <f>'ORÇAMENTO GERAL'!$J$52</f>
        <v>5.16</v>
      </c>
      <c r="AE113" s="412">
        <f t="shared" si="96"/>
        <v>0</v>
      </c>
      <c r="AF113" s="413">
        <f>'ORÇAMENTO GERAL'!$J$53</f>
        <v>158.97</v>
      </c>
      <c r="AG113" s="412">
        <f t="shared" si="97"/>
        <v>0</v>
      </c>
      <c r="AH113" s="413">
        <f>'ORÇAMENTO GERAL'!$J$54</f>
        <v>3.38</v>
      </c>
      <c r="AI113" s="413">
        <f t="shared" si="98"/>
        <v>0</v>
      </c>
    </row>
    <row r="114" spans="1:35" s="400" customFormat="1" ht="45" customHeight="1" hidden="1">
      <c r="A114" s="406">
        <v>17</v>
      </c>
      <c r="B114" s="407">
        <f t="shared" si="79"/>
        <v>17</v>
      </c>
      <c r="C114" s="414">
        <v>1</v>
      </c>
      <c r="D114" s="412"/>
      <c r="E114" s="410">
        <f t="shared" si="80"/>
        <v>0</v>
      </c>
      <c r="F114" s="410">
        <v>1.5</v>
      </c>
      <c r="G114" s="410">
        <v>1.6</v>
      </c>
      <c r="H114" s="410">
        <v>0.05</v>
      </c>
      <c r="I114" s="410">
        <f t="shared" si="81"/>
        <v>0</v>
      </c>
      <c r="J114" s="410">
        <f t="shared" si="82"/>
        <v>0</v>
      </c>
      <c r="K114" s="410">
        <f t="shared" si="83"/>
        <v>0</v>
      </c>
      <c r="L114" s="410">
        <f t="shared" si="84"/>
        <v>0</v>
      </c>
      <c r="M114" s="411">
        <f t="shared" si="85"/>
        <v>0</v>
      </c>
      <c r="N114" s="411">
        <f t="shared" si="86"/>
        <v>0</v>
      </c>
      <c r="O114" s="411">
        <f t="shared" si="87"/>
        <v>0</v>
      </c>
      <c r="P114" s="411">
        <f t="shared" si="88"/>
        <v>0</v>
      </c>
      <c r="Q114" s="431"/>
      <c r="R114" s="393">
        <f>B114</f>
        <v>17</v>
      </c>
      <c r="S114" s="435">
        <f>E114</f>
        <v>0</v>
      </c>
      <c r="T114" s="413">
        <f>'ORÇAMENTO GERAL'!$J$47</f>
        <v>433.29</v>
      </c>
      <c r="U114" s="412">
        <f>I114</f>
        <v>0</v>
      </c>
      <c r="V114" s="413">
        <f>'ORÇAMENTO GERAL'!$J$48</f>
        <v>7.89</v>
      </c>
      <c r="W114" s="412">
        <f>J114</f>
        <v>0</v>
      </c>
      <c r="X114" s="413">
        <f>'ORÇAMENTO GERAL'!$J$49</f>
        <v>6.31</v>
      </c>
      <c r="Y114" s="412">
        <f>L114</f>
        <v>0</v>
      </c>
      <c r="Z114" s="413">
        <f>'ORÇAMENTO GERAL'!$J$50</f>
        <v>20.74</v>
      </c>
      <c r="AA114" s="412">
        <f>M114</f>
        <v>0</v>
      </c>
      <c r="AB114" s="413">
        <f>'ORÇAMENTO GERAL'!$J$51</f>
        <v>45.16</v>
      </c>
      <c r="AC114" s="412">
        <f>N114</f>
        <v>0</v>
      </c>
      <c r="AD114" s="413">
        <f>'ORÇAMENTO GERAL'!$J$52</f>
        <v>5.16</v>
      </c>
      <c r="AE114" s="412">
        <f>O114</f>
        <v>0</v>
      </c>
      <c r="AF114" s="413">
        <f>'ORÇAMENTO GERAL'!$J$53</f>
        <v>158.97</v>
      </c>
      <c r="AG114" s="412">
        <f>P114</f>
        <v>0</v>
      </c>
      <c r="AH114" s="413">
        <f>'ORÇAMENTO GERAL'!$J$54</f>
        <v>3.38</v>
      </c>
      <c r="AI114" s="413">
        <f>(S114*T114)+(U114*V114)+(W114*X114)+(Y114*Z114)+(AA114*AB114)+(AC114*AD114)+(AE114*AF114)+(AG114*AH114)</f>
        <v>0</v>
      </c>
    </row>
    <row r="115" spans="1:35" s="400" customFormat="1" ht="45" customHeight="1" hidden="1">
      <c r="A115" s="406">
        <v>18</v>
      </c>
      <c r="B115" s="407">
        <f t="shared" si="79"/>
        <v>18</v>
      </c>
      <c r="C115" s="414">
        <v>1</v>
      </c>
      <c r="D115" s="412"/>
      <c r="E115" s="410">
        <f t="shared" si="80"/>
        <v>0</v>
      </c>
      <c r="F115" s="410">
        <v>1.5</v>
      </c>
      <c r="G115" s="410">
        <v>1.6</v>
      </c>
      <c r="H115" s="410">
        <v>0.05</v>
      </c>
      <c r="I115" s="410">
        <f t="shared" si="81"/>
        <v>0</v>
      </c>
      <c r="J115" s="410">
        <f t="shared" si="82"/>
        <v>0</v>
      </c>
      <c r="K115" s="410">
        <f t="shared" si="83"/>
        <v>0</v>
      </c>
      <c r="L115" s="410">
        <f t="shared" si="84"/>
        <v>0</v>
      </c>
      <c r="M115" s="411">
        <f t="shared" si="85"/>
        <v>0</v>
      </c>
      <c r="N115" s="411">
        <f t="shared" si="86"/>
        <v>0</v>
      </c>
      <c r="O115" s="411">
        <f t="shared" si="87"/>
        <v>0</v>
      </c>
      <c r="P115" s="411">
        <f t="shared" si="88"/>
        <v>0</v>
      </c>
      <c r="Q115" s="431"/>
      <c r="R115" s="393">
        <f>B115</f>
        <v>18</v>
      </c>
      <c r="S115" s="435">
        <f>E115</f>
        <v>0</v>
      </c>
      <c r="T115" s="413">
        <f>'ORÇAMENTO GERAL'!$J$47</f>
        <v>433.29</v>
      </c>
      <c r="U115" s="412">
        <f>I115</f>
        <v>0</v>
      </c>
      <c r="V115" s="413">
        <f>'ORÇAMENTO GERAL'!$J$48</f>
        <v>7.89</v>
      </c>
      <c r="W115" s="412">
        <f>J115</f>
        <v>0</v>
      </c>
      <c r="X115" s="413">
        <f>'ORÇAMENTO GERAL'!$J$49</f>
        <v>6.31</v>
      </c>
      <c r="Y115" s="412">
        <f>L115</f>
        <v>0</v>
      </c>
      <c r="Z115" s="413">
        <f>'ORÇAMENTO GERAL'!$J$50</f>
        <v>20.74</v>
      </c>
      <c r="AA115" s="412">
        <f>M115</f>
        <v>0</v>
      </c>
      <c r="AB115" s="413">
        <f>'ORÇAMENTO GERAL'!$J$51</f>
        <v>45.16</v>
      </c>
      <c r="AC115" s="412">
        <f>N115</f>
        <v>0</v>
      </c>
      <c r="AD115" s="413">
        <f>'ORÇAMENTO GERAL'!$J$52</f>
        <v>5.16</v>
      </c>
      <c r="AE115" s="412">
        <f>O115</f>
        <v>0</v>
      </c>
      <c r="AF115" s="413">
        <f>'ORÇAMENTO GERAL'!$J$53</f>
        <v>158.97</v>
      </c>
      <c r="AG115" s="412">
        <f>P115</f>
        <v>0</v>
      </c>
      <c r="AH115" s="413">
        <f>'ORÇAMENTO GERAL'!$J$54</f>
        <v>3.38</v>
      </c>
      <c r="AI115" s="413">
        <f>(S115*T115)+(U115*V115)+(W115*X115)+(Y115*Z115)+(AA115*AB115)+(AC115*AD115)+(AE115*AF115)+(AG115*AH115)</f>
        <v>0</v>
      </c>
    </row>
    <row r="116" spans="1:35" s="400" customFormat="1" ht="45" customHeight="1" hidden="1">
      <c r="A116" s="406">
        <v>19</v>
      </c>
      <c r="B116" s="407">
        <f t="shared" si="79"/>
        <v>19</v>
      </c>
      <c r="C116" s="414">
        <v>1</v>
      </c>
      <c r="D116" s="412"/>
      <c r="E116" s="410">
        <f t="shared" si="80"/>
        <v>0</v>
      </c>
      <c r="F116" s="410">
        <v>1.5</v>
      </c>
      <c r="G116" s="410">
        <v>1.6</v>
      </c>
      <c r="H116" s="410">
        <v>0.05</v>
      </c>
      <c r="I116" s="410">
        <f t="shared" si="81"/>
        <v>0</v>
      </c>
      <c r="J116" s="410">
        <f t="shared" si="82"/>
        <v>0</v>
      </c>
      <c r="K116" s="410">
        <f t="shared" si="83"/>
        <v>0</v>
      </c>
      <c r="L116" s="410">
        <f t="shared" si="84"/>
        <v>0</v>
      </c>
      <c r="M116" s="411">
        <f t="shared" si="85"/>
        <v>0</v>
      </c>
      <c r="N116" s="411">
        <f t="shared" si="86"/>
        <v>0</v>
      </c>
      <c r="O116" s="411">
        <f t="shared" si="87"/>
        <v>0</v>
      </c>
      <c r="P116" s="411">
        <f t="shared" si="88"/>
        <v>0</v>
      </c>
      <c r="Q116" s="431"/>
      <c r="R116" s="393">
        <f>B116</f>
        <v>19</v>
      </c>
      <c r="S116" s="435">
        <f>E116</f>
        <v>0</v>
      </c>
      <c r="T116" s="413">
        <f>'ORÇAMENTO GERAL'!$J$47</f>
        <v>433.29</v>
      </c>
      <c r="U116" s="412">
        <f>I116</f>
        <v>0</v>
      </c>
      <c r="V116" s="413">
        <f>'ORÇAMENTO GERAL'!$J$48</f>
        <v>7.89</v>
      </c>
      <c r="W116" s="412">
        <f>J116</f>
        <v>0</v>
      </c>
      <c r="X116" s="413">
        <f>'ORÇAMENTO GERAL'!$J$49</f>
        <v>6.31</v>
      </c>
      <c r="Y116" s="412">
        <f>L116</f>
        <v>0</v>
      </c>
      <c r="Z116" s="413">
        <f>'ORÇAMENTO GERAL'!$J$50</f>
        <v>20.74</v>
      </c>
      <c r="AA116" s="412">
        <f>M116</f>
        <v>0</v>
      </c>
      <c r="AB116" s="413">
        <f>'ORÇAMENTO GERAL'!$J$51</f>
        <v>45.16</v>
      </c>
      <c r="AC116" s="412">
        <f>N116</f>
        <v>0</v>
      </c>
      <c r="AD116" s="413">
        <f>'ORÇAMENTO GERAL'!$J$52</f>
        <v>5.16</v>
      </c>
      <c r="AE116" s="412">
        <f>O116</f>
        <v>0</v>
      </c>
      <c r="AF116" s="413">
        <f>'ORÇAMENTO GERAL'!$J$53</f>
        <v>158.97</v>
      </c>
      <c r="AG116" s="412">
        <f>P116</f>
        <v>0</v>
      </c>
      <c r="AH116" s="413">
        <f>'ORÇAMENTO GERAL'!$J$54</f>
        <v>3.38</v>
      </c>
      <c r="AI116" s="413">
        <f>(S116*T116)+(U116*V116)+(W116*X116)+(Y116*Z116)+(AA116*AB116)+(AC116*AD116)+(AE116*AF116)+(AG116*AH116)</f>
        <v>0</v>
      </c>
    </row>
    <row r="117" spans="1:35" s="400" customFormat="1" ht="45" customHeight="1" hidden="1" thickBot="1">
      <c r="A117" s="406">
        <v>20</v>
      </c>
      <c r="B117" s="407">
        <f t="shared" si="79"/>
        <v>20</v>
      </c>
      <c r="C117" s="414">
        <v>1</v>
      </c>
      <c r="D117" s="412"/>
      <c r="E117" s="410">
        <f t="shared" si="80"/>
        <v>0</v>
      </c>
      <c r="F117" s="410">
        <v>1.5</v>
      </c>
      <c r="G117" s="410">
        <v>1.6</v>
      </c>
      <c r="H117" s="410">
        <v>0.05</v>
      </c>
      <c r="I117" s="410">
        <f t="shared" si="81"/>
        <v>0</v>
      </c>
      <c r="J117" s="410">
        <f t="shared" si="82"/>
        <v>0</v>
      </c>
      <c r="K117" s="410">
        <f t="shared" si="83"/>
        <v>0</v>
      </c>
      <c r="L117" s="410">
        <f t="shared" si="84"/>
        <v>0</v>
      </c>
      <c r="M117" s="411">
        <f t="shared" si="85"/>
        <v>0</v>
      </c>
      <c r="N117" s="411">
        <f t="shared" si="86"/>
        <v>0</v>
      </c>
      <c r="O117" s="411">
        <f t="shared" si="87"/>
        <v>0</v>
      </c>
      <c r="P117" s="411">
        <f t="shared" si="88"/>
        <v>0</v>
      </c>
      <c r="Q117" s="431"/>
      <c r="R117" s="393">
        <f>B117</f>
        <v>20</v>
      </c>
      <c r="S117" s="435">
        <f>E117</f>
        <v>0</v>
      </c>
      <c r="T117" s="413">
        <f>'ORÇAMENTO GERAL'!$J$47</f>
        <v>433.29</v>
      </c>
      <c r="U117" s="412">
        <f>I117</f>
        <v>0</v>
      </c>
      <c r="V117" s="413">
        <f>'ORÇAMENTO GERAL'!$J$48</f>
        <v>7.89</v>
      </c>
      <c r="W117" s="412">
        <f>J117</f>
        <v>0</v>
      </c>
      <c r="X117" s="413">
        <f>'ORÇAMENTO GERAL'!$J$49</f>
        <v>6.31</v>
      </c>
      <c r="Y117" s="412">
        <f>L117</f>
        <v>0</v>
      </c>
      <c r="Z117" s="413">
        <f>'ORÇAMENTO GERAL'!$J$50</f>
        <v>20.74</v>
      </c>
      <c r="AA117" s="412">
        <f>M117</f>
        <v>0</v>
      </c>
      <c r="AB117" s="413">
        <f>'ORÇAMENTO GERAL'!$J$51</f>
        <v>45.16</v>
      </c>
      <c r="AC117" s="412">
        <f>N117</f>
        <v>0</v>
      </c>
      <c r="AD117" s="413">
        <f>'ORÇAMENTO GERAL'!$J$52</f>
        <v>5.16</v>
      </c>
      <c r="AE117" s="412">
        <f>O117</f>
        <v>0</v>
      </c>
      <c r="AF117" s="413">
        <f>'ORÇAMENTO GERAL'!$J$53</f>
        <v>158.97</v>
      </c>
      <c r="AG117" s="412">
        <f>P117</f>
        <v>0</v>
      </c>
      <c r="AH117" s="413">
        <f>'ORÇAMENTO GERAL'!$J$54</f>
        <v>3.38</v>
      </c>
      <c r="AI117" s="413">
        <f>(S117*T117)+(U117*V117)+(W117*X117)+(Y117*Z117)+(AA117*AB117)+(AC117*AD117)+(AE117*AF117)+(AG117*AH117)</f>
        <v>0</v>
      </c>
    </row>
    <row r="118" spans="1:17" s="400" customFormat="1" ht="45" customHeight="1" hidden="1" thickBot="1">
      <c r="A118" s="806" t="s">
        <v>29</v>
      </c>
      <c r="B118" s="807"/>
      <c r="C118" s="415"/>
      <c r="D118" s="415"/>
      <c r="E118" s="415">
        <f>SUM(E98:E117)</f>
        <v>0</v>
      </c>
      <c r="F118" s="415"/>
      <c r="G118" s="415"/>
      <c r="H118" s="415"/>
      <c r="I118" s="415">
        <f>SUM(I98:I117)</f>
        <v>0</v>
      </c>
      <c r="J118" s="415">
        <f>SUM(J98:J117)</f>
        <v>0</v>
      </c>
      <c r="K118" s="415"/>
      <c r="L118" s="415">
        <f>SUM(L98:L117)</f>
        <v>0</v>
      </c>
      <c r="M118" s="415">
        <f>SUM(M98:M117)</f>
        <v>0</v>
      </c>
      <c r="N118" s="415">
        <f>SUM(N98:N117)</f>
        <v>0</v>
      </c>
      <c r="O118" s="415">
        <f>SUM(O98:O117)</f>
        <v>0</v>
      </c>
      <c r="P118" s="415">
        <f>SUM(P98:P117)</f>
        <v>0</v>
      </c>
      <c r="Q118" s="430"/>
    </row>
    <row r="119" spans="3:8" s="400" customFormat="1" ht="45" customHeight="1" thickBot="1">
      <c r="C119" s="420"/>
      <c r="D119" s="420"/>
      <c r="E119" s="420"/>
      <c r="F119" s="420"/>
      <c r="G119" s="420"/>
      <c r="H119" s="420"/>
    </row>
    <row r="120" spans="1:35" s="400" customFormat="1" ht="45" customHeight="1" thickBot="1">
      <c r="A120" s="805" t="s">
        <v>480</v>
      </c>
      <c r="B120" s="805"/>
      <c r="C120" s="805"/>
      <c r="D120" s="805"/>
      <c r="E120" s="805"/>
      <c r="F120" s="420"/>
      <c r="G120" s="420"/>
      <c r="H120" s="420"/>
      <c r="AF120" s="796" t="s">
        <v>479</v>
      </c>
      <c r="AG120" s="797"/>
      <c r="AH120" s="797"/>
      <c r="AI120" s="798"/>
    </row>
    <row r="121" spans="1:35" ht="49.5" customHeight="1">
      <c r="A121" s="393" t="s">
        <v>7</v>
      </c>
      <c r="B121" s="393" t="s">
        <v>260</v>
      </c>
      <c r="C121" s="794" t="s">
        <v>263</v>
      </c>
      <c r="D121" s="794"/>
      <c r="E121" s="794"/>
      <c r="AF121" s="439" t="s">
        <v>260</v>
      </c>
      <c r="AG121" s="439" t="s">
        <v>488</v>
      </c>
      <c r="AH121" s="439" t="s">
        <v>487</v>
      </c>
      <c r="AI121" s="439" t="s">
        <v>478</v>
      </c>
    </row>
    <row r="122" spans="1:35" ht="49.5" customHeight="1">
      <c r="A122" s="393">
        <v>1</v>
      </c>
      <c r="B122" s="394" t="str">
        <f>B14</f>
        <v>RUA UNIÃO</v>
      </c>
      <c r="C122" s="794">
        <v>10</v>
      </c>
      <c r="D122" s="794"/>
      <c r="E122" s="794"/>
      <c r="AF122" s="440" t="str">
        <f aca="true" t="shared" si="99" ref="AF122:AF141">B122</f>
        <v>RUA UNIÃO</v>
      </c>
      <c r="AG122" s="440">
        <f aca="true" t="shared" si="100" ref="AG122:AG141">C122</f>
        <v>10</v>
      </c>
      <c r="AH122" s="441">
        <f>'ORÇAMENTO GERAL'!$J$56</f>
        <v>1643.61</v>
      </c>
      <c r="AI122" s="441">
        <f aca="true" t="shared" si="101" ref="AI122:AI131">AG122*AH122</f>
        <v>16436.1</v>
      </c>
    </row>
    <row r="123" spans="1:35" ht="49.5" customHeight="1">
      <c r="A123" s="393">
        <v>2</v>
      </c>
      <c r="B123" s="394" t="str">
        <f aca="true" t="shared" si="102" ref="B123:B141">B15</f>
        <v>RUA JARDIM DOS ESPORTES</v>
      </c>
      <c r="C123" s="794">
        <v>10</v>
      </c>
      <c r="D123" s="794"/>
      <c r="E123" s="794"/>
      <c r="AF123" s="440" t="str">
        <f t="shared" si="99"/>
        <v>RUA JARDIM DOS ESPORTES</v>
      </c>
      <c r="AG123" s="440">
        <f t="shared" si="100"/>
        <v>10</v>
      </c>
      <c r="AH123" s="441">
        <f>'ORÇAMENTO GERAL'!$J$56</f>
        <v>1643.61</v>
      </c>
      <c r="AI123" s="441">
        <f t="shared" si="101"/>
        <v>16436.1</v>
      </c>
    </row>
    <row r="124" spans="1:35" ht="49.5" customHeight="1" hidden="1">
      <c r="A124" s="393">
        <v>3</v>
      </c>
      <c r="B124" s="394" t="e">
        <f t="shared" si="102"/>
        <v>#REF!</v>
      </c>
      <c r="C124" s="794">
        <v>0</v>
      </c>
      <c r="D124" s="794"/>
      <c r="E124" s="794"/>
      <c r="AF124" s="440" t="e">
        <f t="shared" si="99"/>
        <v>#REF!</v>
      </c>
      <c r="AG124" s="440">
        <f t="shared" si="100"/>
        <v>0</v>
      </c>
      <c r="AH124" s="441">
        <f>'ORÇAMENTO GERAL'!$J$56</f>
        <v>1643.61</v>
      </c>
      <c r="AI124" s="441">
        <f t="shared" si="101"/>
        <v>0</v>
      </c>
    </row>
    <row r="125" spans="1:35" ht="49.5" customHeight="1">
      <c r="A125" s="393">
        <v>3</v>
      </c>
      <c r="B125" s="394" t="str">
        <f t="shared" si="102"/>
        <v>BACIA LEITEIRA</v>
      </c>
      <c r="C125" s="794">
        <v>0</v>
      </c>
      <c r="D125" s="794"/>
      <c r="E125" s="794"/>
      <c r="AF125" s="440" t="str">
        <f t="shared" si="99"/>
        <v>BACIA LEITEIRA</v>
      </c>
      <c r="AG125" s="440">
        <f t="shared" si="100"/>
        <v>0</v>
      </c>
      <c r="AH125" s="441">
        <f>'ORÇAMENTO GERAL'!$J$56</f>
        <v>1643.61</v>
      </c>
      <c r="AI125" s="441">
        <f t="shared" si="101"/>
        <v>0</v>
      </c>
    </row>
    <row r="126" spans="1:35" ht="49.5" customHeight="1" hidden="1">
      <c r="A126" s="393">
        <v>5</v>
      </c>
      <c r="B126" s="394">
        <f t="shared" si="102"/>
        <v>5</v>
      </c>
      <c r="C126" s="794"/>
      <c r="D126" s="794"/>
      <c r="E126" s="794"/>
      <c r="AF126" s="440">
        <f t="shared" si="99"/>
        <v>5</v>
      </c>
      <c r="AG126" s="440">
        <f t="shared" si="100"/>
        <v>0</v>
      </c>
      <c r="AH126" s="441">
        <f>'ORÇAMENTO GERAL'!$J$56</f>
        <v>1643.61</v>
      </c>
      <c r="AI126" s="441">
        <f t="shared" si="101"/>
        <v>0</v>
      </c>
    </row>
    <row r="127" spans="1:35" ht="49.5" customHeight="1" hidden="1">
      <c r="A127" s="393">
        <v>6</v>
      </c>
      <c r="B127" s="394">
        <f t="shared" si="102"/>
        <v>6</v>
      </c>
      <c r="C127" s="794"/>
      <c r="D127" s="794"/>
      <c r="E127" s="794"/>
      <c r="AF127" s="440">
        <f t="shared" si="99"/>
        <v>6</v>
      </c>
      <c r="AG127" s="440">
        <f t="shared" si="100"/>
        <v>0</v>
      </c>
      <c r="AH127" s="441">
        <f>'ORÇAMENTO GERAL'!$J$56</f>
        <v>1643.61</v>
      </c>
      <c r="AI127" s="441">
        <f t="shared" si="101"/>
        <v>0</v>
      </c>
    </row>
    <row r="128" spans="1:35" ht="49.5" customHeight="1" hidden="1">
      <c r="A128" s="393">
        <v>7</v>
      </c>
      <c r="B128" s="394">
        <f t="shared" si="102"/>
        <v>7</v>
      </c>
      <c r="C128" s="794"/>
      <c r="D128" s="794"/>
      <c r="E128" s="794"/>
      <c r="AF128" s="440">
        <f t="shared" si="99"/>
        <v>7</v>
      </c>
      <c r="AG128" s="440">
        <f t="shared" si="100"/>
        <v>0</v>
      </c>
      <c r="AH128" s="441">
        <f>'ORÇAMENTO GERAL'!$J$56</f>
        <v>1643.61</v>
      </c>
      <c r="AI128" s="441">
        <f t="shared" si="101"/>
        <v>0</v>
      </c>
    </row>
    <row r="129" spans="1:35" ht="49.5" customHeight="1" hidden="1">
      <c r="A129" s="393">
        <v>8</v>
      </c>
      <c r="B129" s="394">
        <f t="shared" si="102"/>
        <v>8</v>
      </c>
      <c r="C129" s="794"/>
      <c r="D129" s="794"/>
      <c r="E129" s="794"/>
      <c r="AF129" s="440">
        <f t="shared" si="99"/>
        <v>8</v>
      </c>
      <c r="AG129" s="440">
        <f t="shared" si="100"/>
        <v>0</v>
      </c>
      <c r="AH129" s="441">
        <f>'ORÇAMENTO GERAL'!$J$56</f>
        <v>1643.61</v>
      </c>
      <c r="AI129" s="441">
        <f t="shared" si="101"/>
        <v>0</v>
      </c>
    </row>
    <row r="130" spans="1:35" ht="49.5" customHeight="1" hidden="1">
      <c r="A130" s="393">
        <v>9</v>
      </c>
      <c r="B130" s="394">
        <f t="shared" si="102"/>
        <v>9</v>
      </c>
      <c r="C130" s="794"/>
      <c r="D130" s="794"/>
      <c r="E130" s="794"/>
      <c r="AF130" s="440">
        <f t="shared" si="99"/>
        <v>9</v>
      </c>
      <c r="AG130" s="440">
        <f t="shared" si="100"/>
        <v>0</v>
      </c>
      <c r="AH130" s="441">
        <f>'ORÇAMENTO GERAL'!$J$56</f>
        <v>1643.61</v>
      </c>
      <c r="AI130" s="441">
        <f t="shared" si="101"/>
        <v>0</v>
      </c>
    </row>
    <row r="131" spans="1:35" ht="49.5" customHeight="1" hidden="1">
      <c r="A131" s="393">
        <v>10</v>
      </c>
      <c r="B131" s="394">
        <f t="shared" si="102"/>
        <v>10</v>
      </c>
      <c r="C131" s="794"/>
      <c r="D131" s="794"/>
      <c r="E131" s="794"/>
      <c r="AF131" s="440">
        <f t="shared" si="99"/>
        <v>10</v>
      </c>
      <c r="AG131" s="440">
        <f t="shared" si="100"/>
        <v>0</v>
      </c>
      <c r="AH131" s="441">
        <f>'ORÇAMENTO GERAL'!$J$56</f>
        <v>1643.61</v>
      </c>
      <c r="AI131" s="441">
        <f t="shared" si="101"/>
        <v>0</v>
      </c>
    </row>
    <row r="132" spans="1:35" ht="49.5" customHeight="1" hidden="1">
      <c r="A132" s="393">
        <v>11</v>
      </c>
      <c r="B132" s="394">
        <f t="shared" si="102"/>
        <v>11</v>
      </c>
      <c r="C132" s="794"/>
      <c r="D132" s="794"/>
      <c r="E132" s="794"/>
      <c r="AF132" s="440">
        <f t="shared" si="99"/>
        <v>11</v>
      </c>
      <c r="AG132" s="440">
        <f t="shared" si="100"/>
        <v>0</v>
      </c>
      <c r="AH132" s="441">
        <f>'ORÇAMENTO GERAL'!$J$56</f>
        <v>1643.61</v>
      </c>
      <c r="AI132" s="441">
        <f aca="true" t="shared" si="103" ref="AI132:AI139">AG132*AH132</f>
        <v>0</v>
      </c>
    </row>
    <row r="133" spans="1:35" ht="49.5" customHeight="1" hidden="1">
      <c r="A133" s="393">
        <v>12</v>
      </c>
      <c r="B133" s="394">
        <f t="shared" si="102"/>
        <v>12</v>
      </c>
      <c r="C133" s="794"/>
      <c r="D133" s="794"/>
      <c r="E133" s="794"/>
      <c r="AF133" s="440">
        <f t="shared" si="99"/>
        <v>12</v>
      </c>
      <c r="AG133" s="440">
        <f t="shared" si="100"/>
        <v>0</v>
      </c>
      <c r="AH133" s="441">
        <f>'ORÇAMENTO GERAL'!$J$56</f>
        <v>1643.61</v>
      </c>
      <c r="AI133" s="441">
        <f t="shared" si="103"/>
        <v>0</v>
      </c>
    </row>
    <row r="134" spans="1:35" ht="49.5" customHeight="1" hidden="1">
      <c r="A134" s="393">
        <v>13</v>
      </c>
      <c r="B134" s="394">
        <f t="shared" si="102"/>
        <v>13</v>
      </c>
      <c r="C134" s="794"/>
      <c r="D134" s="794"/>
      <c r="E134" s="794"/>
      <c r="AF134" s="440">
        <f t="shared" si="99"/>
        <v>13</v>
      </c>
      <c r="AG134" s="440">
        <f t="shared" si="100"/>
        <v>0</v>
      </c>
      <c r="AH134" s="441">
        <f>'ORÇAMENTO GERAL'!$J$56</f>
        <v>1643.61</v>
      </c>
      <c r="AI134" s="441">
        <f t="shared" si="103"/>
        <v>0</v>
      </c>
    </row>
    <row r="135" spans="1:35" ht="49.5" customHeight="1" hidden="1">
      <c r="A135" s="393">
        <v>14</v>
      </c>
      <c r="B135" s="394">
        <f t="shared" si="102"/>
        <v>14</v>
      </c>
      <c r="C135" s="794"/>
      <c r="D135" s="794"/>
      <c r="E135" s="794"/>
      <c r="AF135" s="440">
        <f t="shared" si="99"/>
        <v>14</v>
      </c>
      <c r="AG135" s="440">
        <f t="shared" si="100"/>
        <v>0</v>
      </c>
      <c r="AH135" s="441">
        <f>'ORÇAMENTO GERAL'!$J$56</f>
        <v>1643.61</v>
      </c>
      <c r="AI135" s="441">
        <f t="shared" si="103"/>
        <v>0</v>
      </c>
    </row>
    <row r="136" spans="1:35" ht="49.5" customHeight="1" hidden="1">
      <c r="A136" s="393">
        <v>15</v>
      </c>
      <c r="B136" s="394">
        <f t="shared" si="102"/>
        <v>15</v>
      </c>
      <c r="C136" s="794"/>
      <c r="D136" s="794"/>
      <c r="E136" s="794"/>
      <c r="AF136" s="440">
        <f t="shared" si="99"/>
        <v>15</v>
      </c>
      <c r="AG136" s="440">
        <f t="shared" si="100"/>
        <v>0</v>
      </c>
      <c r="AH136" s="441">
        <f>'ORÇAMENTO GERAL'!$J$56</f>
        <v>1643.61</v>
      </c>
      <c r="AI136" s="441">
        <f t="shared" si="103"/>
        <v>0</v>
      </c>
    </row>
    <row r="137" spans="1:35" ht="49.5" customHeight="1" hidden="1">
      <c r="A137" s="393">
        <v>16</v>
      </c>
      <c r="B137" s="394">
        <f t="shared" si="102"/>
        <v>16</v>
      </c>
      <c r="C137" s="794"/>
      <c r="D137" s="794"/>
      <c r="E137" s="794"/>
      <c r="AF137" s="440">
        <f t="shared" si="99"/>
        <v>16</v>
      </c>
      <c r="AG137" s="440">
        <f t="shared" si="100"/>
        <v>0</v>
      </c>
      <c r="AH137" s="441">
        <f>'ORÇAMENTO GERAL'!$J$56</f>
        <v>1643.61</v>
      </c>
      <c r="AI137" s="441">
        <f t="shared" si="103"/>
        <v>0</v>
      </c>
    </row>
    <row r="138" spans="1:35" ht="49.5" customHeight="1" hidden="1">
      <c r="A138" s="393">
        <v>17</v>
      </c>
      <c r="B138" s="394">
        <f t="shared" si="102"/>
        <v>17</v>
      </c>
      <c r="C138" s="794"/>
      <c r="D138" s="794"/>
      <c r="E138" s="794"/>
      <c r="AF138" s="440">
        <f t="shared" si="99"/>
        <v>17</v>
      </c>
      <c r="AG138" s="440">
        <f t="shared" si="100"/>
        <v>0</v>
      </c>
      <c r="AH138" s="441">
        <f>'ORÇAMENTO GERAL'!$J$56</f>
        <v>1643.61</v>
      </c>
      <c r="AI138" s="441">
        <f t="shared" si="103"/>
        <v>0</v>
      </c>
    </row>
    <row r="139" spans="1:35" ht="49.5" customHeight="1" hidden="1">
      <c r="A139" s="393">
        <v>18</v>
      </c>
      <c r="B139" s="394">
        <f t="shared" si="102"/>
        <v>18</v>
      </c>
      <c r="C139" s="794"/>
      <c r="D139" s="794"/>
      <c r="E139" s="794"/>
      <c r="AF139" s="440">
        <f t="shared" si="99"/>
        <v>18</v>
      </c>
      <c r="AG139" s="440">
        <f t="shared" si="100"/>
        <v>0</v>
      </c>
      <c r="AH139" s="441">
        <f>'ORÇAMENTO GERAL'!$J$56</f>
        <v>1643.61</v>
      </c>
      <c r="AI139" s="441">
        <f t="shared" si="103"/>
        <v>0</v>
      </c>
    </row>
    <row r="140" spans="1:35" ht="49.5" customHeight="1" hidden="1">
      <c r="A140" s="393">
        <v>19</v>
      </c>
      <c r="B140" s="394">
        <f t="shared" si="102"/>
        <v>19</v>
      </c>
      <c r="C140" s="794"/>
      <c r="D140" s="794"/>
      <c r="E140" s="794"/>
      <c r="AF140" s="440">
        <f t="shared" si="99"/>
        <v>19</v>
      </c>
      <c r="AG140" s="440">
        <f t="shared" si="100"/>
        <v>0</v>
      </c>
      <c r="AH140" s="441">
        <f>'ORÇAMENTO GERAL'!$J$56</f>
        <v>1643.61</v>
      </c>
      <c r="AI140" s="441">
        <f>AG140*AH140</f>
        <v>0</v>
      </c>
    </row>
    <row r="141" spans="1:35" ht="49.5" customHeight="1" hidden="1">
      <c r="A141" s="393">
        <v>20</v>
      </c>
      <c r="B141" s="394">
        <f t="shared" si="102"/>
        <v>20</v>
      </c>
      <c r="C141" s="794"/>
      <c r="D141" s="794"/>
      <c r="E141" s="794"/>
      <c r="AF141" s="440">
        <f t="shared" si="99"/>
        <v>20</v>
      </c>
      <c r="AG141" s="440">
        <f t="shared" si="100"/>
        <v>0</v>
      </c>
      <c r="AH141" s="441">
        <f>'ORÇAMENTO GERAL'!$J$56</f>
        <v>1643.61</v>
      </c>
      <c r="AI141" s="441">
        <f>AG141*AH141</f>
        <v>0</v>
      </c>
    </row>
    <row r="142" spans="1:5" ht="49.5" customHeight="1">
      <c r="A142" s="803" t="s">
        <v>29</v>
      </c>
      <c r="B142" s="803"/>
      <c r="C142" s="804">
        <f>SUM(C122:E141)</f>
        <v>20</v>
      </c>
      <c r="D142" s="804"/>
      <c r="E142" s="804"/>
    </row>
    <row r="143" spans="1:4" ht="49.5" customHeight="1" thickBot="1">
      <c r="A143" s="422"/>
      <c r="B143" s="422"/>
      <c r="C143" s="422"/>
      <c r="D143" s="422"/>
    </row>
    <row r="144" spans="1:35" s="400" customFormat="1" ht="45" customHeight="1" thickBot="1">
      <c r="A144" s="805" t="s">
        <v>481</v>
      </c>
      <c r="B144" s="805"/>
      <c r="C144" s="805"/>
      <c r="D144" s="805"/>
      <c r="E144" s="805"/>
      <c r="F144" s="420"/>
      <c r="G144" s="420"/>
      <c r="H144" s="420"/>
      <c r="AF144" s="796" t="s">
        <v>481</v>
      </c>
      <c r="AG144" s="797"/>
      <c r="AH144" s="797"/>
      <c r="AI144" s="798"/>
    </row>
    <row r="145" spans="1:35" ht="49.5" customHeight="1">
      <c r="A145" s="393" t="s">
        <v>7</v>
      </c>
      <c r="B145" s="393" t="s">
        <v>260</v>
      </c>
      <c r="C145" s="794" t="s">
        <v>263</v>
      </c>
      <c r="D145" s="794"/>
      <c r="E145" s="794"/>
      <c r="AF145" s="439" t="s">
        <v>260</v>
      </c>
      <c r="AG145" s="439" t="s">
        <v>488</v>
      </c>
      <c r="AH145" s="439" t="s">
        <v>487</v>
      </c>
      <c r="AI145" s="439" t="s">
        <v>478</v>
      </c>
    </row>
    <row r="146" spans="1:35" ht="49.5" customHeight="1">
      <c r="A146" s="393">
        <v>1</v>
      </c>
      <c r="B146" s="394" t="str">
        <f>B14</f>
        <v>RUA UNIÃO</v>
      </c>
      <c r="C146" s="794">
        <v>5</v>
      </c>
      <c r="D146" s="794"/>
      <c r="E146" s="794"/>
      <c r="AF146" s="440" t="str">
        <f aca="true" t="shared" si="104" ref="AF146:AF165">B146</f>
        <v>RUA UNIÃO</v>
      </c>
      <c r="AG146" s="440">
        <f aca="true" t="shared" si="105" ref="AG146:AG165">C146</f>
        <v>5</v>
      </c>
      <c r="AH146" s="441">
        <f>'ORÇAMENTO GERAL'!$J$58</f>
        <v>6414.83</v>
      </c>
      <c r="AI146" s="441">
        <f aca="true" t="shared" si="106" ref="AI146:AI165">AG146*AH146</f>
        <v>32074.15</v>
      </c>
    </row>
    <row r="147" spans="1:35" ht="49.5" customHeight="1">
      <c r="A147" s="393">
        <v>2</v>
      </c>
      <c r="B147" s="394" t="str">
        <f aca="true" t="shared" si="107" ref="B147:B165">B15</f>
        <v>RUA JARDIM DOS ESPORTES</v>
      </c>
      <c r="C147" s="794">
        <v>5</v>
      </c>
      <c r="D147" s="794"/>
      <c r="E147" s="794"/>
      <c r="AF147" s="440" t="str">
        <f t="shared" si="104"/>
        <v>RUA JARDIM DOS ESPORTES</v>
      </c>
      <c r="AG147" s="440">
        <f t="shared" si="105"/>
        <v>5</v>
      </c>
      <c r="AH147" s="441">
        <f>'ORÇAMENTO GERAL'!$J$58</f>
        <v>6414.83</v>
      </c>
      <c r="AI147" s="441">
        <f t="shared" si="106"/>
        <v>32074.15</v>
      </c>
    </row>
    <row r="148" spans="1:35" ht="49.5" customHeight="1" hidden="1">
      <c r="A148" s="393">
        <v>3</v>
      </c>
      <c r="B148" s="394" t="e">
        <f t="shared" si="107"/>
        <v>#REF!</v>
      </c>
      <c r="C148" s="794">
        <v>0</v>
      </c>
      <c r="D148" s="794"/>
      <c r="E148" s="794"/>
      <c r="AF148" s="440" t="e">
        <f t="shared" si="104"/>
        <v>#REF!</v>
      </c>
      <c r="AG148" s="440">
        <f t="shared" si="105"/>
        <v>0</v>
      </c>
      <c r="AH148" s="441">
        <f>'ORÇAMENTO GERAL'!$J$58</f>
        <v>6414.83</v>
      </c>
      <c r="AI148" s="441">
        <f t="shared" si="106"/>
        <v>0</v>
      </c>
    </row>
    <row r="149" spans="1:35" ht="49.5" customHeight="1">
      <c r="A149" s="393">
        <v>3</v>
      </c>
      <c r="B149" s="394" t="str">
        <f t="shared" si="107"/>
        <v>BACIA LEITEIRA</v>
      </c>
      <c r="C149" s="794">
        <v>4</v>
      </c>
      <c r="D149" s="794"/>
      <c r="E149" s="794"/>
      <c r="AF149" s="440" t="str">
        <f t="shared" si="104"/>
        <v>BACIA LEITEIRA</v>
      </c>
      <c r="AG149" s="440">
        <f t="shared" si="105"/>
        <v>4</v>
      </c>
      <c r="AH149" s="441">
        <f>'ORÇAMENTO GERAL'!$J$58</f>
        <v>6414.83</v>
      </c>
      <c r="AI149" s="441">
        <f t="shared" si="106"/>
        <v>25659.32</v>
      </c>
    </row>
    <row r="150" spans="1:35" ht="49.5" customHeight="1" hidden="1">
      <c r="A150" s="393">
        <v>5</v>
      </c>
      <c r="B150" s="394">
        <f t="shared" si="107"/>
        <v>5</v>
      </c>
      <c r="C150" s="794"/>
      <c r="D150" s="794"/>
      <c r="E150" s="794"/>
      <c r="AF150" s="440">
        <f t="shared" si="104"/>
        <v>5</v>
      </c>
      <c r="AG150" s="440">
        <f t="shared" si="105"/>
        <v>0</v>
      </c>
      <c r="AH150" s="441">
        <f>'ORÇAMENTO GERAL'!$J$58</f>
        <v>6414.83</v>
      </c>
      <c r="AI150" s="441">
        <f t="shared" si="106"/>
        <v>0</v>
      </c>
    </row>
    <row r="151" spans="1:35" ht="49.5" customHeight="1" hidden="1">
      <c r="A151" s="393">
        <v>6</v>
      </c>
      <c r="B151" s="394">
        <f t="shared" si="107"/>
        <v>6</v>
      </c>
      <c r="C151" s="794"/>
      <c r="D151" s="794"/>
      <c r="E151" s="794"/>
      <c r="AF151" s="440">
        <f t="shared" si="104"/>
        <v>6</v>
      </c>
      <c r="AG151" s="440">
        <f t="shared" si="105"/>
        <v>0</v>
      </c>
      <c r="AH151" s="441">
        <f>'ORÇAMENTO GERAL'!$J$58</f>
        <v>6414.83</v>
      </c>
      <c r="AI151" s="441">
        <f t="shared" si="106"/>
        <v>0</v>
      </c>
    </row>
    <row r="152" spans="1:35" ht="49.5" customHeight="1" hidden="1">
      <c r="A152" s="393">
        <v>7</v>
      </c>
      <c r="B152" s="394">
        <f t="shared" si="107"/>
        <v>7</v>
      </c>
      <c r="C152" s="794"/>
      <c r="D152" s="794"/>
      <c r="E152" s="794"/>
      <c r="AF152" s="440">
        <f t="shared" si="104"/>
        <v>7</v>
      </c>
      <c r="AG152" s="440">
        <f t="shared" si="105"/>
        <v>0</v>
      </c>
      <c r="AH152" s="441">
        <f>'ORÇAMENTO GERAL'!$J$58</f>
        <v>6414.83</v>
      </c>
      <c r="AI152" s="441">
        <f t="shared" si="106"/>
        <v>0</v>
      </c>
    </row>
    <row r="153" spans="1:35" ht="49.5" customHeight="1" hidden="1">
      <c r="A153" s="393">
        <v>8</v>
      </c>
      <c r="B153" s="394">
        <f t="shared" si="107"/>
        <v>8</v>
      </c>
      <c r="C153" s="794"/>
      <c r="D153" s="794"/>
      <c r="E153" s="794"/>
      <c r="AF153" s="440">
        <f t="shared" si="104"/>
        <v>8</v>
      </c>
      <c r="AG153" s="440">
        <f t="shared" si="105"/>
        <v>0</v>
      </c>
      <c r="AH153" s="441">
        <f>'ORÇAMENTO GERAL'!$J$58</f>
        <v>6414.83</v>
      </c>
      <c r="AI153" s="441">
        <f t="shared" si="106"/>
        <v>0</v>
      </c>
    </row>
    <row r="154" spans="1:35" ht="49.5" customHeight="1" hidden="1">
      <c r="A154" s="393">
        <v>9</v>
      </c>
      <c r="B154" s="394">
        <f t="shared" si="107"/>
        <v>9</v>
      </c>
      <c r="C154" s="794"/>
      <c r="D154" s="794"/>
      <c r="E154" s="794"/>
      <c r="AF154" s="440">
        <f t="shared" si="104"/>
        <v>9</v>
      </c>
      <c r="AG154" s="440">
        <f t="shared" si="105"/>
        <v>0</v>
      </c>
      <c r="AH154" s="441">
        <f>'ORÇAMENTO GERAL'!$J$58</f>
        <v>6414.83</v>
      </c>
      <c r="AI154" s="441">
        <f t="shared" si="106"/>
        <v>0</v>
      </c>
    </row>
    <row r="155" spans="1:35" ht="49.5" customHeight="1" hidden="1">
      <c r="A155" s="393">
        <v>10</v>
      </c>
      <c r="B155" s="394">
        <f t="shared" si="107"/>
        <v>10</v>
      </c>
      <c r="C155" s="794"/>
      <c r="D155" s="794"/>
      <c r="E155" s="794"/>
      <c r="AF155" s="440">
        <f t="shared" si="104"/>
        <v>10</v>
      </c>
      <c r="AG155" s="440">
        <f t="shared" si="105"/>
        <v>0</v>
      </c>
      <c r="AH155" s="441">
        <f>'ORÇAMENTO GERAL'!$J$58</f>
        <v>6414.83</v>
      </c>
      <c r="AI155" s="441">
        <f t="shared" si="106"/>
        <v>0</v>
      </c>
    </row>
    <row r="156" spans="1:35" ht="49.5" customHeight="1" hidden="1">
      <c r="A156" s="393">
        <v>11</v>
      </c>
      <c r="B156" s="394">
        <f t="shared" si="107"/>
        <v>11</v>
      </c>
      <c r="C156" s="794"/>
      <c r="D156" s="794"/>
      <c r="E156" s="794"/>
      <c r="AF156" s="440">
        <f t="shared" si="104"/>
        <v>11</v>
      </c>
      <c r="AG156" s="440">
        <f t="shared" si="105"/>
        <v>0</v>
      </c>
      <c r="AH156" s="441">
        <f>'ORÇAMENTO GERAL'!$J$58</f>
        <v>6414.83</v>
      </c>
      <c r="AI156" s="441">
        <f t="shared" si="106"/>
        <v>0</v>
      </c>
    </row>
    <row r="157" spans="1:35" ht="49.5" customHeight="1" hidden="1">
      <c r="A157" s="393">
        <v>12</v>
      </c>
      <c r="B157" s="394">
        <f t="shared" si="107"/>
        <v>12</v>
      </c>
      <c r="C157" s="794"/>
      <c r="D157" s="794"/>
      <c r="E157" s="794"/>
      <c r="AF157" s="440">
        <f t="shared" si="104"/>
        <v>12</v>
      </c>
      <c r="AG157" s="440">
        <f t="shared" si="105"/>
        <v>0</v>
      </c>
      <c r="AH157" s="441">
        <f>'ORÇAMENTO GERAL'!$J$58</f>
        <v>6414.83</v>
      </c>
      <c r="AI157" s="441">
        <f t="shared" si="106"/>
        <v>0</v>
      </c>
    </row>
    <row r="158" spans="1:35" ht="49.5" customHeight="1" hidden="1">
      <c r="A158" s="393">
        <v>13</v>
      </c>
      <c r="B158" s="394">
        <f t="shared" si="107"/>
        <v>13</v>
      </c>
      <c r="C158" s="794"/>
      <c r="D158" s="794"/>
      <c r="E158" s="794"/>
      <c r="AF158" s="440">
        <f t="shared" si="104"/>
        <v>13</v>
      </c>
      <c r="AG158" s="440">
        <f t="shared" si="105"/>
        <v>0</v>
      </c>
      <c r="AH158" s="441">
        <f>'ORÇAMENTO GERAL'!$J$58</f>
        <v>6414.83</v>
      </c>
      <c r="AI158" s="441">
        <f t="shared" si="106"/>
        <v>0</v>
      </c>
    </row>
    <row r="159" spans="1:35" ht="49.5" customHeight="1" hidden="1">
      <c r="A159" s="393">
        <v>14</v>
      </c>
      <c r="B159" s="394">
        <f t="shared" si="107"/>
        <v>14</v>
      </c>
      <c r="C159" s="794"/>
      <c r="D159" s="794"/>
      <c r="E159" s="794"/>
      <c r="AF159" s="440">
        <f t="shared" si="104"/>
        <v>14</v>
      </c>
      <c r="AG159" s="440">
        <f t="shared" si="105"/>
        <v>0</v>
      </c>
      <c r="AH159" s="441">
        <f>'ORÇAMENTO GERAL'!$J$58</f>
        <v>6414.83</v>
      </c>
      <c r="AI159" s="441">
        <f t="shared" si="106"/>
        <v>0</v>
      </c>
    </row>
    <row r="160" spans="1:35" ht="49.5" customHeight="1" hidden="1">
      <c r="A160" s="393">
        <v>15</v>
      </c>
      <c r="B160" s="394">
        <f t="shared" si="107"/>
        <v>15</v>
      </c>
      <c r="C160" s="794"/>
      <c r="D160" s="794"/>
      <c r="E160" s="794"/>
      <c r="AF160" s="440">
        <f t="shared" si="104"/>
        <v>15</v>
      </c>
      <c r="AG160" s="440">
        <f t="shared" si="105"/>
        <v>0</v>
      </c>
      <c r="AH160" s="441">
        <f>'ORÇAMENTO GERAL'!$J$58</f>
        <v>6414.83</v>
      </c>
      <c r="AI160" s="441">
        <f t="shared" si="106"/>
        <v>0</v>
      </c>
    </row>
    <row r="161" spans="1:35" ht="49.5" customHeight="1" hidden="1">
      <c r="A161" s="393">
        <v>16</v>
      </c>
      <c r="B161" s="394">
        <f t="shared" si="107"/>
        <v>16</v>
      </c>
      <c r="C161" s="794"/>
      <c r="D161" s="794"/>
      <c r="E161" s="794"/>
      <c r="AF161" s="440">
        <f t="shared" si="104"/>
        <v>16</v>
      </c>
      <c r="AG161" s="440">
        <f t="shared" si="105"/>
        <v>0</v>
      </c>
      <c r="AH161" s="441">
        <f>'ORÇAMENTO GERAL'!$J$58</f>
        <v>6414.83</v>
      </c>
      <c r="AI161" s="441">
        <f t="shared" si="106"/>
        <v>0</v>
      </c>
    </row>
    <row r="162" spans="1:35" ht="49.5" customHeight="1" hidden="1">
      <c r="A162" s="393">
        <v>17</v>
      </c>
      <c r="B162" s="394">
        <f t="shared" si="107"/>
        <v>17</v>
      </c>
      <c r="C162" s="794"/>
      <c r="D162" s="794"/>
      <c r="E162" s="794"/>
      <c r="AF162" s="440">
        <f t="shared" si="104"/>
        <v>17</v>
      </c>
      <c r="AG162" s="440">
        <f t="shared" si="105"/>
        <v>0</v>
      </c>
      <c r="AH162" s="441">
        <f>'ORÇAMENTO GERAL'!$J$58</f>
        <v>6414.83</v>
      </c>
      <c r="AI162" s="441">
        <f t="shared" si="106"/>
        <v>0</v>
      </c>
    </row>
    <row r="163" spans="1:35" ht="49.5" customHeight="1" hidden="1">
      <c r="A163" s="393">
        <v>18</v>
      </c>
      <c r="B163" s="394">
        <f t="shared" si="107"/>
        <v>18</v>
      </c>
      <c r="C163" s="794"/>
      <c r="D163" s="794"/>
      <c r="E163" s="794"/>
      <c r="AF163" s="440">
        <f t="shared" si="104"/>
        <v>18</v>
      </c>
      <c r="AG163" s="440">
        <f t="shared" si="105"/>
        <v>0</v>
      </c>
      <c r="AH163" s="441">
        <f>'ORÇAMENTO GERAL'!$J$58</f>
        <v>6414.83</v>
      </c>
      <c r="AI163" s="441">
        <f t="shared" si="106"/>
        <v>0</v>
      </c>
    </row>
    <row r="164" spans="1:35" ht="49.5" customHeight="1" hidden="1">
      <c r="A164" s="393">
        <v>19</v>
      </c>
      <c r="B164" s="394">
        <f t="shared" si="107"/>
        <v>19</v>
      </c>
      <c r="C164" s="794"/>
      <c r="D164" s="794"/>
      <c r="E164" s="794"/>
      <c r="AF164" s="440">
        <f t="shared" si="104"/>
        <v>19</v>
      </c>
      <c r="AG164" s="440">
        <f t="shared" si="105"/>
        <v>0</v>
      </c>
      <c r="AH164" s="441">
        <f>'ORÇAMENTO GERAL'!$J$58</f>
        <v>6414.83</v>
      </c>
      <c r="AI164" s="441">
        <f t="shared" si="106"/>
        <v>0</v>
      </c>
    </row>
    <row r="165" spans="1:35" ht="49.5" customHeight="1" hidden="1">
      <c r="A165" s="393">
        <v>20</v>
      </c>
      <c r="B165" s="394">
        <f t="shared" si="107"/>
        <v>20</v>
      </c>
      <c r="C165" s="794"/>
      <c r="D165" s="794"/>
      <c r="E165" s="794"/>
      <c r="AF165" s="440">
        <f t="shared" si="104"/>
        <v>20</v>
      </c>
      <c r="AG165" s="440">
        <f t="shared" si="105"/>
        <v>0</v>
      </c>
      <c r="AH165" s="441">
        <f>'ORÇAMENTO GERAL'!$J$58</f>
        <v>6414.83</v>
      </c>
      <c r="AI165" s="441">
        <f t="shared" si="106"/>
        <v>0</v>
      </c>
    </row>
    <row r="166" spans="1:21" ht="49.5" customHeight="1">
      <c r="A166" s="803" t="s">
        <v>29</v>
      </c>
      <c r="B166" s="803"/>
      <c r="C166" s="804">
        <f>SUM(C146:E165)</f>
        <v>14</v>
      </c>
      <c r="D166" s="804"/>
      <c r="E166" s="804"/>
      <c r="R166" s="442"/>
      <c r="S166" s="442"/>
      <c r="T166" s="443"/>
      <c r="U166" s="443"/>
    </row>
    <row r="167" ht="49.5" customHeight="1"/>
    <row r="168" ht="49.5" customHeight="1"/>
    <row r="169" ht="49.5" customHeight="1"/>
    <row r="170" ht="49.5" customHeight="1"/>
    <row r="171" ht="49.5" customHeight="1"/>
    <row r="172" ht="49.5" customHeight="1"/>
    <row r="173" ht="49.5" customHeight="1"/>
    <row r="174" ht="49.5" customHeight="1"/>
    <row r="175" ht="49.5" customHeight="1"/>
    <row r="176" ht="49.5" customHeight="1"/>
  </sheetData>
  <sheetProtection/>
  <mergeCells count="179">
    <mergeCell ref="A36:P36"/>
    <mergeCell ref="N9:N11"/>
    <mergeCell ref="O9:O11"/>
    <mergeCell ref="P9:P11"/>
    <mergeCell ref="M9:M11"/>
    <mergeCell ref="A2:P2"/>
    <mergeCell ref="A3:P3"/>
    <mergeCell ref="A4:P4"/>
    <mergeCell ref="A6:P6"/>
    <mergeCell ref="A8:P8"/>
    <mergeCell ref="O37:O39"/>
    <mergeCell ref="P37:P39"/>
    <mergeCell ref="A37:A41"/>
    <mergeCell ref="B37:B41"/>
    <mergeCell ref="N93:N95"/>
    <mergeCell ref="O93:O95"/>
    <mergeCell ref="P93:P95"/>
    <mergeCell ref="C37:E38"/>
    <mergeCell ref="M37:M39"/>
    <mergeCell ref="N37:N39"/>
    <mergeCell ref="F37:I38"/>
    <mergeCell ref="J37:J39"/>
    <mergeCell ref="K37:L38"/>
    <mergeCell ref="F93:I94"/>
    <mergeCell ref="J65:J67"/>
    <mergeCell ref="K65:L66"/>
    <mergeCell ref="M65:M67"/>
    <mergeCell ref="N65:N67"/>
    <mergeCell ref="O65:O67"/>
    <mergeCell ref="J93:J95"/>
    <mergeCell ref="K93:L94"/>
    <mergeCell ref="M93:M95"/>
    <mergeCell ref="A92:P92"/>
    <mergeCell ref="A93:A97"/>
    <mergeCell ref="B93:B97"/>
    <mergeCell ref="C93:E94"/>
    <mergeCell ref="Z37:Z39"/>
    <mergeCell ref="Z65:Z67"/>
    <mergeCell ref="P65:P67"/>
    <mergeCell ref="B9:B13"/>
    <mergeCell ref="C9:E10"/>
    <mergeCell ref="F9:I10"/>
    <mergeCell ref="J9:J11"/>
    <mergeCell ref="K9:L10"/>
    <mergeCell ref="B65:B69"/>
    <mergeCell ref="A64:P64"/>
    <mergeCell ref="AG9:AG11"/>
    <mergeCell ref="W9:W11"/>
    <mergeCell ref="X9:X11"/>
    <mergeCell ref="Y9:Y11"/>
    <mergeCell ref="Z9:Z11"/>
    <mergeCell ref="AA9:AA11"/>
    <mergeCell ref="A7:P7"/>
    <mergeCell ref="AB9:AB11"/>
    <mergeCell ref="AC9:AC11"/>
    <mergeCell ref="AD9:AD11"/>
    <mergeCell ref="AE9:AE11"/>
    <mergeCell ref="AF9:AF11"/>
    <mergeCell ref="S9:S11"/>
    <mergeCell ref="T9:T11"/>
    <mergeCell ref="U9:U11"/>
    <mergeCell ref="A9:A13"/>
    <mergeCell ref="A118:B118"/>
    <mergeCell ref="X37:X39"/>
    <mergeCell ref="Y37:Y39"/>
    <mergeCell ref="X65:X67"/>
    <mergeCell ref="Y65:Y67"/>
    <mergeCell ref="X93:X95"/>
    <mergeCell ref="Y93:Y95"/>
    <mergeCell ref="C65:E66"/>
    <mergeCell ref="F65:I66"/>
    <mergeCell ref="A65:A69"/>
    <mergeCell ref="R8:AI8"/>
    <mergeCell ref="U37:U39"/>
    <mergeCell ref="V37:V39"/>
    <mergeCell ref="W37:W39"/>
    <mergeCell ref="A62:B62"/>
    <mergeCell ref="A90:B90"/>
    <mergeCell ref="AH9:AH11"/>
    <mergeCell ref="AI9:AI11"/>
    <mergeCell ref="A34:B34"/>
    <mergeCell ref="V9:V11"/>
    <mergeCell ref="A120:E120"/>
    <mergeCell ref="C122:E122"/>
    <mergeCell ref="C123:E123"/>
    <mergeCell ref="C129:E129"/>
    <mergeCell ref="C124:E124"/>
    <mergeCell ref="C125:E125"/>
    <mergeCell ref="C157:E157"/>
    <mergeCell ref="C155:E155"/>
    <mergeCell ref="A142:B142"/>
    <mergeCell ref="C142:E142"/>
    <mergeCell ref="C141:E141"/>
    <mergeCell ref="C121:E121"/>
    <mergeCell ref="C126:E126"/>
    <mergeCell ref="C127:E127"/>
    <mergeCell ref="C128:E128"/>
    <mergeCell ref="C140:E140"/>
    <mergeCell ref="C162:E162"/>
    <mergeCell ref="C163:E163"/>
    <mergeCell ref="C164:E164"/>
    <mergeCell ref="C158:E158"/>
    <mergeCell ref="C159:E159"/>
    <mergeCell ref="C160:E160"/>
    <mergeCell ref="C161:E161"/>
    <mergeCell ref="C165:E165"/>
    <mergeCell ref="A166:B166"/>
    <mergeCell ref="C166:E166"/>
    <mergeCell ref="R9:R11"/>
    <mergeCell ref="R36:AI36"/>
    <mergeCell ref="R37:R39"/>
    <mergeCell ref="S37:S39"/>
    <mergeCell ref="T37:T39"/>
    <mergeCell ref="A144:E144"/>
    <mergeCell ref="C145:E145"/>
    <mergeCell ref="AA37:AA39"/>
    <mergeCell ref="AB37:AB39"/>
    <mergeCell ref="AC37:AC39"/>
    <mergeCell ref="AD37:AD39"/>
    <mergeCell ref="AE37:AE39"/>
    <mergeCell ref="AF37:AF39"/>
    <mergeCell ref="AG37:AG39"/>
    <mergeCell ref="AH37:AH39"/>
    <mergeCell ref="AI37:AI39"/>
    <mergeCell ref="R64:AI64"/>
    <mergeCell ref="R65:R67"/>
    <mergeCell ref="S65:S67"/>
    <mergeCell ref="T65:T67"/>
    <mergeCell ref="U65:U67"/>
    <mergeCell ref="V65:V67"/>
    <mergeCell ref="W65:W67"/>
    <mergeCell ref="AA65:AA67"/>
    <mergeCell ref="AB65:AB67"/>
    <mergeCell ref="AC65:AC67"/>
    <mergeCell ref="AD65:AD67"/>
    <mergeCell ref="AE65:AE67"/>
    <mergeCell ref="AF65:AF67"/>
    <mergeCell ref="AG65:AG67"/>
    <mergeCell ref="AH65:AH67"/>
    <mergeCell ref="AI65:AI67"/>
    <mergeCell ref="R92:AI92"/>
    <mergeCell ref="R93:R95"/>
    <mergeCell ref="S93:S95"/>
    <mergeCell ref="T93:T95"/>
    <mergeCell ref="U93:U95"/>
    <mergeCell ref="V93:V95"/>
    <mergeCell ref="W93:W95"/>
    <mergeCell ref="Z93:Z95"/>
    <mergeCell ref="AA93:AA95"/>
    <mergeCell ref="AB93:AB95"/>
    <mergeCell ref="AC93:AC95"/>
    <mergeCell ref="AD93:AD95"/>
    <mergeCell ref="AE93:AE95"/>
    <mergeCell ref="AF93:AF95"/>
    <mergeCell ref="AG93:AG95"/>
    <mergeCell ref="AH93:AH95"/>
    <mergeCell ref="AI93:AI95"/>
    <mergeCell ref="AF120:AI120"/>
    <mergeCell ref="AF144:AI144"/>
    <mergeCell ref="C130:E130"/>
    <mergeCell ref="C131:E131"/>
    <mergeCell ref="C132:E132"/>
    <mergeCell ref="C133:E133"/>
    <mergeCell ref="C134:E134"/>
    <mergeCell ref="C135:E135"/>
    <mergeCell ref="C136:E136"/>
    <mergeCell ref="C137:E137"/>
    <mergeCell ref="C138:E138"/>
    <mergeCell ref="C139:E139"/>
    <mergeCell ref="C147:E147"/>
    <mergeCell ref="C154:E154"/>
    <mergeCell ref="C146:E146"/>
    <mergeCell ref="C156:E156"/>
    <mergeCell ref="C148:E148"/>
    <mergeCell ref="C149:E149"/>
    <mergeCell ref="C150:E150"/>
    <mergeCell ref="C151:E151"/>
    <mergeCell ref="C152:E152"/>
    <mergeCell ref="C153:E153"/>
  </mergeCells>
  <conditionalFormatting sqref="A34 C34:Q34 N14:Q14 B14:L14 C31:D33 Q31:Q33 B15:B33 Q15 N15:P33 E15:L33 C17 C15:D16">
    <cfRule type="cellIs" priority="284" dxfId="17" operator="equal" stopIfTrue="1">
      <formula>0</formula>
    </cfRule>
  </conditionalFormatting>
  <conditionalFormatting sqref="A34 C34:Q34 N14:Q14 B14:L14 C31:D33 Q31:Q33 B15:B33 Q15 N15:P33 E15:L33 C17 C15:D16">
    <cfRule type="cellIs" priority="283" dxfId="0" operator="equal">
      <formula>0</formula>
    </cfRule>
  </conditionalFormatting>
  <conditionalFormatting sqref="A14:A33">
    <cfRule type="cellIs" priority="281" dxfId="0" operator="equal">
      <formula>0</formula>
    </cfRule>
    <cfRule type="cellIs" priority="282" dxfId="64" operator="equal">
      <formula>0</formula>
    </cfRule>
  </conditionalFormatting>
  <conditionalFormatting sqref="M14:M33">
    <cfRule type="cellIs" priority="278" dxfId="17" operator="equal" stopIfTrue="1">
      <formula>0</formula>
    </cfRule>
  </conditionalFormatting>
  <conditionalFormatting sqref="M14:M33">
    <cfRule type="cellIs" priority="277" dxfId="0" operator="equal">
      <formula>0</formula>
    </cfRule>
  </conditionalFormatting>
  <conditionalFormatting sqref="C62:Q62 Q56:Q59 Q61 N42:Q43 N44:P61 F42:H61 J42:L61">
    <cfRule type="cellIs" priority="250" dxfId="17" operator="equal" stopIfTrue="1">
      <formula>0</formula>
    </cfRule>
  </conditionalFormatting>
  <conditionalFormatting sqref="C62:Q62 Q56:Q59 Q61 N42:Q43 N44:P61 F42:H61 J42:L61">
    <cfRule type="cellIs" priority="249" dxfId="0" operator="equal">
      <formula>0</formula>
    </cfRule>
  </conditionalFormatting>
  <conditionalFormatting sqref="M42:M61">
    <cfRule type="cellIs" priority="246" dxfId="17" operator="equal" stopIfTrue="1">
      <formula>0</formula>
    </cfRule>
  </conditionalFormatting>
  <conditionalFormatting sqref="M42:M61">
    <cfRule type="cellIs" priority="245" dxfId="0" operator="equal">
      <formula>0</formula>
    </cfRule>
  </conditionalFormatting>
  <conditionalFormatting sqref="C90:Q90 Q89 N70:Q71 Q72 N72:P89 F70:H89 J70:L89">
    <cfRule type="cellIs" priority="228" dxfId="17" operator="equal" stopIfTrue="1">
      <formula>0</formula>
    </cfRule>
  </conditionalFormatting>
  <conditionalFormatting sqref="C90:Q90 Q89 N70:Q71 Q72 N72:P89 F70:H89 J70:L89">
    <cfRule type="cellIs" priority="227" dxfId="0" operator="equal">
      <formula>0</formula>
    </cfRule>
  </conditionalFormatting>
  <conditionalFormatting sqref="M70:M89">
    <cfRule type="cellIs" priority="224" dxfId="17" operator="equal" stopIfTrue="1">
      <formula>0</formula>
    </cfRule>
  </conditionalFormatting>
  <conditionalFormatting sqref="M70:M89">
    <cfRule type="cellIs" priority="223" dxfId="0" operator="equal">
      <formula>0</formula>
    </cfRule>
  </conditionalFormatting>
  <conditionalFormatting sqref="C118:Q118 N98:Q99 Q100:Q103 N100:P117 F98:H117 J98:L117">
    <cfRule type="cellIs" priority="206" dxfId="17" operator="equal" stopIfTrue="1">
      <formula>0</formula>
    </cfRule>
  </conditionalFormatting>
  <conditionalFormatting sqref="C118:Q118 N98:Q99 Q100:Q103 N100:P117 F98:H117 J98:L117">
    <cfRule type="cellIs" priority="205" dxfId="0" operator="equal">
      <formula>0</formula>
    </cfRule>
  </conditionalFormatting>
  <conditionalFormatting sqref="M98:M117">
    <cfRule type="cellIs" priority="202" dxfId="17" operator="equal" stopIfTrue="1">
      <formula>0</formula>
    </cfRule>
  </conditionalFormatting>
  <conditionalFormatting sqref="M98:M117">
    <cfRule type="cellIs" priority="201" dxfId="0" operator="equal">
      <formula>0</formula>
    </cfRule>
  </conditionalFormatting>
  <conditionalFormatting sqref="A42:A59 A61">
    <cfRule type="cellIs" priority="159" dxfId="0" operator="equal">
      <formula>0</formula>
    </cfRule>
    <cfRule type="cellIs" priority="160" dxfId="64" operator="equal">
      <formula>0</formula>
    </cfRule>
  </conditionalFormatting>
  <conditionalFormatting sqref="D100:D103 C100:C117 C98:E99 E100:E117">
    <cfRule type="cellIs" priority="168" dxfId="17" operator="equal" stopIfTrue="1">
      <formula>0</formula>
    </cfRule>
  </conditionalFormatting>
  <conditionalFormatting sqref="D100:D103 C100:C117 C98:E99 E100:E117">
    <cfRule type="cellIs" priority="167" dxfId="0" operator="equal">
      <formula>0</formula>
    </cfRule>
  </conditionalFormatting>
  <conditionalFormatting sqref="D56:D59 D61 E44:E61 C42:E43 C44:C61">
    <cfRule type="cellIs" priority="172" dxfId="17" operator="equal" stopIfTrue="1">
      <formula>0</formula>
    </cfRule>
  </conditionalFormatting>
  <conditionalFormatting sqref="D56:D59 D61 E44:E61 C42:E43 C44:C61">
    <cfRule type="cellIs" priority="171" dxfId="0" operator="equal">
      <formula>0</formula>
    </cfRule>
  </conditionalFormatting>
  <conditionalFormatting sqref="D89 C70:E70 C71:C89 E71:E89 D71:D72">
    <cfRule type="cellIs" priority="170" dxfId="17" operator="equal" stopIfTrue="1">
      <formula>0</formula>
    </cfRule>
  </conditionalFormatting>
  <conditionalFormatting sqref="D89 C70:E70 C71:C89 E71:E89 D71:D72">
    <cfRule type="cellIs" priority="169" dxfId="0" operator="equal">
      <formula>0</formula>
    </cfRule>
  </conditionalFormatting>
  <conditionalFormatting sqref="A62 B42:B61">
    <cfRule type="cellIs" priority="162" dxfId="17" operator="equal" stopIfTrue="1">
      <formula>0</formula>
    </cfRule>
  </conditionalFormatting>
  <conditionalFormatting sqref="A62 B42:B61">
    <cfRule type="cellIs" priority="161" dxfId="0" operator="equal">
      <formula>0</formula>
    </cfRule>
  </conditionalFormatting>
  <conditionalFormatting sqref="A90 B70:B89">
    <cfRule type="cellIs" priority="154" dxfId="17" operator="equal" stopIfTrue="1">
      <formula>0</formula>
    </cfRule>
  </conditionalFormatting>
  <conditionalFormatting sqref="A90 B70:B89">
    <cfRule type="cellIs" priority="153" dxfId="0" operator="equal">
      <formula>0</formula>
    </cfRule>
  </conditionalFormatting>
  <conditionalFormatting sqref="A70:A89">
    <cfRule type="cellIs" priority="151" dxfId="0" operator="equal">
      <formula>0</formula>
    </cfRule>
    <cfRule type="cellIs" priority="152" dxfId="64" operator="equal">
      <formula>0</formula>
    </cfRule>
  </conditionalFormatting>
  <conditionalFormatting sqref="A118 B98:B117">
    <cfRule type="cellIs" priority="146" dxfId="17" operator="equal" stopIfTrue="1">
      <formula>0</formula>
    </cfRule>
  </conditionalFormatting>
  <conditionalFormatting sqref="A118 B98:B117">
    <cfRule type="cellIs" priority="145" dxfId="0" operator="equal">
      <formula>0</formula>
    </cfRule>
  </conditionalFormatting>
  <conditionalFormatting sqref="A98:A117">
    <cfRule type="cellIs" priority="143" dxfId="0" operator="equal">
      <formula>0</formula>
    </cfRule>
    <cfRule type="cellIs" priority="144" dxfId="64" operator="equal">
      <formula>0</formula>
    </cfRule>
  </conditionalFormatting>
  <conditionalFormatting sqref="C18:D20 Q16:Q20 D17">
    <cfRule type="cellIs" priority="138" dxfId="17" operator="equal" stopIfTrue="1">
      <formula>0</formula>
    </cfRule>
  </conditionalFormatting>
  <conditionalFormatting sqref="C18:D20 Q16:Q20 D17">
    <cfRule type="cellIs" priority="137" dxfId="0" operator="equal">
      <formula>0</formula>
    </cfRule>
  </conditionalFormatting>
  <conditionalFormatting sqref="C21:D24 Q21:Q24 Q30 C30:D30">
    <cfRule type="cellIs" priority="132" dxfId="17" operator="equal" stopIfTrue="1">
      <formula>0</formula>
    </cfRule>
  </conditionalFormatting>
  <conditionalFormatting sqref="C21:D24 Q21:Q24 Q30 C30:D30">
    <cfRule type="cellIs" priority="131" dxfId="0" operator="equal">
      <formula>0</formula>
    </cfRule>
  </conditionalFormatting>
  <conditionalFormatting sqref="C26:D29 Q26:Q29">
    <cfRule type="cellIs" priority="126" dxfId="17" operator="equal" stopIfTrue="1">
      <formula>0</formula>
    </cfRule>
  </conditionalFormatting>
  <conditionalFormatting sqref="C26:D29 Q26:Q29">
    <cfRule type="cellIs" priority="125" dxfId="0" operator="equal">
      <formula>0</formula>
    </cfRule>
  </conditionalFormatting>
  <conditionalFormatting sqref="Q25 C25:D25">
    <cfRule type="cellIs" priority="120" dxfId="17" operator="equal" stopIfTrue="1">
      <formula>0</formula>
    </cfRule>
  </conditionalFormatting>
  <conditionalFormatting sqref="Q25 C25:D25">
    <cfRule type="cellIs" priority="119" dxfId="0" operator="equal">
      <formula>0</formula>
    </cfRule>
  </conditionalFormatting>
  <conditionalFormatting sqref="Q52:Q55">
    <cfRule type="cellIs" priority="116" dxfId="17" operator="equal" stopIfTrue="1">
      <formula>0</formula>
    </cfRule>
  </conditionalFormatting>
  <conditionalFormatting sqref="Q52:Q55">
    <cfRule type="cellIs" priority="115" dxfId="0" operator="equal">
      <formula>0</formula>
    </cfRule>
  </conditionalFormatting>
  <conditionalFormatting sqref="A60">
    <cfRule type="cellIs" priority="77" dxfId="0" operator="equal">
      <formula>0</formula>
    </cfRule>
    <cfRule type="cellIs" priority="78" dxfId="64" operator="equal">
      <formula>0</formula>
    </cfRule>
  </conditionalFormatting>
  <conditionalFormatting sqref="D52:D55">
    <cfRule type="cellIs" priority="112" dxfId="17" operator="equal" stopIfTrue="1">
      <formula>0</formula>
    </cfRule>
  </conditionalFormatting>
  <conditionalFormatting sqref="D52:D55">
    <cfRule type="cellIs" priority="111" dxfId="0" operator="equal">
      <formula>0</formula>
    </cfRule>
  </conditionalFormatting>
  <conditionalFormatting sqref="Q48:Q51">
    <cfRule type="cellIs" priority="106" dxfId="17" operator="equal" stopIfTrue="1">
      <formula>0</formula>
    </cfRule>
  </conditionalFormatting>
  <conditionalFormatting sqref="Q48:Q51">
    <cfRule type="cellIs" priority="105" dxfId="0" operator="equal">
      <formula>0</formula>
    </cfRule>
  </conditionalFormatting>
  <conditionalFormatting sqref="D48:D51">
    <cfRule type="cellIs" priority="102" dxfId="17" operator="equal" stopIfTrue="1">
      <formula>0</formula>
    </cfRule>
  </conditionalFormatting>
  <conditionalFormatting sqref="D48:D51">
    <cfRule type="cellIs" priority="101" dxfId="0" operator="equal">
      <formula>0</formula>
    </cfRule>
  </conditionalFormatting>
  <conditionalFormatting sqref="Q44:Q47">
    <cfRule type="cellIs" priority="96" dxfId="17" operator="equal" stopIfTrue="1">
      <formula>0</formula>
    </cfRule>
  </conditionalFormatting>
  <conditionalFormatting sqref="Q44:Q47">
    <cfRule type="cellIs" priority="95" dxfId="0" operator="equal">
      <formula>0</formula>
    </cfRule>
  </conditionalFormatting>
  <conditionalFormatting sqref="D44:D47">
    <cfRule type="cellIs" priority="92" dxfId="17" operator="equal" stopIfTrue="1">
      <formula>0</formula>
    </cfRule>
  </conditionalFormatting>
  <conditionalFormatting sqref="D44:D47">
    <cfRule type="cellIs" priority="91" dxfId="0" operator="equal">
      <formula>0</formula>
    </cfRule>
  </conditionalFormatting>
  <conditionalFormatting sqref="Q60">
    <cfRule type="cellIs" priority="86" dxfId="17" operator="equal" stopIfTrue="1">
      <formula>0</formula>
    </cfRule>
  </conditionalFormatting>
  <conditionalFormatting sqref="Q60">
    <cfRule type="cellIs" priority="85" dxfId="0" operator="equal">
      <formula>0</formula>
    </cfRule>
  </conditionalFormatting>
  <conditionalFormatting sqref="D60">
    <cfRule type="cellIs" priority="82" dxfId="17" operator="equal" stopIfTrue="1">
      <formula>0</formula>
    </cfRule>
  </conditionalFormatting>
  <conditionalFormatting sqref="D60">
    <cfRule type="cellIs" priority="81" dxfId="0" operator="equal">
      <formula>0</formula>
    </cfRule>
  </conditionalFormatting>
  <conditionalFormatting sqref="Q85:Q88">
    <cfRule type="cellIs" priority="76" dxfId="17" operator="equal" stopIfTrue="1">
      <formula>0</formula>
    </cfRule>
  </conditionalFormatting>
  <conditionalFormatting sqref="Q85:Q88">
    <cfRule type="cellIs" priority="75" dxfId="0" operator="equal">
      <formula>0</formula>
    </cfRule>
  </conditionalFormatting>
  <conditionalFormatting sqref="D85:D88">
    <cfRule type="cellIs" priority="72" dxfId="17" operator="equal" stopIfTrue="1">
      <formula>0</formula>
    </cfRule>
  </conditionalFormatting>
  <conditionalFormatting sqref="D85:D88">
    <cfRule type="cellIs" priority="71" dxfId="0" operator="equal">
      <formula>0</formula>
    </cfRule>
  </conditionalFormatting>
  <conditionalFormatting sqref="Q81:Q84">
    <cfRule type="cellIs" priority="66" dxfId="17" operator="equal" stopIfTrue="1">
      <formula>0</formula>
    </cfRule>
  </conditionalFormatting>
  <conditionalFormatting sqref="Q81:Q84">
    <cfRule type="cellIs" priority="65" dxfId="0" operator="equal">
      <formula>0</formula>
    </cfRule>
  </conditionalFormatting>
  <conditionalFormatting sqref="D81:D84">
    <cfRule type="cellIs" priority="62" dxfId="17" operator="equal" stopIfTrue="1">
      <formula>0</formula>
    </cfRule>
  </conditionalFormatting>
  <conditionalFormatting sqref="D81:D84">
    <cfRule type="cellIs" priority="61" dxfId="0" operator="equal">
      <formula>0</formula>
    </cfRule>
  </conditionalFormatting>
  <conditionalFormatting sqref="Q77:Q80">
    <cfRule type="cellIs" priority="56" dxfId="17" operator="equal" stopIfTrue="1">
      <formula>0</formula>
    </cfRule>
  </conditionalFormatting>
  <conditionalFormatting sqref="Q77:Q80">
    <cfRule type="cellIs" priority="55" dxfId="0" operator="equal">
      <formula>0</formula>
    </cfRule>
  </conditionalFormatting>
  <conditionalFormatting sqref="D77:D80">
    <cfRule type="cellIs" priority="52" dxfId="17" operator="equal" stopIfTrue="1">
      <formula>0</formula>
    </cfRule>
  </conditionalFormatting>
  <conditionalFormatting sqref="D77:D80">
    <cfRule type="cellIs" priority="51" dxfId="0" operator="equal">
      <formula>0</formula>
    </cfRule>
  </conditionalFormatting>
  <conditionalFormatting sqref="Q73:Q76">
    <cfRule type="cellIs" priority="46" dxfId="17" operator="equal" stopIfTrue="1">
      <formula>0</formula>
    </cfRule>
  </conditionalFormatting>
  <conditionalFormatting sqref="Q73:Q76">
    <cfRule type="cellIs" priority="45" dxfId="0" operator="equal">
      <formula>0</formula>
    </cfRule>
  </conditionalFormatting>
  <conditionalFormatting sqref="D73:D76">
    <cfRule type="cellIs" priority="42" dxfId="17" operator="equal" stopIfTrue="1">
      <formula>0</formula>
    </cfRule>
  </conditionalFormatting>
  <conditionalFormatting sqref="D73:D76">
    <cfRule type="cellIs" priority="41" dxfId="0" operator="equal">
      <formula>0</formula>
    </cfRule>
  </conditionalFormatting>
  <conditionalFormatting sqref="Q104:Q108">
    <cfRule type="cellIs" priority="36" dxfId="17" operator="equal" stopIfTrue="1">
      <formula>0</formula>
    </cfRule>
  </conditionalFormatting>
  <conditionalFormatting sqref="Q104:Q108">
    <cfRule type="cellIs" priority="35" dxfId="0" operator="equal">
      <formula>0</formula>
    </cfRule>
  </conditionalFormatting>
  <conditionalFormatting sqref="D104:D108">
    <cfRule type="cellIs" priority="32" dxfId="17" operator="equal" stopIfTrue="1">
      <formula>0</formula>
    </cfRule>
  </conditionalFormatting>
  <conditionalFormatting sqref="D104:D108">
    <cfRule type="cellIs" priority="31" dxfId="0" operator="equal">
      <formula>0</formula>
    </cfRule>
  </conditionalFormatting>
  <conditionalFormatting sqref="Q114:Q117">
    <cfRule type="cellIs" priority="26" dxfId="17" operator="equal" stopIfTrue="1">
      <formula>0</formula>
    </cfRule>
  </conditionalFormatting>
  <conditionalFormatting sqref="Q114:Q117">
    <cfRule type="cellIs" priority="25" dxfId="0" operator="equal">
      <formula>0</formula>
    </cfRule>
  </conditionalFormatting>
  <conditionalFormatting sqref="D114:D117">
    <cfRule type="cellIs" priority="22" dxfId="17" operator="equal" stopIfTrue="1">
      <formula>0</formula>
    </cfRule>
  </conditionalFormatting>
  <conditionalFormatting sqref="D114:D117">
    <cfRule type="cellIs" priority="21" dxfId="0" operator="equal">
      <formula>0</formula>
    </cfRule>
  </conditionalFormatting>
  <conditionalFormatting sqref="Q109:Q113">
    <cfRule type="cellIs" priority="16" dxfId="17" operator="equal" stopIfTrue="1">
      <formula>0</formula>
    </cfRule>
  </conditionalFormatting>
  <conditionalFormatting sqref="Q109:Q113">
    <cfRule type="cellIs" priority="15" dxfId="0" operator="equal">
      <formula>0</formula>
    </cfRule>
  </conditionalFormatting>
  <conditionalFormatting sqref="D109:D113">
    <cfRule type="cellIs" priority="12" dxfId="17" operator="equal" stopIfTrue="1">
      <formula>0</formula>
    </cfRule>
  </conditionalFormatting>
  <conditionalFormatting sqref="D109:D113">
    <cfRule type="cellIs" priority="11" dxfId="0" operator="equal">
      <formula>0</formula>
    </cfRule>
  </conditionalFormatting>
  <conditionalFormatting sqref="I42:I61">
    <cfRule type="cellIs" priority="6" dxfId="17" operator="equal" stopIfTrue="1">
      <formula>0</formula>
    </cfRule>
  </conditionalFormatting>
  <conditionalFormatting sqref="I42:I61">
    <cfRule type="cellIs" priority="5" dxfId="0" operator="equal">
      <formula>0</formula>
    </cfRule>
  </conditionalFormatting>
  <conditionalFormatting sqref="I70:I89">
    <cfRule type="cellIs" priority="4" dxfId="17" operator="equal" stopIfTrue="1">
      <formula>0</formula>
    </cfRule>
  </conditionalFormatting>
  <conditionalFormatting sqref="I70:I89">
    <cfRule type="cellIs" priority="3" dxfId="0" operator="equal">
      <formula>0</formula>
    </cfRule>
  </conditionalFormatting>
  <conditionalFormatting sqref="I98:I117">
    <cfRule type="cellIs" priority="2" dxfId="17" operator="equal" stopIfTrue="1">
      <formula>0</formula>
    </cfRule>
  </conditionalFormatting>
  <conditionalFormatting sqref="I98:I117">
    <cfRule type="cellIs" priority="1" dxfId="0" operator="equal">
      <formula>0</formula>
    </cfRule>
  </conditionalFormatting>
  <printOptions/>
  <pageMargins left="0.5118110236220472" right="0.5118110236220472" top="0.7874015748031497" bottom="0.7874015748031497" header="0.31496062992125984" footer="0.31496062992125984"/>
  <pageSetup fitToHeight="0" fitToWidth="1" horizontalDpi="600" verticalDpi="600" orientation="landscape" paperSize="9" scale="29" r:id="rId2"/>
  <rowBreaks count="1" manualBreakCount="1">
    <brk id="91" max="1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C447"/>
  <sheetViews>
    <sheetView view="pageBreakPreview" zoomScale="25" zoomScaleNormal="25" zoomScaleSheetLayoutView="25" zoomScalePageLayoutView="0" workbookViewId="0" topLeftCell="A1">
      <selection activeCell="B14" sqref="B14:B15"/>
    </sheetView>
  </sheetViews>
  <sheetFormatPr defaultColWidth="9.140625" defaultRowHeight="12.75"/>
  <cols>
    <col min="1" max="1" width="10.57421875" style="460" bestFit="1" customWidth="1"/>
    <col min="2" max="2" width="80.8515625" style="474" customWidth="1"/>
    <col min="3" max="4" width="30.7109375" style="474" customWidth="1"/>
    <col min="5" max="6" width="23.421875" style="474" customWidth="1"/>
    <col min="7" max="7" width="22.28125" style="474" customWidth="1"/>
    <col min="8" max="8" width="51.28125" style="474" bestFit="1" customWidth="1"/>
    <col min="9" max="9" width="22.28125" style="474" customWidth="1"/>
    <col min="10" max="11" width="28.00390625" style="474" customWidth="1"/>
    <col min="12" max="12" width="23.28125" style="474" customWidth="1"/>
    <col min="13" max="13" width="29.7109375" style="474" customWidth="1"/>
    <col min="14" max="14" width="28.28125" style="474" customWidth="1"/>
    <col min="15" max="15" width="25.8515625" style="474" customWidth="1"/>
    <col min="16" max="16" width="26.57421875" style="474" customWidth="1"/>
    <col min="17" max="17" width="30.140625" style="474" customWidth="1"/>
    <col min="18" max="18" width="21.57421875" style="474" customWidth="1"/>
    <col min="19" max="19" width="23.7109375" style="474" customWidth="1"/>
    <col min="20" max="20" width="30.7109375" style="474" customWidth="1"/>
    <col min="21" max="21" width="9.140625" style="419" customWidth="1"/>
    <col min="22" max="54" width="15.7109375" style="419" customWidth="1"/>
    <col min="55" max="55" width="27.28125" style="419" bestFit="1" customWidth="1"/>
    <col min="56" max="16384" width="9.140625" style="419" customWidth="1"/>
  </cols>
  <sheetData>
    <row r="1" spans="1:20" ht="39.75" customHeight="1">
      <c r="A1" s="461"/>
      <c r="B1" s="462"/>
      <c r="C1" s="462"/>
      <c r="D1" s="462"/>
      <c r="E1" s="462"/>
      <c r="F1" s="462"/>
      <c r="G1" s="462"/>
      <c r="H1" s="462"/>
      <c r="I1" s="462"/>
      <c r="J1" s="462"/>
      <c r="K1" s="462"/>
      <c r="L1" s="462"/>
      <c r="M1" s="462"/>
      <c r="N1" s="462"/>
      <c r="O1" s="462"/>
      <c r="P1" s="462"/>
      <c r="Q1" s="462"/>
      <c r="R1" s="462"/>
      <c r="S1" s="462"/>
      <c r="T1" s="463"/>
    </row>
    <row r="2" spans="1:20" ht="39.75" customHeight="1">
      <c r="A2" s="852" t="s">
        <v>24</v>
      </c>
      <c r="B2" s="853"/>
      <c r="C2" s="853"/>
      <c r="D2" s="853"/>
      <c r="E2" s="853"/>
      <c r="F2" s="853"/>
      <c r="G2" s="853"/>
      <c r="H2" s="853"/>
      <c r="I2" s="853"/>
      <c r="J2" s="853"/>
      <c r="K2" s="853"/>
      <c r="L2" s="853"/>
      <c r="M2" s="853"/>
      <c r="N2" s="853"/>
      <c r="O2" s="853"/>
      <c r="P2" s="853"/>
      <c r="Q2" s="853"/>
      <c r="R2" s="853"/>
      <c r="S2" s="853"/>
      <c r="T2" s="854"/>
    </row>
    <row r="3" spans="1:20" ht="39.75" customHeight="1">
      <c r="A3" s="855" t="s">
        <v>213</v>
      </c>
      <c r="B3" s="856"/>
      <c r="C3" s="856"/>
      <c r="D3" s="856"/>
      <c r="E3" s="856"/>
      <c r="F3" s="856"/>
      <c r="G3" s="856"/>
      <c r="H3" s="856"/>
      <c r="I3" s="856"/>
      <c r="J3" s="856"/>
      <c r="K3" s="856"/>
      <c r="L3" s="856"/>
      <c r="M3" s="856"/>
      <c r="N3" s="856"/>
      <c r="O3" s="856"/>
      <c r="P3" s="856"/>
      <c r="Q3" s="856"/>
      <c r="R3" s="856"/>
      <c r="S3" s="856"/>
      <c r="T3" s="857"/>
    </row>
    <row r="4" spans="1:20" ht="39.75" customHeight="1">
      <c r="A4" s="855" t="s">
        <v>23</v>
      </c>
      <c r="B4" s="856"/>
      <c r="C4" s="856"/>
      <c r="D4" s="856"/>
      <c r="E4" s="856"/>
      <c r="F4" s="856"/>
      <c r="G4" s="856"/>
      <c r="H4" s="856"/>
      <c r="I4" s="856"/>
      <c r="J4" s="856"/>
      <c r="K4" s="856"/>
      <c r="L4" s="856"/>
      <c r="M4" s="856"/>
      <c r="N4" s="856"/>
      <c r="O4" s="856"/>
      <c r="P4" s="856"/>
      <c r="Q4" s="856"/>
      <c r="R4" s="856"/>
      <c r="S4" s="856"/>
      <c r="T4" s="857"/>
    </row>
    <row r="5" spans="1:20" ht="39.75" customHeight="1" thickBot="1">
      <c r="A5" s="464"/>
      <c r="B5" s="465"/>
      <c r="C5" s="465"/>
      <c r="D5" s="465"/>
      <c r="E5" s="465"/>
      <c r="F5" s="465"/>
      <c r="G5" s="465"/>
      <c r="H5" s="465"/>
      <c r="I5" s="465"/>
      <c r="J5" s="465"/>
      <c r="K5" s="465"/>
      <c r="L5" s="465"/>
      <c r="M5" s="465"/>
      <c r="N5" s="465"/>
      <c r="O5" s="465"/>
      <c r="P5" s="465"/>
      <c r="Q5" s="465"/>
      <c r="R5" s="465"/>
      <c r="S5" s="465"/>
      <c r="T5" s="466"/>
    </row>
    <row r="6" spans="1:20" s="503" customFormat="1" ht="54.75" customHeight="1" thickBot="1">
      <c r="A6" s="858" t="s">
        <v>534</v>
      </c>
      <c r="B6" s="859"/>
      <c r="C6" s="859"/>
      <c r="D6" s="859"/>
      <c r="E6" s="859"/>
      <c r="F6" s="859"/>
      <c r="G6" s="859"/>
      <c r="H6" s="859"/>
      <c r="I6" s="859"/>
      <c r="J6" s="859"/>
      <c r="K6" s="859"/>
      <c r="L6" s="859"/>
      <c r="M6" s="859"/>
      <c r="N6" s="859"/>
      <c r="O6" s="859"/>
      <c r="P6" s="859"/>
      <c r="Q6" s="859"/>
      <c r="R6" s="859"/>
      <c r="S6" s="859"/>
      <c r="T6" s="860"/>
    </row>
    <row r="7" spans="1:20" ht="54.75" customHeight="1" thickBot="1">
      <c r="A7" s="861" t="str">
        <f>'ORÇAMENTO GERAL'!C6</f>
        <v>EXECUÇÃO DOS SERVIÇOS DE DRENAGEM SUPERFICIAL E PROFUNDA E PAVIMENTAÇÃO DAS RUAS UNIÃO E JARDIM DOS ESPORTES NO BAIRRO DO ICUI- NO MUNICÍPIO DE ANANINDEUA - PA.</v>
      </c>
      <c r="B7" s="862"/>
      <c r="C7" s="862"/>
      <c r="D7" s="862"/>
      <c r="E7" s="863"/>
      <c r="F7" s="863"/>
      <c r="G7" s="863"/>
      <c r="H7" s="863"/>
      <c r="I7" s="863"/>
      <c r="J7" s="863"/>
      <c r="K7" s="863"/>
      <c r="L7" s="863"/>
      <c r="M7" s="863"/>
      <c r="N7" s="863"/>
      <c r="O7" s="863"/>
      <c r="P7" s="863"/>
      <c r="Q7" s="863"/>
      <c r="R7" s="863"/>
      <c r="S7" s="863"/>
      <c r="T7" s="864"/>
    </row>
    <row r="8" spans="1:20" ht="39.75" customHeight="1">
      <c r="A8" s="865" t="s">
        <v>495</v>
      </c>
      <c r="B8" s="866"/>
      <c r="C8" s="839" t="s">
        <v>509</v>
      </c>
      <c r="D8" s="842" t="s">
        <v>507</v>
      </c>
      <c r="E8" s="836" t="s">
        <v>511</v>
      </c>
      <c r="F8" s="837"/>
      <c r="G8" s="838"/>
      <c r="H8" s="869" t="s">
        <v>496</v>
      </c>
      <c r="I8" s="838"/>
      <c r="J8" s="869" t="s">
        <v>497</v>
      </c>
      <c r="K8" s="837"/>
      <c r="L8" s="837"/>
      <c r="M8" s="838"/>
      <c r="N8" s="869" t="s">
        <v>498</v>
      </c>
      <c r="O8" s="838"/>
      <c r="P8" s="869" t="s">
        <v>499</v>
      </c>
      <c r="Q8" s="837"/>
      <c r="R8" s="837"/>
      <c r="S8" s="837"/>
      <c r="T8" s="838"/>
    </row>
    <row r="9" spans="1:20" ht="78.75">
      <c r="A9" s="867"/>
      <c r="B9" s="868"/>
      <c r="C9" s="840"/>
      <c r="D9" s="843"/>
      <c r="E9" s="487" t="s">
        <v>507</v>
      </c>
      <c r="F9" s="486" t="s">
        <v>508</v>
      </c>
      <c r="G9" s="488" t="s">
        <v>510</v>
      </c>
      <c r="H9" s="490" t="s">
        <v>516</v>
      </c>
      <c r="I9" s="488" t="s">
        <v>517</v>
      </c>
      <c r="J9" s="483" t="s">
        <v>518</v>
      </c>
      <c r="K9" s="477" t="s">
        <v>519</v>
      </c>
      <c r="L9" s="477" t="s">
        <v>520</v>
      </c>
      <c r="M9" s="478" t="s">
        <v>500</v>
      </c>
      <c r="N9" s="483" t="s">
        <v>501</v>
      </c>
      <c r="O9" s="478" t="s">
        <v>500</v>
      </c>
      <c r="P9" s="483" t="s">
        <v>528</v>
      </c>
      <c r="Q9" s="477" t="s">
        <v>529</v>
      </c>
      <c r="R9" s="477" t="s">
        <v>506</v>
      </c>
      <c r="S9" s="477" t="s">
        <v>530</v>
      </c>
      <c r="T9" s="478" t="s">
        <v>502</v>
      </c>
    </row>
    <row r="10" spans="1:20" ht="39.75" customHeight="1">
      <c r="A10" s="848" t="s">
        <v>7</v>
      </c>
      <c r="B10" s="850" t="s">
        <v>503</v>
      </c>
      <c r="C10" s="841"/>
      <c r="D10" s="844"/>
      <c r="E10" s="479"/>
      <c r="F10" s="481">
        <v>0.1</v>
      </c>
      <c r="G10" s="489"/>
      <c r="H10" s="484"/>
      <c r="I10" s="489"/>
      <c r="J10" s="484"/>
      <c r="K10" s="481">
        <v>0.1</v>
      </c>
      <c r="L10" s="481">
        <v>1.6</v>
      </c>
      <c r="M10" s="482">
        <v>10</v>
      </c>
      <c r="N10" s="485">
        <v>0.1</v>
      </c>
      <c r="O10" s="482">
        <v>10</v>
      </c>
      <c r="P10" s="484"/>
      <c r="Q10" s="480"/>
      <c r="R10" s="480"/>
      <c r="S10" s="481">
        <v>2.4</v>
      </c>
      <c r="T10" s="482">
        <v>25</v>
      </c>
    </row>
    <row r="11" spans="1:20" ht="39.75" customHeight="1" thickBot="1">
      <c r="A11" s="849"/>
      <c r="B11" s="851"/>
      <c r="C11" s="494" t="s">
        <v>64</v>
      </c>
      <c r="D11" s="495" t="s">
        <v>67</v>
      </c>
      <c r="E11" s="496" t="s">
        <v>20</v>
      </c>
      <c r="F11" s="497" t="s">
        <v>512</v>
      </c>
      <c r="G11" s="498" t="s">
        <v>559</v>
      </c>
      <c r="H11" s="499" t="s">
        <v>513</v>
      </c>
      <c r="I11" s="498" t="s">
        <v>514</v>
      </c>
      <c r="J11" s="500" t="s">
        <v>515</v>
      </c>
      <c r="K11" s="501" t="s">
        <v>521</v>
      </c>
      <c r="L11" s="501" t="s">
        <v>522</v>
      </c>
      <c r="M11" s="498" t="s">
        <v>523</v>
      </c>
      <c r="N11" s="500" t="s">
        <v>524</v>
      </c>
      <c r="O11" s="498" t="s">
        <v>525</v>
      </c>
      <c r="P11" s="500" t="s">
        <v>526</v>
      </c>
      <c r="Q11" s="501" t="s">
        <v>527</v>
      </c>
      <c r="R11" s="501" t="s">
        <v>531</v>
      </c>
      <c r="S11" s="501" t="s">
        <v>532</v>
      </c>
      <c r="T11" s="502" t="s">
        <v>533</v>
      </c>
    </row>
    <row r="12" spans="1:55" ht="87" thickBot="1" thickTop="1">
      <c r="A12" s="845"/>
      <c r="B12" s="846"/>
      <c r="C12" s="846"/>
      <c r="D12" s="846"/>
      <c r="E12" s="846"/>
      <c r="F12" s="846"/>
      <c r="G12" s="846"/>
      <c r="H12" s="846"/>
      <c r="I12" s="846"/>
      <c r="J12" s="846"/>
      <c r="K12" s="846"/>
      <c r="L12" s="846"/>
      <c r="M12" s="846"/>
      <c r="N12" s="846"/>
      <c r="O12" s="846"/>
      <c r="P12" s="846"/>
      <c r="Q12" s="846"/>
      <c r="R12" s="846"/>
      <c r="S12" s="846"/>
      <c r="T12" s="847"/>
      <c r="V12" s="509"/>
      <c r="W12" s="513" t="s">
        <v>505</v>
      </c>
      <c r="X12" s="514" t="s">
        <v>544</v>
      </c>
      <c r="Y12" s="514" t="s">
        <v>504</v>
      </c>
      <c r="Z12" s="514" t="s">
        <v>544</v>
      </c>
      <c r="AA12" s="514" t="s">
        <v>475</v>
      </c>
      <c r="AB12" s="514" t="s">
        <v>544</v>
      </c>
      <c r="AC12" s="514" t="s">
        <v>536</v>
      </c>
      <c r="AD12" s="514" t="s">
        <v>544</v>
      </c>
      <c r="AE12" s="514" t="s">
        <v>535</v>
      </c>
      <c r="AF12" s="514" t="s">
        <v>544</v>
      </c>
      <c r="AG12" s="514" t="s">
        <v>537</v>
      </c>
      <c r="AH12" s="514" t="s">
        <v>544</v>
      </c>
      <c r="AI12" s="514" t="s">
        <v>475</v>
      </c>
      <c r="AJ12" s="514" t="s">
        <v>544</v>
      </c>
      <c r="AK12" s="514" t="s">
        <v>466</v>
      </c>
      <c r="AL12" s="514" t="s">
        <v>544</v>
      </c>
      <c r="AM12" s="514" t="s">
        <v>538</v>
      </c>
      <c r="AN12" s="514" t="s">
        <v>544</v>
      </c>
      <c r="AO12" s="514" t="s">
        <v>539</v>
      </c>
      <c r="AP12" s="514" t="s">
        <v>544</v>
      </c>
      <c r="AQ12" s="514" t="s">
        <v>540</v>
      </c>
      <c r="AR12" s="514" t="s">
        <v>544</v>
      </c>
      <c r="AS12" s="514" t="s">
        <v>538</v>
      </c>
      <c r="AT12" s="514" t="s">
        <v>544</v>
      </c>
      <c r="AU12" s="514" t="s">
        <v>541</v>
      </c>
      <c r="AV12" s="514" t="s">
        <v>544</v>
      </c>
      <c r="AW12" s="514" t="s">
        <v>542</v>
      </c>
      <c r="AX12" s="514" t="s">
        <v>544</v>
      </c>
      <c r="AY12" s="514" t="s">
        <v>543</v>
      </c>
      <c r="AZ12" s="514" t="s">
        <v>544</v>
      </c>
      <c r="BA12" s="514" t="s">
        <v>538</v>
      </c>
      <c r="BB12" s="514" t="s">
        <v>544</v>
      </c>
      <c r="BC12" s="515" t="s">
        <v>478</v>
      </c>
    </row>
    <row r="13" spans="1:55" ht="45" customHeight="1" thickTop="1">
      <c r="A13" s="491">
        <v>1</v>
      </c>
      <c r="B13" s="492" t="s">
        <v>560</v>
      </c>
      <c r="C13" s="493">
        <v>630</v>
      </c>
      <c r="D13" s="475">
        <v>7</v>
      </c>
      <c r="E13" s="475">
        <v>0</v>
      </c>
      <c r="F13" s="475">
        <f>C13*E13*$F$10</f>
        <v>0</v>
      </c>
      <c r="G13" s="475">
        <f>C13*E13*2</f>
        <v>0</v>
      </c>
      <c r="H13" s="475">
        <f>I13*0.43*0.1</f>
        <v>54.18</v>
      </c>
      <c r="I13" s="475">
        <f>C13*2</f>
        <v>1260</v>
      </c>
      <c r="J13" s="475">
        <f>C13*D13</f>
        <v>4410</v>
      </c>
      <c r="K13" s="475">
        <f>J13*$K$10</f>
        <v>441</v>
      </c>
      <c r="L13" s="475">
        <f>K13*$L$10</f>
        <v>705.6</v>
      </c>
      <c r="M13" s="475">
        <f>K13*$M$10</f>
        <v>4410</v>
      </c>
      <c r="N13" s="475">
        <f>C13*D13*$N$10</f>
        <v>441</v>
      </c>
      <c r="O13" s="475">
        <f>N13*$O$10</f>
        <v>4410</v>
      </c>
      <c r="P13" s="475">
        <f>C13*D13</f>
        <v>4410</v>
      </c>
      <c r="Q13" s="475">
        <f>C13*D13</f>
        <v>4410</v>
      </c>
      <c r="R13" s="518">
        <v>0.035</v>
      </c>
      <c r="S13" s="475">
        <f>Q13*R13*$S$10</f>
        <v>370.44000000000005</v>
      </c>
      <c r="T13" s="476">
        <f>S13*$T$10</f>
        <v>9261.000000000002</v>
      </c>
      <c r="V13" s="510">
        <f>A13</f>
        <v>1</v>
      </c>
      <c r="W13" s="511">
        <f>F13</f>
        <v>0</v>
      </c>
      <c r="X13" s="512">
        <f>'ORÇAMENTO GERAL'!$J$16</f>
        <v>298.93</v>
      </c>
      <c r="Y13" s="511">
        <f>G13</f>
        <v>0</v>
      </c>
      <c r="Z13" s="512">
        <f>'ORÇAMENTO GERAL'!$J$17</f>
        <v>117.26</v>
      </c>
      <c r="AA13" s="511">
        <f>H13</f>
        <v>54.18</v>
      </c>
      <c r="AB13" s="512">
        <f>'ORÇAMENTO GERAL'!$J$18</f>
        <v>16.81</v>
      </c>
      <c r="AC13" s="511">
        <f>I13</f>
        <v>1260</v>
      </c>
      <c r="AD13" s="512">
        <f>'ORÇAMENTO GERAL'!$J$19</f>
        <v>51.89</v>
      </c>
      <c r="AE13" s="511">
        <f>I13</f>
        <v>1260</v>
      </c>
      <c r="AF13" s="512">
        <f>'ORÇAMENTO GERAL'!$J$20</f>
        <v>41.23</v>
      </c>
      <c r="AG13" s="511">
        <f>J13</f>
        <v>4410</v>
      </c>
      <c r="AH13" s="512">
        <f>'ORÇAMENTO GERAL'!$J$61</f>
        <v>0.45</v>
      </c>
      <c r="AI13" s="511">
        <f>K13</f>
        <v>441</v>
      </c>
      <c r="AJ13" s="512">
        <f>'ORÇAMENTO GERAL'!$J$62</f>
        <v>2.66</v>
      </c>
      <c r="AK13" s="511">
        <f>L13</f>
        <v>705.6</v>
      </c>
      <c r="AL13" s="512">
        <f>'ORÇAMENTO GERAL'!$J$63</f>
        <v>5.16</v>
      </c>
      <c r="AM13" s="511">
        <f>M13</f>
        <v>4410</v>
      </c>
      <c r="AN13" s="512">
        <f>'ORÇAMENTO GERAL'!$J$64</f>
        <v>3.38</v>
      </c>
      <c r="AO13" s="511">
        <f>N13</f>
        <v>441</v>
      </c>
      <c r="AP13" s="512">
        <f>'ORÇAMENTO GERAL'!$J$67</f>
        <v>315.57</v>
      </c>
      <c r="AQ13" s="511">
        <f>N13</f>
        <v>441</v>
      </c>
      <c r="AR13" s="512">
        <f>'ORÇAMENTO GERAL'!$J$68</f>
        <v>1.71</v>
      </c>
      <c r="AS13" s="511">
        <f>O13</f>
        <v>4410</v>
      </c>
      <c r="AT13" s="512">
        <f>'ORÇAMENTO GERAL'!$J$69</f>
        <v>3.38</v>
      </c>
      <c r="AU13" s="511">
        <f>P13</f>
        <v>4410</v>
      </c>
      <c r="AV13" s="512">
        <f>'ORÇAMENTO GERAL'!$J$72</f>
        <v>7.29</v>
      </c>
      <c r="AW13" s="511">
        <f>Q13</f>
        <v>4410</v>
      </c>
      <c r="AX13" s="512">
        <f>'ORÇAMENTO GERAL'!$J$73</f>
        <v>3.47</v>
      </c>
      <c r="AY13" s="511">
        <f>S13</f>
        <v>370.44000000000005</v>
      </c>
      <c r="AZ13" s="512">
        <f>'ORÇAMENTO GERAL'!$J$74</f>
        <v>933.19</v>
      </c>
      <c r="BA13" s="511">
        <f>T13</f>
        <v>9261.000000000002</v>
      </c>
      <c r="BB13" s="512">
        <f>'ORÇAMENTO GERAL'!$J$75</f>
        <v>1.92</v>
      </c>
      <c r="BC13" s="516">
        <f>(W13*X13)+(Y13*Z13)+(AA13*AB13)+(AC13*AD13)+(AE13*AF13)+(AG13*AH13)+(AI13*AJ13)+(AK13*AL13)+(AM13*AN13)+(AO13*AP13)+(AQ13*AR13)+(AS13*AT13)+(AU13*AV13)+(AW13*AX13)+(AY13*AZ13)+(BA13*BB13)</f>
        <v>705696.1254000001</v>
      </c>
    </row>
    <row r="14" spans="1:55" s="472" customFormat="1" ht="45" customHeight="1">
      <c r="A14" s="467">
        <v>2</v>
      </c>
      <c r="B14" s="468" t="str">
        <f>DADOS!B10</f>
        <v>RUA JARDIM DOS ESPORTES</v>
      </c>
      <c r="C14" s="469">
        <v>630</v>
      </c>
      <c r="D14" s="475">
        <v>7</v>
      </c>
      <c r="E14" s="475">
        <v>0</v>
      </c>
      <c r="F14" s="475">
        <f aca="true" t="shared" si="0" ref="F14:F32">C14*E14*$F$10</f>
        <v>0</v>
      </c>
      <c r="G14" s="475">
        <f aca="true" t="shared" si="1" ref="G14:G32">C14*E14*2</f>
        <v>0</v>
      </c>
      <c r="H14" s="475">
        <f aca="true" t="shared" si="2" ref="H14:H32">I14*0.43*0.1</f>
        <v>54.18</v>
      </c>
      <c r="I14" s="475">
        <f aca="true" t="shared" si="3" ref="I14:I32">C14*2</f>
        <v>1260</v>
      </c>
      <c r="J14" s="475">
        <f>C14*D14</f>
        <v>4410</v>
      </c>
      <c r="K14" s="475">
        <f>J14*$K$10</f>
        <v>441</v>
      </c>
      <c r="L14" s="475">
        <f>K14*$L$10</f>
        <v>705.6</v>
      </c>
      <c r="M14" s="475">
        <f>K14*$M$10</f>
        <v>4410</v>
      </c>
      <c r="N14" s="475">
        <f>C14*D14*$N$10</f>
        <v>441</v>
      </c>
      <c r="O14" s="475">
        <f>N14*$O$10</f>
        <v>4410</v>
      </c>
      <c r="P14" s="475">
        <f aca="true" t="shared" si="4" ref="P14:P32">C14*D14</f>
        <v>4410</v>
      </c>
      <c r="Q14" s="475">
        <f aca="true" t="shared" si="5" ref="Q14:Q32">C14*D14</f>
        <v>4410</v>
      </c>
      <c r="R14" s="518">
        <v>0.035</v>
      </c>
      <c r="S14" s="475">
        <f aca="true" t="shared" si="6" ref="S14:S32">Q14*R14*$S$10</f>
        <v>370.44000000000005</v>
      </c>
      <c r="T14" s="476">
        <f aca="true" t="shared" si="7" ref="T14:T32">S14*$T$10</f>
        <v>9261.000000000002</v>
      </c>
      <c r="V14" s="510">
        <f aca="true" t="shared" si="8" ref="V14:V32">A14</f>
        <v>2</v>
      </c>
      <c r="W14" s="511">
        <f aca="true" t="shared" si="9" ref="W14:W32">F14</f>
        <v>0</v>
      </c>
      <c r="X14" s="512">
        <f>'ORÇAMENTO GERAL'!$J$16</f>
        <v>298.93</v>
      </c>
      <c r="Y14" s="511">
        <f aca="true" t="shared" si="10" ref="Y14:Y32">G14</f>
        <v>0</v>
      </c>
      <c r="Z14" s="512">
        <f>'ORÇAMENTO GERAL'!$J$17</f>
        <v>117.26</v>
      </c>
      <c r="AA14" s="511">
        <f aca="true" t="shared" si="11" ref="AA14:AA32">H14</f>
        <v>54.18</v>
      </c>
      <c r="AB14" s="512">
        <f>'ORÇAMENTO GERAL'!$J$18</f>
        <v>16.81</v>
      </c>
      <c r="AC14" s="511">
        <f aca="true" t="shared" si="12" ref="AC14:AC32">I14</f>
        <v>1260</v>
      </c>
      <c r="AD14" s="512">
        <f>'ORÇAMENTO GERAL'!$J$19</f>
        <v>51.89</v>
      </c>
      <c r="AE14" s="511">
        <f aca="true" t="shared" si="13" ref="AE14:AE32">I14</f>
        <v>1260</v>
      </c>
      <c r="AF14" s="512">
        <f>'ORÇAMENTO GERAL'!$J$20</f>
        <v>41.23</v>
      </c>
      <c r="AG14" s="511">
        <f aca="true" t="shared" si="14" ref="AG14:AG32">J14</f>
        <v>4410</v>
      </c>
      <c r="AH14" s="512">
        <f>'ORÇAMENTO GERAL'!$J$61</f>
        <v>0.45</v>
      </c>
      <c r="AI14" s="511">
        <f aca="true" t="shared" si="15" ref="AI14:AI32">K14</f>
        <v>441</v>
      </c>
      <c r="AJ14" s="512">
        <f>'ORÇAMENTO GERAL'!$J$62</f>
        <v>2.66</v>
      </c>
      <c r="AK14" s="511">
        <f aca="true" t="shared" si="16" ref="AK14:AK32">L14</f>
        <v>705.6</v>
      </c>
      <c r="AL14" s="512">
        <f>'ORÇAMENTO GERAL'!$J$63</f>
        <v>5.16</v>
      </c>
      <c r="AM14" s="511">
        <f aca="true" t="shared" si="17" ref="AM14:AM32">M14</f>
        <v>4410</v>
      </c>
      <c r="AN14" s="512">
        <f>'ORÇAMENTO GERAL'!$J$64</f>
        <v>3.38</v>
      </c>
      <c r="AO14" s="511">
        <f aca="true" t="shared" si="18" ref="AO14:AO32">N14</f>
        <v>441</v>
      </c>
      <c r="AP14" s="512">
        <f>'ORÇAMENTO GERAL'!$J$67</f>
        <v>315.57</v>
      </c>
      <c r="AQ14" s="511">
        <f aca="true" t="shared" si="19" ref="AQ14:AQ32">N14</f>
        <v>441</v>
      </c>
      <c r="AR14" s="512">
        <f>'ORÇAMENTO GERAL'!$J$68</f>
        <v>1.71</v>
      </c>
      <c r="AS14" s="511">
        <f aca="true" t="shared" si="20" ref="AS14:AS32">O14</f>
        <v>4410</v>
      </c>
      <c r="AT14" s="512">
        <f>'ORÇAMENTO GERAL'!$J$69</f>
        <v>3.38</v>
      </c>
      <c r="AU14" s="511">
        <f aca="true" t="shared" si="21" ref="AU14:AU32">P14</f>
        <v>4410</v>
      </c>
      <c r="AV14" s="512">
        <f>'ORÇAMENTO GERAL'!$J$72</f>
        <v>7.29</v>
      </c>
      <c r="AW14" s="511">
        <f aca="true" t="shared" si="22" ref="AW14:AW32">Q14</f>
        <v>4410</v>
      </c>
      <c r="AX14" s="512">
        <f>'ORÇAMENTO GERAL'!$J$73</f>
        <v>3.47</v>
      </c>
      <c r="AY14" s="511">
        <f aca="true" t="shared" si="23" ref="AY14:AY32">S14</f>
        <v>370.44000000000005</v>
      </c>
      <c r="AZ14" s="512">
        <f>'ORÇAMENTO GERAL'!$J$74</f>
        <v>933.19</v>
      </c>
      <c r="BA14" s="511">
        <f aca="true" t="shared" si="24" ref="BA14:BA32">T14</f>
        <v>9261.000000000002</v>
      </c>
      <c r="BB14" s="512">
        <f>'ORÇAMENTO GERAL'!$J$75</f>
        <v>1.92</v>
      </c>
      <c r="BC14" s="516">
        <f aca="true" t="shared" si="25" ref="BC14:BC32">(W14*X14)+(Y14*Z14)+(AA14*AB14)+(AC14*AD14)+(AE14*AF14)+(AG14*AH14)+(AI14*AJ14)+(AK14*AL14)+(AM14*AN14)+(AO14*AP14)+(AQ14*AR14)+(AS14*AT14)+(AU14*AV14)+(AW14*AX14)+(AY14*AZ14)+(BA14*BB14)</f>
        <v>705696.1254000001</v>
      </c>
    </row>
    <row r="15" spans="1:55" s="472" customFormat="1" ht="45" customHeight="1" thickBot="1">
      <c r="A15" s="491">
        <v>3</v>
      </c>
      <c r="B15" s="468" t="str">
        <f>DADOS!B11</f>
        <v>BACIA LEITEIRA</v>
      </c>
      <c r="C15" s="469">
        <f>630*0</f>
        <v>0</v>
      </c>
      <c r="D15" s="475">
        <f>7*0</f>
        <v>0</v>
      </c>
      <c r="E15" s="475">
        <v>0</v>
      </c>
      <c r="F15" s="475">
        <f t="shared" si="0"/>
        <v>0</v>
      </c>
      <c r="G15" s="475">
        <f t="shared" si="1"/>
        <v>0</v>
      </c>
      <c r="H15" s="475">
        <f>I15*0.43*0.1*0</f>
        <v>0</v>
      </c>
      <c r="I15" s="475">
        <f t="shared" si="3"/>
        <v>0</v>
      </c>
      <c r="J15" s="475">
        <f aca="true" t="shared" si="26" ref="J15:J32">C15*D15</f>
        <v>0</v>
      </c>
      <c r="K15" s="475">
        <f aca="true" t="shared" si="27" ref="K15:K32">J15*$K$10</f>
        <v>0</v>
      </c>
      <c r="L15" s="475">
        <f aca="true" t="shared" si="28" ref="L15:L32">K15*$L$10</f>
        <v>0</v>
      </c>
      <c r="M15" s="475">
        <f aca="true" t="shared" si="29" ref="M15:M32">K15*$M$10</f>
        <v>0</v>
      </c>
      <c r="N15" s="475">
        <f aca="true" t="shared" si="30" ref="N15:N32">C15*D15*$N$10</f>
        <v>0</v>
      </c>
      <c r="O15" s="475">
        <f aca="true" t="shared" si="31" ref="O15:O32">N15*$O$10</f>
        <v>0</v>
      </c>
      <c r="P15" s="475">
        <f t="shared" si="4"/>
        <v>0</v>
      </c>
      <c r="Q15" s="475">
        <f t="shared" si="5"/>
        <v>0</v>
      </c>
      <c r="R15" s="518">
        <v>0.035</v>
      </c>
      <c r="S15" s="475">
        <f t="shared" si="6"/>
        <v>0</v>
      </c>
      <c r="T15" s="476">
        <f t="shared" si="7"/>
        <v>0</v>
      </c>
      <c r="V15" s="510">
        <f t="shared" si="8"/>
        <v>3</v>
      </c>
      <c r="W15" s="511">
        <f t="shared" si="9"/>
        <v>0</v>
      </c>
      <c r="X15" s="512">
        <f>'ORÇAMENTO GERAL'!$J$16</f>
        <v>298.93</v>
      </c>
      <c r="Y15" s="511">
        <f t="shared" si="10"/>
        <v>0</v>
      </c>
      <c r="Z15" s="512">
        <f>'ORÇAMENTO GERAL'!$J$17</f>
        <v>117.26</v>
      </c>
      <c r="AA15" s="511">
        <f t="shared" si="11"/>
        <v>0</v>
      </c>
      <c r="AB15" s="512">
        <f>'ORÇAMENTO GERAL'!$J$18</f>
        <v>16.81</v>
      </c>
      <c r="AC15" s="511">
        <f t="shared" si="12"/>
        <v>0</v>
      </c>
      <c r="AD15" s="512">
        <f>'ORÇAMENTO GERAL'!$J$19</f>
        <v>51.89</v>
      </c>
      <c r="AE15" s="511">
        <f t="shared" si="13"/>
        <v>0</v>
      </c>
      <c r="AF15" s="512">
        <f>'ORÇAMENTO GERAL'!$J$20</f>
        <v>41.23</v>
      </c>
      <c r="AG15" s="511">
        <f t="shared" si="14"/>
        <v>0</v>
      </c>
      <c r="AH15" s="512">
        <f>'ORÇAMENTO GERAL'!$J$61</f>
        <v>0.45</v>
      </c>
      <c r="AI15" s="511">
        <f t="shared" si="15"/>
        <v>0</v>
      </c>
      <c r="AJ15" s="512">
        <f>'ORÇAMENTO GERAL'!$J$62</f>
        <v>2.66</v>
      </c>
      <c r="AK15" s="511">
        <f t="shared" si="16"/>
        <v>0</v>
      </c>
      <c r="AL15" s="512">
        <f>'ORÇAMENTO GERAL'!$J$63</f>
        <v>5.16</v>
      </c>
      <c r="AM15" s="511">
        <f t="shared" si="17"/>
        <v>0</v>
      </c>
      <c r="AN15" s="512">
        <f>'ORÇAMENTO GERAL'!$J$64</f>
        <v>3.38</v>
      </c>
      <c r="AO15" s="511">
        <f t="shared" si="18"/>
        <v>0</v>
      </c>
      <c r="AP15" s="512">
        <f>'ORÇAMENTO GERAL'!$J$67</f>
        <v>315.57</v>
      </c>
      <c r="AQ15" s="511">
        <f t="shared" si="19"/>
        <v>0</v>
      </c>
      <c r="AR15" s="512">
        <f>'ORÇAMENTO GERAL'!$J$68</f>
        <v>1.71</v>
      </c>
      <c r="AS15" s="511">
        <f t="shared" si="20"/>
        <v>0</v>
      </c>
      <c r="AT15" s="512">
        <f>'ORÇAMENTO GERAL'!$J$69</f>
        <v>3.38</v>
      </c>
      <c r="AU15" s="511">
        <f t="shared" si="21"/>
        <v>0</v>
      </c>
      <c r="AV15" s="512">
        <f>'ORÇAMENTO GERAL'!$J$72</f>
        <v>7.29</v>
      </c>
      <c r="AW15" s="511">
        <f t="shared" si="22"/>
        <v>0</v>
      </c>
      <c r="AX15" s="512">
        <f>'ORÇAMENTO GERAL'!$J$73</f>
        <v>3.47</v>
      </c>
      <c r="AY15" s="511">
        <f t="shared" si="23"/>
        <v>0</v>
      </c>
      <c r="AZ15" s="512">
        <f>'ORÇAMENTO GERAL'!$J$74</f>
        <v>933.19</v>
      </c>
      <c r="BA15" s="511">
        <f t="shared" si="24"/>
        <v>0</v>
      </c>
      <c r="BB15" s="512">
        <f>'ORÇAMENTO GERAL'!$J$75</f>
        <v>1.92</v>
      </c>
      <c r="BC15" s="516">
        <f t="shared" si="25"/>
        <v>0</v>
      </c>
    </row>
    <row r="16" spans="1:55" s="472" customFormat="1" ht="45" customHeight="1" hidden="1">
      <c r="A16" s="467">
        <v>4</v>
      </c>
      <c r="B16" s="468"/>
      <c r="C16" s="469"/>
      <c r="D16" s="470"/>
      <c r="E16" s="475"/>
      <c r="F16" s="475">
        <f t="shared" si="0"/>
        <v>0</v>
      </c>
      <c r="G16" s="475">
        <f t="shared" si="1"/>
        <v>0</v>
      </c>
      <c r="H16" s="475">
        <f t="shared" si="2"/>
        <v>0</v>
      </c>
      <c r="I16" s="475">
        <f t="shared" si="3"/>
        <v>0</v>
      </c>
      <c r="J16" s="475">
        <f t="shared" si="26"/>
        <v>0</v>
      </c>
      <c r="K16" s="475">
        <f t="shared" si="27"/>
        <v>0</v>
      </c>
      <c r="L16" s="475">
        <f t="shared" si="28"/>
        <v>0</v>
      </c>
      <c r="M16" s="475">
        <f t="shared" si="29"/>
        <v>0</v>
      </c>
      <c r="N16" s="475">
        <f t="shared" si="30"/>
        <v>0</v>
      </c>
      <c r="O16" s="475">
        <f t="shared" si="31"/>
        <v>0</v>
      </c>
      <c r="P16" s="475">
        <f t="shared" si="4"/>
        <v>0</v>
      </c>
      <c r="Q16" s="475">
        <f t="shared" si="5"/>
        <v>0</v>
      </c>
      <c r="R16" s="518">
        <v>0.035</v>
      </c>
      <c r="S16" s="475">
        <f t="shared" si="6"/>
        <v>0</v>
      </c>
      <c r="T16" s="476">
        <f t="shared" si="7"/>
        <v>0</v>
      </c>
      <c r="V16" s="510">
        <f t="shared" si="8"/>
        <v>4</v>
      </c>
      <c r="W16" s="511">
        <f t="shared" si="9"/>
        <v>0</v>
      </c>
      <c r="X16" s="512">
        <f>'ORÇAMENTO GERAL'!$J$16</f>
        <v>298.93</v>
      </c>
      <c r="Y16" s="511">
        <f t="shared" si="10"/>
        <v>0</v>
      </c>
      <c r="Z16" s="512">
        <f>'ORÇAMENTO GERAL'!$J$17</f>
        <v>117.26</v>
      </c>
      <c r="AA16" s="511">
        <f t="shared" si="11"/>
        <v>0</v>
      </c>
      <c r="AB16" s="512">
        <f>'ORÇAMENTO GERAL'!$J$18</f>
        <v>16.81</v>
      </c>
      <c r="AC16" s="511">
        <f t="shared" si="12"/>
        <v>0</v>
      </c>
      <c r="AD16" s="512">
        <f>'ORÇAMENTO GERAL'!$J$19</f>
        <v>51.89</v>
      </c>
      <c r="AE16" s="511">
        <f t="shared" si="13"/>
        <v>0</v>
      </c>
      <c r="AF16" s="512">
        <f>'ORÇAMENTO GERAL'!$J$20</f>
        <v>41.23</v>
      </c>
      <c r="AG16" s="511">
        <f t="shared" si="14"/>
        <v>0</v>
      </c>
      <c r="AH16" s="512">
        <f>'ORÇAMENTO GERAL'!$J$61</f>
        <v>0.45</v>
      </c>
      <c r="AI16" s="511">
        <f t="shared" si="15"/>
        <v>0</v>
      </c>
      <c r="AJ16" s="512">
        <f>'ORÇAMENTO GERAL'!$J$62</f>
        <v>2.66</v>
      </c>
      <c r="AK16" s="511">
        <f t="shared" si="16"/>
        <v>0</v>
      </c>
      <c r="AL16" s="512">
        <f>'ORÇAMENTO GERAL'!$J$63</f>
        <v>5.16</v>
      </c>
      <c r="AM16" s="511">
        <f t="shared" si="17"/>
        <v>0</v>
      </c>
      <c r="AN16" s="512">
        <f>'ORÇAMENTO GERAL'!$J$64</f>
        <v>3.38</v>
      </c>
      <c r="AO16" s="511">
        <f t="shared" si="18"/>
        <v>0</v>
      </c>
      <c r="AP16" s="512">
        <f>'ORÇAMENTO GERAL'!$J$67</f>
        <v>315.57</v>
      </c>
      <c r="AQ16" s="511">
        <f t="shared" si="19"/>
        <v>0</v>
      </c>
      <c r="AR16" s="512">
        <f>'ORÇAMENTO GERAL'!$J$68</f>
        <v>1.71</v>
      </c>
      <c r="AS16" s="511">
        <f t="shared" si="20"/>
        <v>0</v>
      </c>
      <c r="AT16" s="512">
        <f>'ORÇAMENTO GERAL'!$J$69</f>
        <v>3.38</v>
      </c>
      <c r="AU16" s="511">
        <f t="shared" si="21"/>
        <v>0</v>
      </c>
      <c r="AV16" s="512">
        <f>'ORÇAMENTO GERAL'!$J$72</f>
        <v>7.29</v>
      </c>
      <c r="AW16" s="511">
        <f t="shared" si="22"/>
        <v>0</v>
      </c>
      <c r="AX16" s="512">
        <f>'ORÇAMENTO GERAL'!$J$73</f>
        <v>3.47</v>
      </c>
      <c r="AY16" s="511">
        <f t="shared" si="23"/>
        <v>0</v>
      </c>
      <c r="AZ16" s="512">
        <f>'ORÇAMENTO GERAL'!$J$74</f>
        <v>933.19</v>
      </c>
      <c r="BA16" s="511">
        <f t="shared" si="24"/>
        <v>0</v>
      </c>
      <c r="BB16" s="512">
        <f>'ORÇAMENTO GERAL'!$J$75</f>
        <v>1.92</v>
      </c>
      <c r="BC16" s="516">
        <f t="shared" si="25"/>
        <v>0</v>
      </c>
    </row>
    <row r="17" spans="1:55" s="472" customFormat="1" ht="45" customHeight="1" hidden="1">
      <c r="A17" s="491">
        <v>5</v>
      </c>
      <c r="B17" s="468"/>
      <c r="C17" s="469"/>
      <c r="D17" s="470"/>
      <c r="E17" s="475"/>
      <c r="F17" s="475">
        <f t="shared" si="0"/>
        <v>0</v>
      </c>
      <c r="G17" s="475">
        <f t="shared" si="1"/>
        <v>0</v>
      </c>
      <c r="H17" s="475">
        <f t="shared" si="2"/>
        <v>0</v>
      </c>
      <c r="I17" s="475">
        <f t="shared" si="3"/>
        <v>0</v>
      </c>
      <c r="J17" s="475">
        <f t="shared" si="26"/>
        <v>0</v>
      </c>
      <c r="K17" s="475">
        <f t="shared" si="27"/>
        <v>0</v>
      </c>
      <c r="L17" s="475">
        <f t="shared" si="28"/>
        <v>0</v>
      </c>
      <c r="M17" s="475">
        <f t="shared" si="29"/>
        <v>0</v>
      </c>
      <c r="N17" s="475">
        <f t="shared" si="30"/>
        <v>0</v>
      </c>
      <c r="O17" s="475">
        <f t="shared" si="31"/>
        <v>0</v>
      </c>
      <c r="P17" s="475">
        <f t="shared" si="4"/>
        <v>0</v>
      </c>
      <c r="Q17" s="475">
        <f t="shared" si="5"/>
        <v>0</v>
      </c>
      <c r="R17" s="518">
        <v>0.035</v>
      </c>
      <c r="S17" s="475">
        <f t="shared" si="6"/>
        <v>0</v>
      </c>
      <c r="T17" s="476">
        <f t="shared" si="7"/>
        <v>0</v>
      </c>
      <c r="V17" s="510">
        <f t="shared" si="8"/>
        <v>5</v>
      </c>
      <c r="W17" s="511">
        <f t="shared" si="9"/>
        <v>0</v>
      </c>
      <c r="X17" s="512">
        <f>'ORÇAMENTO GERAL'!$J$16</f>
        <v>298.93</v>
      </c>
      <c r="Y17" s="511">
        <f t="shared" si="10"/>
        <v>0</v>
      </c>
      <c r="Z17" s="512">
        <f>'ORÇAMENTO GERAL'!$J$17</f>
        <v>117.26</v>
      </c>
      <c r="AA17" s="511">
        <f t="shared" si="11"/>
        <v>0</v>
      </c>
      <c r="AB17" s="512">
        <f>'ORÇAMENTO GERAL'!$J$18</f>
        <v>16.81</v>
      </c>
      <c r="AC17" s="511">
        <f t="shared" si="12"/>
        <v>0</v>
      </c>
      <c r="AD17" s="512">
        <f>'ORÇAMENTO GERAL'!$J$19</f>
        <v>51.89</v>
      </c>
      <c r="AE17" s="511">
        <f t="shared" si="13"/>
        <v>0</v>
      </c>
      <c r="AF17" s="512">
        <f>'ORÇAMENTO GERAL'!$J$20</f>
        <v>41.23</v>
      </c>
      <c r="AG17" s="511">
        <f t="shared" si="14"/>
        <v>0</v>
      </c>
      <c r="AH17" s="512">
        <f>'ORÇAMENTO GERAL'!$J$61</f>
        <v>0.45</v>
      </c>
      <c r="AI17" s="511">
        <f t="shared" si="15"/>
        <v>0</v>
      </c>
      <c r="AJ17" s="512">
        <f>'ORÇAMENTO GERAL'!$J$62</f>
        <v>2.66</v>
      </c>
      <c r="AK17" s="511">
        <f t="shared" si="16"/>
        <v>0</v>
      </c>
      <c r="AL17" s="512">
        <f>'ORÇAMENTO GERAL'!$J$63</f>
        <v>5.16</v>
      </c>
      <c r="AM17" s="511">
        <f t="shared" si="17"/>
        <v>0</v>
      </c>
      <c r="AN17" s="512">
        <f>'ORÇAMENTO GERAL'!$J$64</f>
        <v>3.38</v>
      </c>
      <c r="AO17" s="511">
        <f t="shared" si="18"/>
        <v>0</v>
      </c>
      <c r="AP17" s="512">
        <f>'ORÇAMENTO GERAL'!$J$67</f>
        <v>315.57</v>
      </c>
      <c r="AQ17" s="511">
        <f t="shared" si="19"/>
        <v>0</v>
      </c>
      <c r="AR17" s="512">
        <f>'ORÇAMENTO GERAL'!$J$68</f>
        <v>1.71</v>
      </c>
      <c r="AS17" s="511">
        <f t="shared" si="20"/>
        <v>0</v>
      </c>
      <c r="AT17" s="512">
        <f>'ORÇAMENTO GERAL'!$J$69</f>
        <v>3.38</v>
      </c>
      <c r="AU17" s="511">
        <f t="shared" si="21"/>
        <v>0</v>
      </c>
      <c r="AV17" s="512">
        <f>'ORÇAMENTO GERAL'!$J$72</f>
        <v>7.29</v>
      </c>
      <c r="AW17" s="511">
        <f t="shared" si="22"/>
        <v>0</v>
      </c>
      <c r="AX17" s="512">
        <f>'ORÇAMENTO GERAL'!$J$73</f>
        <v>3.47</v>
      </c>
      <c r="AY17" s="511">
        <f t="shared" si="23"/>
        <v>0</v>
      </c>
      <c r="AZ17" s="512">
        <f>'ORÇAMENTO GERAL'!$J$74</f>
        <v>933.19</v>
      </c>
      <c r="BA17" s="511">
        <f t="shared" si="24"/>
        <v>0</v>
      </c>
      <c r="BB17" s="512">
        <f>'ORÇAMENTO GERAL'!$J$75</f>
        <v>1.92</v>
      </c>
      <c r="BC17" s="516">
        <f t="shared" si="25"/>
        <v>0</v>
      </c>
    </row>
    <row r="18" spans="1:55" s="472" customFormat="1" ht="45" customHeight="1" hidden="1">
      <c r="A18" s="467">
        <v>6</v>
      </c>
      <c r="B18" s="468"/>
      <c r="C18" s="469"/>
      <c r="D18" s="470"/>
      <c r="E18" s="475"/>
      <c r="F18" s="475">
        <f t="shared" si="0"/>
        <v>0</v>
      </c>
      <c r="G18" s="475">
        <f t="shared" si="1"/>
        <v>0</v>
      </c>
      <c r="H18" s="475">
        <f t="shared" si="2"/>
        <v>0</v>
      </c>
      <c r="I18" s="475">
        <f t="shared" si="3"/>
        <v>0</v>
      </c>
      <c r="J18" s="475">
        <f t="shared" si="26"/>
        <v>0</v>
      </c>
      <c r="K18" s="475">
        <f t="shared" si="27"/>
        <v>0</v>
      </c>
      <c r="L18" s="475">
        <f t="shared" si="28"/>
        <v>0</v>
      </c>
      <c r="M18" s="475">
        <f t="shared" si="29"/>
        <v>0</v>
      </c>
      <c r="N18" s="475">
        <f t="shared" si="30"/>
        <v>0</v>
      </c>
      <c r="O18" s="475">
        <f t="shared" si="31"/>
        <v>0</v>
      </c>
      <c r="P18" s="475">
        <f t="shared" si="4"/>
        <v>0</v>
      </c>
      <c r="Q18" s="475">
        <f t="shared" si="5"/>
        <v>0</v>
      </c>
      <c r="R18" s="518">
        <v>0.035</v>
      </c>
      <c r="S18" s="475">
        <f t="shared" si="6"/>
        <v>0</v>
      </c>
      <c r="T18" s="476">
        <f t="shared" si="7"/>
        <v>0</v>
      </c>
      <c r="V18" s="510">
        <f t="shared" si="8"/>
        <v>6</v>
      </c>
      <c r="W18" s="511">
        <f t="shared" si="9"/>
        <v>0</v>
      </c>
      <c r="X18" s="512">
        <f>'ORÇAMENTO GERAL'!$J$16</f>
        <v>298.93</v>
      </c>
      <c r="Y18" s="511">
        <f t="shared" si="10"/>
        <v>0</v>
      </c>
      <c r="Z18" s="512">
        <f>'ORÇAMENTO GERAL'!$J$17</f>
        <v>117.26</v>
      </c>
      <c r="AA18" s="511">
        <f t="shared" si="11"/>
        <v>0</v>
      </c>
      <c r="AB18" s="512">
        <f>'ORÇAMENTO GERAL'!$J$18</f>
        <v>16.81</v>
      </c>
      <c r="AC18" s="511">
        <f t="shared" si="12"/>
        <v>0</v>
      </c>
      <c r="AD18" s="512">
        <f>'ORÇAMENTO GERAL'!$J$19</f>
        <v>51.89</v>
      </c>
      <c r="AE18" s="511">
        <f t="shared" si="13"/>
        <v>0</v>
      </c>
      <c r="AF18" s="512">
        <f>'ORÇAMENTO GERAL'!$J$20</f>
        <v>41.23</v>
      </c>
      <c r="AG18" s="511">
        <f t="shared" si="14"/>
        <v>0</v>
      </c>
      <c r="AH18" s="512">
        <f>'ORÇAMENTO GERAL'!$J$61</f>
        <v>0.45</v>
      </c>
      <c r="AI18" s="511">
        <f t="shared" si="15"/>
        <v>0</v>
      </c>
      <c r="AJ18" s="512">
        <f>'ORÇAMENTO GERAL'!$J$62</f>
        <v>2.66</v>
      </c>
      <c r="AK18" s="511">
        <f t="shared" si="16"/>
        <v>0</v>
      </c>
      <c r="AL18" s="512">
        <f>'ORÇAMENTO GERAL'!$J$63</f>
        <v>5.16</v>
      </c>
      <c r="AM18" s="511">
        <f t="shared" si="17"/>
        <v>0</v>
      </c>
      <c r="AN18" s="512">
        <f>'ORÇAMENTO GERAL'!$J$64</f>
        <v>3.38</v>
      </c>
      <c r="AO18" s="511">
        <f t="shared" si="18"/>
        <v>0</v>
      </c>
      <c r="AP18" s="512">
        <f>'ORÇAMENTO GERAL'!$J$67</f>
        <v>315.57</v>
      </c>
      <c r="AQ18" s="511">
        <f t="shared" si="19"/>
        <v>0</v>
      </c>
      <c r="AR18" s="512">
        <f>'ORÇAMENTO GERAL'!$J$68</f>
        <v>1.71</v>
      </c>
      <c r="AS18" s="511">
        <f t="shared" si="20"/>
        <v>0</v>
      </c>
      <c r="AT18" s="512">
        <f>'ORÇAMENTO GERAL'!$J$69</f>
        <v>3.38</v>
      </c>
      <c r="AU18" s="511">
        <f t="shared" si="21"/>
        <v>0</v>
      </c>
      <c r="AV18" s="512">
        <f>'ORÇAMENTO GERAL'!$J$72</f>
        <v>7.29</v>
      </c>
      <c r="AW18" s="511">
        <f t="shared" si="22"/>
        <v>0</v>
      </c>
      <c r="AX18" s="512">
        <f>'ORÇAMENTO GERAL'!$J$73</f>
        <v>3.47</v>
      </c>
      <c r="AY18" s="511">
        <f t="shared" si="23"/>
        <v>0</v>
      </c>
      <c r="AZ18" s="512">
        <f>'ORÇAMENTO GERAL'!$J$74</f>
        <v>933.19</v>
      </c>
      <c r="BA18" s="511">
        <f t="shared" si="24"/>
        <v>0</v>
      </c>
      <c r="BB18" s="512">
        <f>'ORÇAMENTO GERAL'!$J$75</f>
        <v>1.92</v>
      </c>
      <c r="BC18" s="516">
        <f t="shared" si="25"/>
        <v>0</v>
      </c>
    </row>
    <row r="19" spans="1:55" s="472" customFormat="1" ht="45" customHeight="1" hidden="1">
      <c r="A19" s="491">
        <v>7</v>
      </c>
      <c r="B19" s="468"/>
      <c r="C19" s="469"/>
      <c r="D19" s="470"/>
      <c r="E19" s="475"/>
      <c r="F19" s="475">
        <f t="shared" si="0"/>
        <v>0</v>
      </c>
      <c r="G19" s="475">
        <f t="shared" si="1"/>
        <v>0</v>
      </c>
      <c r="H19" s="475">
        <f t="shared" si="2"/>
        <v>0</v>
      </c>
      <c r="I19" s="475">
        <f t="shared" si="3"/>
        <v>0</v>
      </c>
      <c r="J19" s="475">
        <f t="shared" si="26"/>
        <v>0</v>
      </c>
      <c r="K19" s="475">
        <f t="shared" si="27"/>
        <v>0</v>
      </c>
      <c r="L19" s="475">
        <f t="shared" si="28"/>
        <v>0</v>
      </c>
      <c r="M19" s="475">
        <f t="shared" si="29"/>
        <v>0</v>
      </c>
      <c r="N19" s="475">
        <f t="shared" si="30"/>
        <v>0</v>
      </c>
      <c r="O19" s="475">
        <f t="shared" si="31"/>
        <v>0</v>
      </c>
      <c r="P19" s="475">
        <f t="shared" si="4"/>
        <v>0</v>
      </c>
      <c r="Q19" s="475">
        <f t="shared" si="5"/>
        <v>0</v>
      </c>
      <c r="R19" s="518">
        <v>0.035</v>
      </c>
      <c r="S19" s="475">
        <f t="shared" si="6"/>
        <v>0</v>
      </c>
      <c r="T19" s="476">
        <f t="shared" si="7"/>
        <v>0</v>
      </c>
      <c r="V19" s="510">
        <f t="shared" si="8"/>
        <v>7</v>
      </c>
      <c r="W19" s="511">
        <f t="shared" si="9"/>
        <v>0</v>
      </c>
      <c r="X19" s="512">
        <f>'ORÇAMENTO GERAL'!$J$16</f>
        <v>298.93</v>
      </c>
      <c r="Y19" s="511">
        <f t="shared" si="10"/>
        <v>0</v>
      </c>
      <c r="Z19" s="512">
        <f>'ORÇAMENTO GERAL'!$J$17</f>
        <v>117.26</v>
      </c>
      <c r="AA19" s="511">
        <f t="shared" si="11"/>
        <v>0</v>
      </c>
      <c r="AB19" s="512">
        <f>'ORÇAMENTO GERAL'!$J$18</f>
        <v>16.81</v>
      </c>
      <c r="AC19" s="511">
        <f t="shared" si="12"/>
        <v>0</v>
      </c>
      <c r="AD19" s="512">
        <f>'ORÇAMENTO GERAL'!$J$19</f>
        <v>51.89</v>
      </c>
      <c r="AE19" s="511">
        <f t="shared" si="13"/>
        <v>0</v>
      </c>
      <c r="AF19" s="512">
        <f>'ORÇAMENTO GERAL'!$J$20</f>
        <v>41.23</v>
      </c>
      <c r="AG19" s="511">
        <f t="shared" si="14"/>
        <v>0</v>
      </c>
      <c r="AH19" s="512">
        <f>'ORÇAMENTO GERAL'!$J$61</f>
        <v>0.45</v>
      </c>
      <c r="AI19" s="511">
        <f t="shared" si="15"/>
        <v>0</v>
      </c>
      <c r="AJ19" s="512">
        <f>'ORÇAMENTO GERAL'!$J$62</f>
        <v>2.66</v>
      </c>
      <c r="AK19" s="511">
        <f t="shared" si="16"/>
        <v>0</v>
      </c>
      <c r="AL19" s="512">
        <f>'ORÇAMENTO GERAL'!$J$63</f>
        <v>5.16</v>
      </c>
      <c r="AM19" s="511">
        <f t="shared" si="17"/>
        <v>0</v>
      </c>
      <c r="AN19" s="512">
        <f>'ORÇAMENTO GERAL'!$J$64</f>
        <v>3.38</v>
      </c>
      <c r="AO19" s="511">
        <f t="shared" si="18"/>
        <v>0</v>
      </c>
      <c r="AP19" s="512">
        <f>'ORÇAMENTO GERAL'!$J$67</f>
        <v>315.57</v>
      </c>
      <c r="AQ19" s="511">
        <f t="shared" si="19"/>
        <v>0</v>
      </c>
      <c r="AR19" s="512">
        <f>'ORÇAMENTO GERAL'!$J$68</f>
        <v>1.71</v>
      </c>
      <c r="AS19" s="511">
        <f t="shared" si="20"/>
        <v>0</v>
      </c>
      <c r="AT19" s="512">
        <f>'ORÇAMENTO GERAL'!$J$69</f>
        <v>3.38</v>
      </c>
      <c r="AU19" s="511">
        <f t="shared" si="21"/>
        <v>0</v>
      </c>
      <c r="AV19" s="512">
        <f>'ORÇAMENTO GERAL'!$J$72</f>
        <v>7.29</v>
      </c>
      <c r="AW19" s="511">
        <f t="shared" si="22"/>
        <v>0</v>
      </c>
      <c r="AX19" s="512">
        <f>'ORÇAMENTO GERAL'!$J$73</f>
        <v>3.47</v>
      </c>
      <c r="AY19" s="511">
        <f t="shared" si="23"/>
        <v>0</v>
      </c>
      <c r="AZ19" s="512">
        <f>'ORÇAMENTO GERAL'!$J$74</f>
        <v>933.19</v>
      </c>
      <c r="BA19" s="511">
        <f t="shared" si="24"/>
        <v>0</v>
      </c>
      <c r="BB19" s="512">
        <f>'ORÇAMENTO GERAL'!$J$75</f>
        <v>1.92</v>
      </c>
      <c r="BC19" s="516">
        <f t="shared" si="25"/>
        <v>0</v>
      </c>
    </row>
    <row r="20" spans="1:55" ht="45" customHeight="1" hidden="1">
      <c r="A20" s="467">
        <v>8</v>
      </c>
      <c r="B20" s="468"/>
      <c r="C20" s="469"/>
      <c r="D20" s="470"/>
      <c r="E20" s="475"/>
      <c r="F20" s="475">
        <f t="shared" si="0"/>
        <v>0</v>
      </c>
      <c r="G20" s="475">
        <f t="shared" si="1"/>
        <v>0</v>
      </c>
      <c r="H20" s="475">
        <f t="shared" si="2"/>
        <v>0</v>
      </c>
      <c r="I20" s="475">
        <f t="shared" si="3"/>
        <v>0</v>
      </c>
      <c r="J20" s="475">
        <f t="shared" si="26"/>
        <v>0</v>
      </c>
      <c r="K20" s="475">
        <f t="shared" si="27"/>
        <v>0</v>
      </c>
      <c r="L20" s="475">
        <f t="shared" si="28"/>
        <v>0</v>
      </c>
      <c r="M20" s="475">
        <f t="shared" si="29"/>
        <v>0</v>
      </c>
      <c r="N20" s="475">
        <f t="shared" si="30"/>
        <v>0</v>
      </c>
      <c r="O20" s="475">
        <f t="shared" si="31"/>
        <v>0</v>
      </c>
      <c r="P20" s="475">
        <f t="shared" si="4"/>
        <v>0</v>
      </c>
      <c r="Q20" s="475">
        <f t="shared" si="5"/>
        <v>0</v>
      </c>
      <c r="R20" s="518">
        <v>0.035</v>
      </c>
      <c r="S20" s="475">
        <f t="shared" si="6"/>
        <v>0</v>
      </c>
      <c r="T20" s="476">
        <f t="shared" si="7"/>
        <v>0</v>
      </c>
      <c r="V20" s="510">
        <f t="shared" si="8"/>
        <v>8</v>
      </c>
      <c r="W20" s="511">
        <f t="shared" si="9"/>
        <v>0</v>
      </c>
      <c r="X20" s="512">
        <f>'ORÇAMENTO GERAL'!$J$16</f>
        <v>298.93</v>
      </c>
      <c r="Y20" s="511">
        <f t="shared" si="10"/>
        <v>0</v>
      </c>
      <c r="Z20" s="512">
        <f>'ORÇAMENTO GERAL'!$J$17</f>
        <v>117.26</v>
      </c>
      <c r="AA20" s="511">
        <f t="shared" si="11"/>
        <v>0</v>
      </c>
      <c r="AB20" s="512">
        <f>'ORÇAMENTO GERAL'!$J$18</f>
        <v>16.81</v>
      </c>
      <c r="AC20" s="511">
        <f t="shared" si="12"/>
        <v>0</v>
      </c>
      <c r="AD20" s="512">
        <f>'ORÇAMENTO GERAL'!$J$19</f>
        <v>51.89</v>
      </c>
      <c r="AE20" s="511">
        <f t="shared" si="13"/>
        <v>0</v>
      </c>
      <c r="AF20" s="512">
        <f>'ORÇAMENTO GERAL'!$J$20</f>
        <v>41.23</v>
      </c>
      <c r="AG20" s="511">
        <f t="shared" si="14"/>
        <v>0</v>
      </c>
      <c r="AH20" s="512">
        <f>'ORÇAMENTO GERAL'!$J$61</f>
        <v>0.45</v>
      </c>
      <c r="AI20" s="511">
        <f t="shared" si="15"/>
        <v>0</v>
      </c>
      <c r="AJ20" s="512">
        <f>'ORÇAMENTO GERAL'!$J$62</f>
        <v>2.66</v>
      </c>
      <c r="AK20" s="511">
        <f t="shared" si="16"/>
        <v>0</v>
      </c>
      <c r="AL20" s="512">
        <f>'ORÇAMENTO GERAL'!$J$63</f>
        <v>5.16</v>
      </c>
      <c r="AM20" s="511">
        <f t="shared" si="17"/>
        <v>0</v>
      </c>
      <c r="AN20" s="512">
        <f>'ORÇAMENTO GERAL'!$J$64</f>
        <v>3.38</v>
      </c>
      <c r="AO20" s="511">
        <f t="shared" si="18"/>
        <v>0</v>
      </c>
      <c r="AP20" s="512">
        <f>'ORÇAMENTO GERAL'!$J$67</f>
        <v>315.57</v>
      </c>
      <c r="AQ20" s="511">
        <f t="shared" si="19"/>
        <v>0</v>
      </c>
      <c r="AR20" s="512">
        <f>'ORÇAMENTO GERAL'!$J$68</f>
        <v>1.71</v>
      </c>
      <c r="AS20" s="511">
        <f t="shared" si="20"/>
        <v>0</v>
      </c>
      <c r="AT20" s="512">
        <f>'ORÇAMENTO GERAL'!$J$69</f>
        <v>3.38</v>
      </c>
      <c r="AU20" s="511">
        <f t="shared" si="21"/>
        <v>0</v>
      </c>
      <c r="AV20" s="512">
        <f>'ORÇAMENTO GERAL'!$J$72</f>
        <v>7.29</v>
      </c>
      <c r="AW20" s="511">
        <f t="shared" si="22"/>
        <v>0</v>
      </c>
      <c r="AX20" s="512">
        <f>'ORÇAMENTO GERAL'!$J$73</f>
        <v>3.47</v>
      </c>
      <c r="AY20" s="511">
        <f t="shared" si="23"/>
        <v>0</v>
      </c>
      <c r="AZ20" s="512">
        <f>'ORÇAMENTO GERAL'!$J$74</f>
        <v>933.19</v>
      </c>
      <c r="BA20" s="511">
        <f t="shared" si="24"/>
        <v>0</v>
      </c>
      <c r="BB20" s="512">
        <f>'ORÇAMENTO GERAL'!$J$75</f>
        <v>1.92</v>
      </c>
      <c r="BC20" s="516">
        <f t="shared" si="25"/>
        <v>0</v>
      </c>
    </row>
    <row r="21" spans="1:55" ht="45" customHeight="1" hidden="1">
      <c r="A21" s="491">
        <v>9</v>
      </c>
      <c r="B21" s="468"/>
      <c r="C21" s="469"/>
      <c r="D21" s="470"/>
      <c r="E21" s="475"/>
      <c r="F21" s="475">
        <f t="shared" si="0"/>
        <v>0</v>
      </c>
      <c r="G21" s="475">
        <f t="shared" si="1"/>
        <v>0</v>
      </c>
      <c r="H21" s="475">
        <f t="shared" si="2"/>
        <v>0</v>
      </c>
      <c r="I21" s="475">
        <f t="shared" si="3"/>
        <v>0</v>
      </c>
      <c r="J21" s="475">
        <f t="shared" si="26"/>
        <v>0</v>
      </c>
      <c r="K21" s="475">
        <f t="shared" si="27"/>
        <v>0</v>
      </c>
      <c r="L21" s="475">
        <f t="shared" si="28"/>
        <v>0</v>
      </c>
      <c r="M21" s="475">
        <f t="shared" si="29"/>
        <v>0</v>
      </c>
      <c r="N21" s="475">
        <f t="shared" si="30"/>
        <v>0</v>
      </c>
      <c r="O21" s="475">
        <f t="shared" si="31"/>
        <v>0</v>
      </c>
      <c r="P21" s="475">
        <f t="shared" si="4"/>
        <v>0</v>
      </c>
      <c r="Q21" s="475">
        <f t="shared" si="5"/>
        <v>0</v>
      </c>
      <c r="R21" s="518">
        <v>0.035</v>
      </c>
      <c r="S21" s="475">
        <f t="shared" si="6"/>
        <v>0</v>
      </c>
      <c r="T21" s="476">
        <f t="shared" si="7"/>
        <v>0</v>
      </c>
      <c r="V21" s="510">
        <f t="shared" si="8"/>
        <v>9</v>
      </c>
      <c r="W21" s="511">
        <f t="shared" si="9"/>
        <v>0</v>
      </c>
      <c r="X21" s="512">
        <f>'ORÇAMENTO GERAL'!$J$16</f>
        <v>298.93</v>
      </c>
      <c r="Y21" s="511">
        <f t="shared" si="10"/>
        <v>0</v>
      </c>
      <c r="Z21" s="512">
        <f>'ORÇAMENTO GERAL'!$J$17</f>
        <v>117.26</v>
      </c>
      <c r="AA21" s="511">
        <f t="shared" si="11"/>
        <v>0</v>
      </c>
      <c r="AB21" s="512">
        <f>'ORÇAMENTO GERAL'!$J$18</f>
        <v>16.81</v>
      </c>
      <c r="AC21" s="511">
        <f t="shared" si="12"/>
        <v>0</v>
      </c>
      <c r="AD21" s="512">
        <f>'ORÇAMENTO GERAL'!$J$19</f>
        <v>51.89</v>
      </c>
      <c r="AE21" s="511">
        <f t="shared" si="13"/>
        <v>0</v>
      </c>
      <c r="AF21" s="512">
        <f>'ORÇAMENTO GERAL'!$J$20</f>
        <v>41.23</v>
      </c>
      <c r="AG21" s="511">
        <f t="shared" si="14"/>
        <v>0</v>
      </c>
      <c r="AH21" s="512">
        <f>'ORÇAMENTO GERAL'!$J$61</f>
        <v>0.45</v>
      </c>
      <c r="AI21" s="511">
        <f t="shared" si="15"/>
        <v>0</v>
      </c>
      <c r="AJ21" s="512">
        <f>'ORÇAMENTO GERAL'!$J$62</f>
        <v>2.66</v>
      </c>
      <c r="AK21" s="511">
        <f t="shared" si="16"/>
        <v>0</v>
      </c>
      <c r="AL21" s="512">
        <f>'ORÇAMENTO GERAL'!$J$63</f>
        <v>5.16</v>
      </c>
      <c r="AM21" s="511">
        <f t="shared" si="17"/>
        <v>0</v>
      </c>
      <c r="AN21" s="512">
        <f>'ORÇAMENTO GERAL'!$J$64</f>
        <v>3.38</v>
      </c>
      <c r="AO21" s="511">
        <f t="shared" si="18"/>
        <v>0</v>
      </c>
      <c r="AP21" s="512">
        <f>'ORÇAMENTO GERAL'!$J$67</f>
        <v>315.57</v>
      </c>
      <c r="AQ21" s="511">
        <f t="shared" si="19"/>
        <v>0</v>
      </c>
      <c r="AR21" s="512">
        <f>'ORÇAMENTO GERAL'!$J$68</f>
        <v>1.71</v>
      </c>
      <c r="AS21" s="511">
        <f t="shared" si="20"/>
        <v>0</v>
      </c>
      <c r="AT21" s="512">
        <f>'ORÇAMENTO GERAL'!$J$69</f>
        <v>3.38</v>
      </c>
      <c r="AU21" s="511">
        <f t="shared" si="21"/>
        <v>0</v>
      </c>
      <c r="AV21" s="512">
        <f>'ORÇAMENTO GERAL'!$J$72</f>
        <v>7.29</v>
      </c>
      <c r="AW21" s="511">
        <f t="shared" si="22"/>
        <v>0</v>
      </c>
      <c r="AX21" s="512">
        <f>'ORÇAMENTO GERAL'!$J$73</f>
        <v>3.47</v>
      </c>
      <c r="AY21" s="511">
        <f t="shared" si="23"/>
        <v>0</v>
      </c>
      <c r="AZ21" s="512">
        <f>'ORÇAMENTO GERAL'!$J$74</f>
        <v>933.19</v>
      </c>
      <c r="BA21" s="511">
        <f t="shared" si="24"/>
        <v>0</v>
      </c>
      <c r="BB21" s="512">
        <f>'ORÇAMENTO GERAL'!$J$75</f>
        <v>1.92</v>
      </c>
      <c r="BC21" s="516">
        <f t="shared" si="25"/>
        <v>0</v>
      </c>
    </row>
    <row r="22" spans="1:55" ht="45" customHeight="1" hidden="1">
      <c r="A22" s="467">
        <v>10</v>
      </c>
      <c r="B22" s="468"/>
      <c r="C22" s="469"/>
      <c r="D22" s="470"/>
      <c r="E22" s="475"/>
      <c r="F22" s="475">
        <f t="shared" si="0"/>
        <v>0</v>
      </c>
      <c r="G22" s="475">
        <f t="shared" si="1"/>
        <v>0</v>
      </c>
      <c r="H22" s="475">
        <f t="shared" si="2"/>
        <v>0</v>
      </c>
      <c r="I22" s="475">
        <f t="shared" si="3"/>
        <v>0</v>
      </c>
      <c r="J22" s="475">
        <f t="shared" si="26"/>
        <v>0</v>
      </c>
      <c r="K22" s="475">
        <f t="shared" si="27"/>
        <v>0</v>
      </c>
      <c r="L22" s="475">
        <f t="shared" si="28"/>
        <v>0</v>
      </c>
      <c r="M22" s="475">
        <f t="shared" si="29"/>
        <v>0</v>
      </c>
      <c r="N22" s="475">
        <f t="shared" si="30"/>
        <v>0</v>
      </c>
      <c r="O22" s="475">
        <f t="shared" si="31"/>
        <v>0</v>
      </c>
      <c r="P22" s="475">
        <f t="shared" si="4"/>
        <v>0</v>
      </c>
      <c r="Q22" s="475">
        <f t="shared" si="5"/>
        <v>0</v>
      </c>
      <c r="R22" s="518">
        <v>0.035</v>
      </c>
      <c r="S22" s="475">
        <f t="shared" si="6"/>
        <v>0</v>
      </c>
      <c r="T22" s="476">
        <f t="shared" si="7"/>
        <v>0</v>
      </c>
      <c r="V22" s="510">
        <f t="shared" si="8"/>
        <v>10</v>
      </c>
      <c r="W22" s="511">
        <f t="shared" si="9"/>
        <v>0</v>
      </c>
      <c r="X22" s="512">
        <f>'ORÇAMENTO GERAL'!$J$16</f>
        <v>298.93</v>
      </c>
      <c r="Y22" s="511">
        <f t="shared" si="10"/>
        <v>0</v>
      </c>
      <c r="Z22" s="512">
        <f>'ORÇAMENTO GERAL'!$J$17</f>
        <v>117.26</v>
      </c>
      <c r="AA22" s="511">
        <f t="shared" si="11"/>
        <v>0</v>
      </c>
      <c r="AB22" s="512">
        <f>'ORÇAMENTO GERAL'!$J$18</f>
        <v>16.81</v>
      </c>
      <c r="AC22" s="511">
        <f t="shared" si="12"/>
        <v>0</v>
      </c>
      <c r="AD22" s="512">
        <f>'ORÇAMENTO GERAL'!$J$19</f>
        <v>51.89</v>
      </c>
      <c r="AE22" s="511">
        <f t="shared" si="13"/>
        <v>0</v>
      </c>
      <c r="AF22" s="512">
        <f>'ORÇAMENTO GERAL'!$J$20</f>
        <v>41.23</v>
      </c>
      <c r="AG22" s="511">
        <f t="shared" si="14"/>
        <v>0</v>
      </c>
      <c r="AH22" s="512">
        <f>'ORÇAMENTO GERAL'!$J$61</f>
        <v>0.45</v>
      </c>
      <c r="AI22" s="511">
        <f t="shared" si="15"/>
        <v>0</v>
      </c>
      <c r="AJ22" s="512">
        <f>'ORÇAMENTO GERAL'!$J$62</f>
        <v>2.66</v>
      </c>
      <c r="AK22" s="511">
        <f t="shared" si="16"/>
        <v>0</v>
      </c>
      <c r="AL22" s="512">
        <f>'ORÇAMENTO GERAL'!$J$63</f>
        <v>5.16</v>
      </c>
      <c r="AM22" s="511">
        <f t="shared" si="17"/>
        <v>0</v>
      </c>
      <c r="AN22" s="512">
        <f>'ORÇAMENTO GERAL'!$J$64</f>
        <v>3.38</v>
      </c>
      <c r="AO22" s="511">
        <f t="shared" si="18"/>
        <v>0</v>
      </c>
      <c r="AP22" s="512">
        <f>'ORÇAMENTO GERAL'!$J$67</f>
        <v>315.57</v>
      </c>
      <c r="AQ22" s="511">
        <f t="shared" si="19"/>
        <v>0</v>
      </c>
      <c r="AR22" s="512">
        <f>'ORÇAMENTO GERAL'!$J$68</f>
        <v>1.71</v>
      </c>
      <c r="AS22" s="511">
        <f t="shared" si="20"/>
        <v>0</v>
      </c>
      <c r="AT22" s="512">
        <f>'ORÇAMENTO GERAL'!$J$69</f>
        <v>3.38</v>
      </c>
      <c r="AU22" s="511">
        <f t="shared" si="21"/>
        <v>0</v>
      </c>
      <c r="AV22" s="512">
        <f>'ORÇAMENTO GERAL'!$J$72</f>
        <v>7.29</v>
      </c>
      <c r="AW22" s="511">
        <f t="shared" si="22"/>
        <v>0</v>
      </c>
      <c r="AX22" s="512">
        <f>'ORÇAMENTO GERAL'!$J$73</f>
        <v>3.47</v>
      </c>
      <c r="AY22" s="511">
        <f t="shared" si="23"/>
        <v>0</v>
      </c>
      <c r="AZ22" s="512">
        <f>'ORÇAMENTO GERAL'!$J$74</f>
        <v>933.19</v>
      </c>
      <c r="BA22" s="511">
        <f t="shared" si="24"/>
        <v>0</v>
      </c>
      <c r="BB22" s="512">
        <f>'ORÇAMENTO GERAL'!$J$75</f>
        <v>1.92</v>
      </c>
      <c r="BC22" s="516">
        <f t="shared" si="25"/>
        <v>0</v>
      </c>
    </row>
    <row r="23" spans="1:55" ht="45" customHeight="1" hidden="1">
      <c r="A23" s="491">
        <v>11</v>
      </c>
      <c r="B23" s="468"/>
      <c r="C23" s="469"/>
      <c r="D23" s="470"/>
      <c r="E23" s="475"/>
      <c r="F23" s="475">
        <f t="shared" si="0"/>
        <v>0</v>
      </c>
      <c r="G23" s="475">
        <f t="shared" si="1"/>
        <v>0</v>
      </c>
      <c r="H23" s="475">
        <f t="shared" si="2"/>
        <v>0</v>
      </c>
      <c r="I23" s="475">
        <f t="shared" si="3"/>
        <v>0</v>
      </c>
      <c r="J23" s="475">
        <f t="shared" si="26"/>
        <v>0</v>
      </c>
      <c r="K23" s="475">
        <f t="shared" si="27"/>
        <v>0</v>
      </c>
      <c r="L23" s="475">
        <f t="shared" si="28"/>
        <v>0</v>
      </c>
      <c r="M23" s="475">
        <f t="shared" si="29"/>
        <v>0</v>
      </c>
      <c r="N23" s="475">
        <f t="shared" si="30"/>
        <v>0</v>
      </c>
      <c r="O23" s="475">
        <f t="shared" si="31"/>
        <v>0</v>
      </c>
      <c r="P23" s="475">
        <f t="shared" si="4"/>
        <v>0</v>
      </c>
      <c r="Q23" s="475">
        <f t="shared" si="5"/>
        <v>0</v>
      </c>
      <c r="R23" s="518">
        <v>0.035</v>
      </c>
      <c r="S23" s="475">
        <f t="shared" si="6"/>
        <v>0</v>
      </c>
      <c r="T23" s="476">
        <f t="shared" si="7"/>
        <v>0</v>
      </c>
      <c r="V23" s="510">
        <f t="shared" si="8"/>
        <v>11</v>
      </c>
      <c r="W23" s="511">
        <f t="shared" si="9"/>
        <v>0</v>
      </c>
      <c r="X23" s="512">
        <f>'ORÇAMENTO GERAL'!$J$16</f>
        <v>298.93</v>
      </c>
      <c r="Y23" s="511">
        <f t="shared" si="10"/>
        <v>0</v>
      </c>
      <c r="Z23" s="512">
        <f>'ORÇAMENTO GERAL'!$J$17</f>
        <v>117.26</v>
      </c>
      <c r="AA23" s="511">
        <f t="shared" si="11"/>
        <v>0</v>
      </c>
      <c r="AB23" s="512">
        <f>'ORÇAMENTO GERAL'!$J$18</f>
        <v>16.81</v>
      </c>
      <c r="AC23" s="511">
        <f t="shared" si="12"/>
        <v>0</v>
      </c>
      <c r="AD23" s="512">
        <f>'ORÇAMENTO GERAL'!$J$19</f>
        <v>51.89</v>
      </c>
      <c r="AE23" s="511">
        <f t="shared" si="13"/>
        <v>0</v>
      </c>
      <c r="AF23" s="512">
        <f>'ORÇAMENTO GERAL'!$J$20</f>
        <v>41.23</v>
      </c>
      <c r="AG23" s="511">
        <f t="shared" si="14"/>
        <v>0</v>
      </c>
      <c r="AH23" s="512">
        <f>'ORÇAMENTO GERAL'!$J$61</f>
        <v>0.45</v>
      </c>
      <c r="AI23" s="511">
        <f t="shared" si="15"/>
        <v>0</v>
      </c>
      <c r="AJ23" s="512">
        <f>'ORÇAMENTO GERAL'!$J$62</f>
        <v>2.66</v>
      </c>
      <c r="AK23" s="511">
        <f t="shared" si="16"/>
        <v>0</v>
      </c>
      <c r="AL23" s="512">
        <f>'ORÇAMENTO GERAL'!$J$63</f>
        <v>5.16</v>
      </c>
      <c r="AM23" s="511">
        <f t="shared" si="17"/>
        <v>0</v>
      </c>
      <c r="AN23" s="512">
        <f>'ORÇAMENTO GERAL'!$J$64</f>
        <v>3.38</v>
      </c>
      <c r="AO23" s="511">
        <f t="shared" si="18"/>
        <v>0</v>
      </c>
      <c r="AP23" s="512">
        <f>'ORÇAMENTO GERAL'!$J$67</f>
        <v>315.57</v>
      </c>
      <c r="AQ23" s="511">
        <f t="shared" si="19"/>
        <v>0</v>
      </c>
      <c r="AR23" s="512">
        <f>'ORÇAMENTO GERAL'!$J$68</f>
        <v>1.71</v>
      </c>
      <c r="AS23" s="511">
        <f t="shared" si="20"/>
        <v>0</v>
      </c>
      <c r="AT23" s="512">
        <f>'ORÇAMENTO GERAL'!$J$69</f>
        <v>3.38</v>
      </c>
      <c r="AU23" s="511">
        <f t="shared" si="21"/>
        <v>0</v>
      </c>
      <c r="AV23" s="512">
        <f>'ORÇAMENTO GERAL'!$J$72</f>
        <v>7.29</v>
      </c>
      <c r="AW23" s="511">
        <f t="shared" si="22"/>
        <v>0</v>
      </c>
      <c r="AX23" s="512">
        <f>'ORÇAMENTO GERAL'!$J$73</f>
        <v>3.47</v>
      </c>
      <c r="AY23" s="511">
        <f t="shared" si="23"/>
        <v>0</v>
      </c>
      <c r="AZ23" s="512">
        <f>'ORÇAMENTO GERAL'!$J$74</f>
        <v>933.19</v>
      </c>
      <c r="BA23" s="511">
        <f t="shared" si="24"/>
        <v>0</v>
      </c>
      <c r="BB23" s="512">
        <f>'ORÇAMENTO GERAL'!$J$75</f>
        <v>1.92</v>
      </c>
      <c r="BC23" s="516">
        <f t="shared" si="25"/>
        <v>0</v>
      </c>
    </row>
    <row r="24" spans="1:55" s="472" customFormat="1" ht="45" customHeight="1" hidden="1">
      <c r="A24" s="467">
        <v>12</v>
      </c>
      <c r="B24" s="468"/>
      <c r="C24" s="469"/>
      <c r="D24" s="470"/>
      <c r="E24" s="475"/>
      <c r="F24" s="475">
        <f t="shared" si="0"/>
        <v>0</v>
      </c>
      <c r="G24" s="475">
        <f t="shared" si="1"/>
        <v>0</v>
      </c>
      <c r="H24" s="475">
        <f t="shared" si="2"/>
        <v>0</v>
      </c>
      <c r="I24" s="475">
        <f t="shared" si="3"/>
        <v>0</v>
      </c>
      <c r="J24" s="475">
        <f t="shared" si="26"/>
        <v>0</v>
      </c>
      <c r="K24" s="475">
        <f t="shared" si="27"/>
        <v>0</v>
      </c>
      <c r="L24" s="475">
        <f t="shared" si="28"/>
        <v>0</v>
      </c>
      <c r="M24" s="475">
        <f t="shared" si="29"/>
        <v>0</v>
      </c>
      <c r="N24" s="475">
        <f t="shared" si="30"/>
        <v>0</v>
      </c>
      <c r="O24" s="475">
        <f t="shared" si="31"/>
        <v>0</v>
      </c>
      <c r="P24" s="475">
        <f t="shared" si="4"/>
        <v>0</v>
      </c>
      <c r="Q24" s="475">
        <f t="shared" si="5"/>
        <v>0</v>
      </c>
      <c r="R24" s="518">
        <v>0.035</v>
      </c>
      <c r="S24" s="475">
        <f t="shared" si="6"/>
        <v>0</v>
      </c>
      <c r="T24" s="476">
        <f t="shared" si="7"/>
        <v>0</v>
      </c>
      <c r="V24" s="510">
        <f t="shared" si="8"/>
        <v>12</v>
      </c>
      <c r="W24" s="511">
        <f t="shared" si="9"/>
        <v>0</v>
      </c>
      <c r="X24" s="512">
        <f>'ORÇAMENTO GERAL'!$J$16</f>
        <v>298.93</v>
      </c>
      <c r="Y24" s="511">
        <f t="shared" si="10"/>
        <v>0</v>
      </c>
      <c r="Z24" s="512">
        <f>'ORÇAMENTO GERAL'!$J$17</f>
        <v>117.26</v>
      </c>
      <c r="AA24" s="511">
        <f t="shared" si="11"/>
        <v>0</v>
      </c>
      <c r="AB24" s="512">
        <f>'ORÇAMENTO GERAL'!$J$18</f>
        <v>16.81</v>
      </c>
      <c r="AC24" s="511">
        <f t="shared" si="12"/>
        <v>0</v>
      </c>
      <c r="AD24" s="512">
        <f>'ORÇAMENTO GERAL'!$J$19</f>
        <v>51.89</v>
      </c>
      <c r="AE24" s="511">
        <f t="shared" si="13"/>
        <v>0</v>
      </c>
      <c r="AF24" s="512">
        <f>'ORÇAMENTO GERAL'!$J$20</f>
        <v>41.23</v>
      </c>
      <c r="AG24" s="511">
        <f t="shared" si="14"/>
        <v>0</v>
      </c>
      <c r="AH24" s="512">
        <f>'ORÇAMENTO GERAL'!$J$61</f>
        <v>0.45</v>
      </c>
      <c r="AI24" s="511">
        <f t="shared" si="15"/>
        <v>0</v>
      </c>
      <c r="AJ24" s="512">
        <f>'ORÇAMENTO GERAL'!$J$62</f>
        <v>2.66</v>
      </c>
      <c r="AK24" s="511">
        <f t="shared" si="16"/>
        <v>0</v>
      </c>
      <c r="AL24" s="512">
        <f>'ORÇAMENTO GERAL'!$J$63</f>
        <v>5.16</v>
      </c>
      <c r="AM24" s="511">
        <f t="shared" si="17"/>
        <v>0</v>
      </c>
      <c r="AN24" s="512">
        <f>'ORÇAMENTO GERAL'!$J$64</f>
        <v>3.38</v>
      </c>
      <c r="AO24" s="511">
        <f t="shared" si="18"/>
        <v>0</v>
      </c>
      <c r="AP24" s="512">
        <f>'ORÇAMENTO GERAL'!$J$67</f>
        <v>315.57</v>
      </c>
      <c r="AQ24" s="511">
        <f t="shared" si="19"/>
        <v>0</v>
      </c>
      <c r="AR24" s="512">
        <f>'ORÇAMENTO GERAL'!$J$68</f>
        <v>1.71</v>
      </c>
      <c r="AS24" s="511">
        <f t="shared" si="20"/>
        <v>0</v>
      </c>
      <c r="AT24" s="512">
        <f>'ORÇAMENTO GERAL'!$J$69</f>
        <v>3.38</v>
      </c>
      <c r="AU24" s="511">
        <f t="shared" si="21"/>
        <v>0</v>
      </c>
      <c r="AV24" s="512">
        <f>'ORÇAMENTO GERAL'!$J$72</f>
        <v>7.29</v>
      </c>
      <c r="AW24" s="511">
        <f t="shared" si="22"/>
        <v>0</v>
      </c>
      <c r="AX24" s="512">
        <f>'ORÇAMENTO GERAL'!$J$73</f>
        <v>3.47</v>
      </c>
      <c r="AY24" s="511">
        <f t="shared" si="23"/>
        <v>0</v>
      </c>
      <c r="AZ24" s="512">
        <f>'ORÇAMENTO GERAL'!$J$74</f>
        <v>933.19</v>
      </c>
      <c r="BA24" s="511">
        <f t="shared" si="24"/>
        <v>0</v>
      </c>
      <c r="BB24" s="512">
        <f>'ORÇAMENTO GERAL'!$J$75</f>
        <v>1.92</v>
      </c>
      <c r="BC24" s="516">
        <f t="shared" si="25"/>
        <v>0</v>
      </c>
    </row>
    <row r="25" spans="1:55" s="472" customFormat="1" ht="45" customHeight="1" hidden="1">
      <c r="A25" s="491">
        <v>13</v>
      </c>
      <c r="B25" s="468"/>
      <c r="C25" s="469"/>
      <c r="D25" s="470"/>
      <c r="E25" s="475"/>
      <c r="F25" s="475">
        <f t="shared" si="0"/>
        <v>0</v>
      </c>
      <c r="G25" s="475">
        <f t="shared" si="1"/>
        <v>0</v>
      </c>
      <c r="H25" s="475">
        <f t="shared" si="2"/>
        <v>0</v>
      </c>
      <c r="I25" s="475">
        <f t="shared" si="3"/>
        <v>0</v>
      </c>
      <c r="J25" s="475">
        <f t="shared" si="26"/>
        <v>0</v>
      </c>
      <c r="K25" s="475">
        <f t="shared" si="27"/>
        <v>0</v>
      </c>
      <c r="L25" s="475">
        <f t="shared" si="28"/>
        <v>0</v>
      </c>
      <c r="M25" s="475">
        <f t="shared" si="29"/>
        <v>0</v>
      </c>
      <c r="N25" s="475">
        <f t="shared" si="30"/>
        <v>0</v>
      </c>
      <c r="O25" s="475">
        <f t="shared" si="31"/>
        <v>0</v>
      </c>
      <c r="P25" s="475">
        <f t="shared" si="4"/>
        <v>0</v>
      </c>
      <c r="Q25" s="475">
        <f t="shared" si="5"/>
        <v>0</v>
      </c>
      <c r="R25" s="518">
        <v>0.035</v>
      </c>
      <c r="S25" s="475">
        <f t="shared" si="6"/>
        <v>0</v>
      </c>
      <c r="T25" s="476">
        <f t="shared" si="7"/>
        <v>0</v>
      </c>
      <c r="V25" s="510">
        <f t="shared" si="8"/>
        <v>13</v>
      </c>
      <c r="W25" s="511">
        <f t="shared" si="9"/>
        <v>0</v>
      </c>
      <c r="X25" s="512">
        <f>'ORÇAMENTO GERAL'!$J$16</f>
        <v>298.93</v>
      </c>
      <c r="Y25" s="511">
        <f t="shared" si="10"/>
        <v>0</v>
      </c>
      <c r="Z25" s="512">
        <f>'ORÇAMENTO GERAL'!$J$17</f>
        <v>117.26</v>
      </c>
      <c r="AA25" s="511">
        <f t="shared" si="11"/>
        <v>0</v>
      </c>
      <c r="AB25" s="512">
        <f>'ORÇAMENTO GERAL'!$J$18</f>
        <v>16.81</v>
      </c>
      <c r="AC25" s="511">
        <f t="shared" si="12"/>
        <v>0</v>
      </c>
      <c r="AD25" s="512">
        <f>'ORÇAMENTO GERAL'!$J$19</f>
        <v>51.89</v>
      </c>
      <c r="AE25" s="511">
        <f t="shared" si="13"/>
        <v>0</v>
      </c>
      <c r="AF25" s="512">
        <f>'ORÇAMENTO GERAL'!$J$20</f>
        <v>41.23</v>
      </c>
      <c r="AG25" s="511">
        <f t="shared" si="14"/>
        <v>0</v>
      </c>
      <c r="AH25" s="512">
        <f>'ORÇAMENTO GERAL'!$J$61</f>
        <v>0.45</v>
      </c>
      <c r="AI25" s="511">
        <f t="shared" si="15"/>
        <v>0</v>
      </c>
      <c r="AJ25" s="512">
        <f>'ORÇAMENTO GERAL'!$J$62</f>
        <v>2.66</v>
      </c>
      <c r="AK25" s="511">
        <f t="shared" si="16"/>
        <v>0</v>
      </c>
      <c r="AL25" s="512">
        <f>'ORÇAMENTO GERAL'!$J$63</f>
        <v>5.16</v>
      </c>
      <c r="AM25" s="511">
        <f t="shared" si="17"/>
        <v>0</v>
      </c>
      <c r="AN25" s="512">
        <f>'ORÇAMENTO GERAL'!$J$64</f>
        <v>3.38</v>
      </c>
      <c r="AO25" s="511">
        <f t="shared" si="18"/>
        <v>0</v>
      </c>
      <c r="AP25" s="512">
        <f>'ORÇAMENTO GERAL'!$J$67</f>
        <v>315.57</v>
      </c>
      <c r="AQ25" s="511">
        <f t="shared" si="19"/>
        <v>0</v>
      </c>
      <c r="AR25" s="512">
        <f>'ORÇAMENTO GERAL'!$J$68</f>
        <v>1.71</v>
      </c>
      <c r="AS25" s="511">
        <f t="shared" si="20"/>
        <v>0</v>
      </c>
      <c r="AT25" s="512">
        <f>'ORÇAMENTO GERAL'!$J$69</f>
        <v>3.38</v>
      </c>
      <c r="AU25" s="511">
        <f t="shared" si="21"/>
        <v>0</v>
      </c>
      <c r="AV25" s="512">
        <f>'ORÇAMENTO GERAL'!$J$72</f>
        <v>7.29</v>
      </c>
      <c r="AW25" s="511">
        <f t="shared" si="22"/>
        <v>0</v>
      </c>
      <c r="AX25" s="512">
        <f>'ORÇAMENTO GERAL'!$J$73</f>
        <v>3.47</v>
      </c>
      <c r="AY25" s="511">
        <f t="shared" si="23"/>
        <v>0</v>
      </c>
      <c r="AZ25" s="512">
        <f>'ORÇAMENTO GERAL'!$J$74</f>
        <v>933.19</v>
      </c>
      <c r="BA25" s="511">
        <f t="shared" si="24"/>
        <v>0</v>
      </c>
      <c r="BB25" s="512">
        <f>'ORÇAMENTO GERAL'!$J$75</f>
        <v>1.92</v>
      </c>
      <c r="BC25" s="516">
        <f t="shared" si="25"/>
        <v>0</v>
      </c>
    </row>
    <row r="26" spans="1:55" s="472" customFormat="1" ht="45" customHeight="1" hidden="1">
      <c r="A26" s="467">
        <v>14</v>
      </c>
      <c r="B26" s="468"/>
      <c r="C26" s="469"/>
      <c r="D26" s="470"/>
      <c r="E26" s="475"/>
      <c r="F26" s="475">
        <f t="shared" si="0"/>
        <v>0</v>
      </c>
      <c r="G26" s="475">
        <f t="shared" si="1"/>
        <v>0</v>
      </c>
      <c r="H26" s="475">
        <f t="shared" si="2"/>
        <v>0</v>
      </c>
      <c r="I26" s="475">
        <f t="shared" si="3"/>
        <v>0</v>
      </c>
      <c r="J26" s="475">
        <f t="shared" si="26"/>
        <v>0</v>
      </c>
      <c r="K26" s="475">
        <f t="shared" si="27"/>
        <v>0</v>
      </c>
      <c r="L26" s="475">
        <f t="shared" si="28"/>
        <v>0</v>
      </c>
      <c r="M26" s="475">
        <f t="shared" si="29"/>
        <v>0</v>
      </c>
      <c r="N26" s="475">
        <f t="shared" si="30"/>
        <v>0</v>
      </c>
      <c r="O26" s="475">
        <f t="shared" si="31"/>
        <v>0</v>
      </c>
      <c r="P26" s="475">
        <f t="shared" si="4"/>
        <v>0</v>
      </c>
      <c r="Q26" s="475">
        <f t="shared" si="5"/>
        <v>0</v>
      </c>
      <c r="R26" s="518">
        <v>0.035</v>
      </c>
      <c r="S26" s="475">
        <f t="shared" si="6"/>
        <v>0</v>
      </c>
      <c r="T26" s="476">
        <f t="shared" si="7"/>
        <v>0</v>
      </c>
      <c r="V26" s="510">
        <f t="shared" si="8"/>
        <v>14</v>
      </c>
      <c r="W26" s="511">
        <f t="shared" si="9"/>
        <v>0</v>
      </c>
      <c r="X26" s="512">
        <f>'ORÇAMENTO GERAL'!$J$16</f>
        <v>298.93</v>
      </c>
      <c r="Y26" s="511">
        <f t="shared" si="10"/>
        <v>0</v>
      </c>
      <c r="Z26" s="512">
        <f>'ORÇAMENTO GERAL'!$J$17</f>
        <v>117.26</v>
      </c>
      <c r="AA26" s="511">
        <f t="shared" si="11"/>
        <v>0</v>
      </c>
      <c r="AB26" s="512">
        <f>'ORÇAMENTO GERAL'!$J$18</f>
        <v>16.81</v>
      </c>
      <c r="AC26" s="511">
        <f t="shared" si="12"/>
        <v>0</v>
      </c>
      <c r="AD26" s="512">
        <f>'ORÇAMENTO GERAL'!$J$19</f>
        <v>51.89</v>
      </c>
      <c r="AE26" s="511">
        <f t="shared" si="13"/>
        <v>0</v>
      </c>
      <c r="AF26" s="512">
        <f>'ORÇAMENTO GERAL'!$J$20</f>
        <v>41.23</v>
      </c>
      <c r="AG26" s="511">
        <f t="shared" si="14"/>
        <v>0</v>
      </c>
      <c r="AH26" s="512">
        <f>'ORÇAMENTO GERAL'!$J$61</f>
        <v>0.45</v>
      </c>
      <c r="AI26" s="511">
        <f t="shared" si="15"/>
        <v>0</v>
      </c>
      <c r="AJ26" s="512">
        <f>'ORÇAMENTO GERAL'!$J$62</f>
        <v>2.66</v>
      </c>
      <c r="AK26" s="511">
        <f t="shared" si="16"/>
        <v>0</v>
      </c>
      <c r="AL26" s="512">
        <f>'ORÇAMENTO GERAL'!$J$63</f>
        <v>5.16</v>
      </c>
      <c r="AM26" s="511">
        <f t="shared" si="17"/>
        <v>0</v>
      </c>
      <c r="AN26" s="512">
        <f>'ORÇAMENTO GERAL'!$J$64</f>
        <v>3.38</v>
      </c>
      <c r="AO26" s="511">
        <f t="shared" si="18"/>
        <v>0</v>
      </c>
      <c r="AP26" s="512">
        <f>'ORÇAMENTO GERAL'!$J$67</f>
        <v>315.57</v>
      </c>
      <c r="AQ26" s="511">
        <f t="shared" si="19"/>
        <v>0</v>
      </c>
      <c r="AR26" s="512">
        <f>'ORÇAMENTO GERAL'!$J$68</f>
        <v>1.71</v>
      </c>
      <c r="AS26" s="511">
        <f t="shared" si="20"/>
        <v>0</v>
      </c>
      <c r="AT26" s="512">
        <f>'ORÇAMENTO GERAL'!$J$69</f>
        <v>3.38</v>
      </c>
      <c r="AU26" s="511">
        <f t="shared" si="21"/>
        <v>0</v>
      </c>
      <c r="AV26" s="512">
        <f>'ORÇAMENTO GERAL'!$J$72</f>
        <v>7.29</v>
      </c>
      <c r="AW26" s="511">
        <f t="shared" si="22"/>
        <v>0</v>
      </c>
      <c r="AX26" s="512">
        <f>'ORÇAMENTO GERAL'!$J$73</f>
        <v>3.47</v>
      </c>
      <c r="AY26" s="511">
        <f t="shared" si="23"/>
        <v>0</v>
      </c>
      <c r="AZ26" s="512">
        <f>'ORÇAMENTO GERAL'!$J$74</f>
        <v>933.19</v>
      </c>
      <c r="BA26" s="511">
        <f t="shared" si="24"/>
        <v>0</v>
      </c>
      <c r="BB26" s="512">
        <f>'ORÇAMENTO GERAL'!$J$75</f>
        <v>1.92</v>
      </c>
      <c r="BC26" s="516">
        <f t="shared" si="25"/>
        <v>0</v>
      </c>
    </row>
    <row r="27" spans="1:55" s="472" customFormat="1" ht="45" customHeight="1" hidden="1">
      <c r="A27" s="491">
        <v>15</v>
      </c>
      <c r="B27" s="468"/>
      <c r="C27" s="469"/>
      <c r="D27" s="470"/>
      <c r="E27" s="475"/>
      <c r="F27" s="475">
        <f t="shared" si="0"/>
        <v>0</v>
      </c>
      <c r="G27" s="475">
        <f t="shared" si="1"/>
        <v>0</v>
      </c>
      <c r="H27" s="475">
        <f t="shared" si="2"/>
        <v>0</v>
      </c>
      <c r="I27" s="475">
        <f t="shared" si="3"/>
        <v>0</v>
      </c>
      <c r="J27" s="475">
        <f t="shared" si="26"/>
        <v>0</v>
      </c>
      <c r="K27" s="475">
        <f t="shared" si="27"/>
        <v>0</v>
      </c>
      <c r="L27" s="475">
        <f t="shared" si="28"/>
        <v>0</v>
      </c>
      <c r="M27" s="475">
        <f t="shared" si="29"/>
        <v>0</v>
      </c>
      <c r="N27" s="475">
        <f t="shared" si="30"/>
        <v>0</v>
      </c>
      <c r="O27" s="475">
        <f t="shared" si="31"/>
        <v>0</v>
      </c>
      <c r="P27" s="475">
        <f t="shared" si="4"/>
        <v>0</v>
      </c>
      <c r="Q27" s="475">
        <f t="shared" si="5"/>
        <v>0</v>
      </c>
      <c r="R27" s="518">
        <v>0.035</v>
      </c>
      <c r="S27" s="475">
        <f t="shared" si="6"/>
        <v>0</v>
      </c>
      <c r="T27" s="476">
        <f t="shared" si="7"/>
        <v>0</v>
      </c>
      <c r="V27" s="510">
        <f t="shared" si="8"/>
        <v>15</v>
      </c>
      <c r="W27" s="511">
        <f t="shared" si="9"/>
        <v>0</v>
      </c>
      <c r="X27" s="512">
        <f>'ORÇAMENTO GERAL'!$J$16</f>
        <v>298.93</v>
      </c>
      <c r="Y27" s="511">
        <f t="shared" si="10"/>
        <v>0</v>
      </c>
      <c r="Z27" s="512">
        <f>'ORÇAMENTO GERAL'!$J$17</f>
        <v>117.26</v>
      </c>
      <c r="AA27" s="511">
        <f t="shared" si="11"/>
        <v>0</v>
      </c>
      <c r="AB27" s="512">
        <f>'ORÇAMENTO GERAL'!$J$18</f>
        <v>16.81</v>
      </c>
      <c r="AC27" s="511">
        <f t="shared" si="12"/>
        <v>0</v>
      </c>
      <c r="AD27" s="512">
        <f>'ORÇAMENTO GERAL'!$J$19</f>
        <v>51.89</v>
      </c>
      <c r="AE27" s="511">
        <f t="shared" si="13"/>
        <v>0</v>
      </c>
      <c r="AF27" s="512">
        <f>'ORÇAMENTO GERAL'!$J$20</f>
        <v>41.23</v>
      </c>
      <c r="AG27" s="511">
        <f t="shared" si="14"/>
        <v>0</v>
      </c>
      <c r="AH27" s="512">
        <f>'ORÇAMENTO GERAL'!$J$61</f>
        <v>0.45</v>
      </c>
      <c r="AI27" s="511">
        <f t="shared" si="15"/>
        <v>0</v>
      </c>
      <c r="AJ27" s="512">
        <f>'ORÇAMENTO GERAL'!$J$62</f>
        <v>2.66</v>
      </c>
      <c r="AK27" s="511">
        <f t="shared" si="16"/>
        <v>0</v>
      </c>
      <c r="AL27" s="512">
        <f>'ORÇAMENTO GERAL'!$J$63</f>
        <v>5.16</v>
      </c>
      <c r="AM27" s="511">
        <f t="shared" si="17"/>
        <v>0</v>
      </c>
      <c r="AN27" s="512">
        <f>'ORÇAMENTO GERAL'!$J$64</f>
        <v>3.38</v>
      </c>
      <c r="AO27" s="511">
        <f t="shared" si="18"/>
        <v>0</v>
      </c>
      <c r="AP27" s="512">
        <f>'ORÇAMENTO GERAL'!$J$67</f>
        <v>315.57</v>
      </c>
      <c r="AQ27" s="511">
        <f t="shared" si="19"/>
        <v>0</v>
      </c>
      <c r="AR27" s="512">
        <f>'ORÇAMENTO GERAL'!$J$68</f>
        <v>1.71</v>
      </c>
      <c r="AS27" s="511">
        <f t="shared" si="20"/>
        <v>0</v>
      </c>
      <c r="AT27" s="512">
        <f>'ORÇAMENTO GERAL'!$J$69</f>
        <v>3.38</v>
      </c>
      <c r="AU27" s="511">
        <f t="shared" si="21"/>
        <v>0</v>
      </c>
      <c r="AV27" s="512">
        <f>'ORÇAMENTO GERAL'!$J$72</f>
        <v>7.29</v>
      </c>
      <c r="AW27" s="511">
        <f t="shared" si="22"/>
        <v>0</v>
      </c>
      <c r="AX27" s="512">
        <f>'ORÇAMENTO GERAL'!$J$73</f>
        <v>3.47</v>
      </c>
      <c r="AY27" s="511">
        <f t="shared" si="23"/>
        <v>0</v>
      </c>
      <c r="AZ27" s="512">
        <f>'ORÇAMENTO GERAL'!$J$74</f>
        <v>933.19</v>
      </c>
      <c r="BA27" s="511">
        <f t="shared" si="24"/>
        <v>0</v>
      </c>
      <c r="BB27" s="512">
        <f>'ORÇAMENTO GERAL'!$J$75</f>
        <v>1.92</v>
      </c>
      <c r="BC27" s="516">
        <f t="shared" si="25"/>
        <v>0</v>
      </c>
    </row>
    <row r="28" spans="1:55" s="472" customFormat="1" ht="45" customHeight="1" hidden="1">
      <c r="A28" s="467">
        <v>16</v>
      </c>
      <c r="B28" s="468"/>
      <c r="C28" s="469"/>
      <c r="D28" s="470"/>
      <c r="E28" s="475"/>
      <c r="F28" s="475">
        <f t="shared" si="0"/>
        <v>0</v>
      </c>
      <c r="G28" s="475">
        <f t="shared" si="1"/>
        <v>0</v>
      </c>
      <c r="H28" s="475">
        <f t="shared" si="2"/>
        <v>0</v>
      </c>
      <c r="I28" s="475">
        <f t="shared" si="3"/>
        <v>0</v>
      </c>
      <c r="J28" s="475">
        <f t="shared" si="26"/>
        <v>0</v>
      </c>
      <c r="K28" s="475">
        <f t="shared" si="27"/>
        <v>0</v>
      </c>
      <c r="L28" s="475">
        <f t="shared" si="28"/>
        <v>0</v>
      </c>
      <c r="M28" s="475">
        <f t="shared" si="29"/>
        <v>0</v>
      </c>
      <c r="N28" s="475">
        <f t="shared" si="30"/>
        <v>0</v>
      </c>
      <c r="O28" s="475">
        <f t="shared" si="31"/>
        <v>0</v>
      </c>
      <c r="P28" s="475">
        <f t="shared" si="4"/>
        <v>0</v>
      </c>
      <c r="Q28" s="475">
        <f t="shared" si="5"/>
        <v>0</v>
      </c>
      <c r="R28" s="518">
        <v>0.035</v>
      </c>
      <c r="S28" s="475">
        <f t="shared" si="6"/>
        <v>0</v>
      </c>
      <c r="T28" s="476">
        <f t="shared" si="7"/>
        <v>0</v>
      </c>
      <c r="V28" s="510">
        <f t="shared" si="8"/>
        <v>16</v>
      </c>
      <c r="W28" s="511">
        <f t="shared" si="9"/>
        <v>0</v>
      </c>
      <c r="X28" s="512">
        <f>'ORÇAMENTO GERAL'!$J$16</f>
        <v>298.93</v>
      </c>
      <c r="Y28" s="511">
        <f t="shared" si="10"/>
        <v>0</v>
      </c>
      <c r="Z28" s="512">
        <f>'ORÇAMENTO GERAL'!$J$17</f>
        <v>117.26</v>
      </c>
      <c r="AA28" s="511">
        <f t="shared" si="11"/>
        <v>0</v>
      </c>
      <c r="AB28" s="512">
        <f>'ORÇAMENTO GERAL'!$J$18</f>
        <v>16.81</v>
      </c>
      <c r="AC28" s="511">
        <f t="shared" si="12"/>
        <v>0</v>
      </c>
      <c r="AD28" s="512">
        <f>'ORÇAMENTO GERAL'!$J$19</f>
        <v>51.89</v>
      </c>
      <c r="AE28" s="511">
        <f t="shared" si="13"/>
        <v>0</v>
      </c>
      <c r="AF28" s="512">
        <f>'ORÇAMENTO GERAL'!$J$20</f>
        <v>41.23</v>
      </c>
      <c r="AG28" s="511">
        <f t="shared" si="14"/>
        <v>0</v>
      </c>
      <c r="AH28" s="512">
        <f>'ORÇAMENTO GERAL'!$J$61</f>
        <v>0.45</v>
      </c>
      <c r="AI28" s="511">
        <f t="shared" si="15"/>
        <v>0</v>
      </c>
      <c r="AJ28" s="512">
        <f>'ORÇAMENTO GERAL'!$J$62</f>
        <v>2.66</v>
      </c>
      <c r="AK28" s="511">
        <f t="shared" si="16"/>
        <v>0</v>
      </c>
      <c r="AL28" s="512">
        <f>'ORÇAMENTO GERAL'!$J$63</f>
        <v>5.16</v>
      </c>
      <c r="AM28" s="511">
        <f t="shared" si="17"/>
        <v>0</v>
      </c>
      <c r="AN28" s="512">
        <f>'ORÇAMENTO GERAL'!$J$64</f>
        <v>3.38</v>
      </c>
      <c r="AO28" s="511">
        <f t="shared" si="18"/>
        <v>0</v>
      </c>
      <c r="AP28" s="512">
        <f>'ORÇAMENTO GERAL'!$J$67</f>
        <v>315.57</v>
      </c>
      <c r="AQ28" s="511">
        <f t="shared" si="19"/>
        <v>0</v>
      </c>
      <c r="AR28" s="512">
        <f>'ORÇAMENTO GERAL'!$J$68</f>
        <v>1.71</v>
      </c>
      <c r="AS28" s="511">
        <f t="shared" si="20"/>
        <v>0</v>
      </c>
      <c r="AT28" s="512">
        <f>'ORÇAMENTO GERAL'!$J$69</f>
        <v>3.38</v>
      </c>
      <c r="AU28" s="511">
        <f t="shared" si="21"/>
        <v>0</v>
      </c>
      <c r="AV28" s="512">
        <f>'ORÇAMENTO GERAL'!$J$72</f>
        <v>7.29</v>
      </c>
      <c r="AW28" s="511">
        <f t="shared" si="22"/>
        <v>0</v>
      </c>
      <c r="AX28" s="512">
        <f>'ORÇAMENTO GERAL'!$J$73</f>
        <v>3.47</v>
      </c>
      <c r="AY28" s="511">
        <f t="shared" si="23"/>
        <v>0</v>
      </c>
      <c r="AZ28" s="512">
        <f>'ORÇAMENTO GERAL'!$J$74</f>
        <v>933.19</v>
      </c>
      <c r="BA28" s="511">
        <f t="shared" si="24"/>
        <v>0</v>
      </c>
      <c r="BB28" s="512">
        <f>'ORÇAMENTO GERAL'!$J$75</f>
        <v>1.92</v>
      </c>
      <c r="BC28" s="516">
        <f t="shared" si="25"/>
        <v>0</v>
      </c>
    </row>
    <row r="29" spans="1:55" ht="45" customHeight="1" hidden="1">
      <c r="A29" s="491">
        <v>17</v>
      </c>
      <c r="B29" s="468"/>
      <c r="C29" s="469"/>
      <c r="D29" s="470"/>
      <c r="E29" s="475"/>
      <c r="F29" s="475">
        <f t="shared" si="0"/>
        <v>0</v>
      </c>
      <c r="G29" s="475">
        <f t="shared" si="1"/>
        <v>0</v>
      </c>
      <c r="H29" s="475">
        <f t="shared" si="2"/>
        <v>0</v>
      </c>
      <c r="I29" s="475">
        <f t="shared" si="3"/>
        <v>0</v>
      </c>
      <c r="J29" s="475">
        <f t="shared" si="26"/>
        <v>0</v>
      </c>
      <c r="K29" s="475">
        <f t="shared" si="27"/>
        <v>0</v>
      </c>
      <c r="L29" s="475">
        <f t="shared" si="28"/>
        <v>0</v>
      </c>
      <c r="M29" s="475">
        <f t="shared" si="29"/>
        <v>0</v>
      </c>
      <c r="N29" s="475">
        <f t="shared" si="30"/>
        <v>0</v>
      </c>
      <c r="O29" s="475">
        <f t="shared" si="31"/>
        <v>0</v>
      </c>
      <c r="P29" s="475">
        <f t="shared" si="4"/>
        <v>0</v>
      </c>
      <c r="Q29" s="475">
        <f t="shared" si="5"/>
        <v>0</v>
      </c>
      <c r="R29" s="518">
        <v>0.035</v>
      </c>
      <c r="S29" s="475">
        <f t="shared" si="6"/>
        <v>0</v>
      </c>
      <c r="T29" s="476">
        <f t="shared" si="7"/>
        <v>0</v>
      </c>
      <c r="V29" s="510">
        <f t="shared" si="8"/>
        <v>17</v>
      </c>
      <c r="W29" s="511">
        <f t="shared" si="9"/>
        <v>0</v>
      </c>
      <c r="X29" s="512">
        <f>'ORÇAMENTO GERAL'!$J$16</f>
        <v>298.93</v>
      </c>
      <c r="Y29" s="511">
        <f t="shared" si="10"/>
        <v>0</v>
      </c>
      <c r="Z29" s="512">
        <f>'ORÇAMENTO GERAL'!$J$17</f>
        <v>117.26</v>
      </c>
      <c r="AA29" s="511">
        <f t="shared" si="11"/>
        <v>0</v>
      </c>
      <c r="AB29" s="512">
        <f>'ORÇAMENTO GERAL'!$J$18</f>
        <v>16.81</v>
      </c>
      <c r="AC29" s="511">
        <f t="shared" si="12"/>
        <v>0</v>
      </c>
      <c r="AD29" s="512">
        <f>'ORÇAMENTO GERAL'!$J$19</f>
        <v>51.89</v>
      </c>
      <c r="AE29" s="511">
        <f t="shared" si="13"/>
        <v>0</v>
      </c>
      <c r="AF29" s="512">
        <f>'ORÇAMENTO GERAL'!$J$20</f>
        <v>41.23</v>
      </c>
      <c r="AG29" s="511">
        <f t="shared" si="14"/>
        <v>0</v>
      </c>
      <c r="AH29" s="512">
        <f>'ORÇAMENTO GERAL'!$J$61</f>
        <v>0.45</v>
      </c>
      <c r="AI29" s="511">
        <f t="shared" si="15"/>
        <v>0</v>
      </c>
      <c r="AJ29" s="512">
        <f>'ORÇAMENTO GERAL'!$J$62</f>
        <v>2.66</v>
      </c>
      <c r="AK29" s="511">
        <f t="shared" si="16"/>
        <v>0</v>
      </c>
      <c r="AL29" s="512">
        <f>'ORÇAMENTO GERAL'!$J$63</f>
        <v>5.16</v>
      </c>
      <c r="AM29" s="511">
        <f t="shared" si="17"/>
        <v>0</v>
      </c>
      <c r="AN29" s="512">
        <f>'ORÇAMENTO GERAL'!$J$64</f>
        <v>3.38</v>
      </c>
      <c r="AO29" s="511">
        <f t="shared" si="18"/>
        <v>0</v>
      </c>
      <c r="AP29" s="512">
        <f>'ORÇAMENTO GERAL'!$J$67</f>
        <v>315.57</v>
      </c>
      <c r="AQ29" s="511">
        <f t="shared" si="19"/>
        <v>0</v>
      </c>
      <c r="AR29" s="512">
        <f>'ORÇAMENTO GERAL'!$J$68</f>
        <v>1.71</v>
      </c>
      <c r="AS29" s="511">
        <f t="shared" si="20"/>
        <v>0</v>
      </c>
      <c r="AT29" s="512">
        <f>'ORÇAMENTO GERAL'!$J$69</f>
        <v>3.38</v>
      </c>
      <c r="AU29" s="511">
        <f t="shared" si="21"/>
        <v>0</v>
      </c>
      <c r="AV29" s="512">
        <f>'ORÇAMENTO GERAL'!$J$72</f>
        <v>7.29</v>
      </c>
      <c r="AW29" s="511">
        <f t="shared" si="22"/>
        <v>0</v>
      </c>
      <c r="AX29" s="512">
        <f>'ORÇAMENTO GERAL'!$J$73</f>
        <v>3.47</v>
      </c>
      <c r="AY29" s="511">
        <f t="shared" si="23"/>
        <v>0</v>
      </c>
      <c r="AZ29" s="512">
        <f>'ORÇAMENTO GERAL'!$J$74</f>
        <v>933.19</v>
      </c>
      <c r="BA29" s="511">
        <f t="shared" si="24"/>
        <v>0</v>
      </c>
      <c r="BB29" s="512">
        <f>'ORÇAMENTO GERAL'!$J$75</f>
        <v>1.92</v>
      </c>
      <c r="BC29" s="516">
        <f t="shared" si="25"/>
        <v>0</v>
      </c>
    </row>
    <row r="30" spans="1:55" ht="45" customHeight="1" hidden="1">
      <c r="A30" s="467">
        <v>18</v>
      </c>
      <c r="B30" s="468"/>
      <c r="C30" s="469"/>
      <c r="D30" s="470"/>
      <c r="E30" s="475"/>
      <c r="F30" s="475">
        <f t="shared" si="0"/>
        <v>0</v>
      </c>
      <c r="G30" s="475">
        <f t="shared" si="1"/>
        <v>0</v>
      </c>
      <c r="H30" s="475">
        <f t="shared" si="2"/>
        <v>0</v>
      </c>
      <c r="I30" s="475">
        <f t="shared" si="3"/>
        <v>0</v>
      </c>
      <c r="J30" s="475">
        <f t="shared" si="26"/>
        <v>0</v>
      </c>
      <c r="K30" s="475">
        <f t="shared" si="27"/>
        <v>0</v>
      </c>
      <c r="L30" s="475">
        <f t="shared" si="28"/>
        <v>0</v>
      </c>
      <c r="M30" s="475">
        <f t="shared" si="29"/>
        <v>0</v>
      </c>
      <c r="N30" s="475">
        <f t="shared" si="30"/>
        <v>0</v>
      </c>
      <c r="O30" s="475">
        <f t="shared" si="31"/>
        <v>0</v>
      </c>
      <c r="P30" s="475">
        <f t="shared" si="4"/>
        <v>0</v>
      </c>
      <c r="Q30" s="475">
        <f t="shared" si="5"/>
        <v>0</v>
      </c>
      <c r="R30" s="518">
        <v>0.035</v>
      </c>
      <c r="S30" s="475">
        <f t="shared" si="6"/>
        <v>0</v>
      </c>
      <c r="T30" s="476">
        <f t="shared" si="7"/>
        <v>0</v>
      </c>
      <c r="V30" s="510">
        <f t="shared" si="8"/>
        <v>18</v>
      </c>
      <c r="W30" s="511">
        <f t="shared" si="9"/>
        <v>0</v>
      </c>
      <c r="X30" s="512">
        <f>'ORÇAMENTO GERAL'!$J$16</f>
        <v>298.93</v>
      </c>
      <c r="Y30" s="511">
        <f t="shared" si="10"/>
        <v>0</v>
      </c>
      <c r="Z30" s="512">
        <f>'ORÇAMENTO GERAL'!$J$17</f>
        <v>117.26</v>
      </c>
      <c r="AA30" s="511">
        <f t="shared" si="11"/>
        <v>0</v>
      </c>
      <c r="AB30" s="512">
        <f>'ORÇAMENTO GERAL'!$J$18</f>
        <v>16.81</v>
      </c>
      <c r="AC30" s="511">
        <f t="shared" si="12"/>
        <v>0</v>
      </c>
      <c r="AD30" s="512">
        <f>'ORÇAMENTO GERAL'!$J$19</f>
        <v>51.89</v>
      </c>
      <c r="AE30" s="511">
        <f t="shared" si="13"/>
        <v>0</v>
      </c>
      <c r="AF30" s="512">
        <f>'ORÇAMENTO GERAL'!$J$20</f>
        <v>41.23</v>
      </c>
      <c r="AG30" s="511">
        <f t="shared" si="14"/>
        <v>0</v>
      </c>
      <c r="AH30" s="512">
        <f>'ORÇAMENTO GERAL'!$J$61</f>
        <v>0.45</v>
      </c>
      <c r="AI30" s="511">
        <f t="shared" si="15"/>
        <v>0</v>
      </c>
      <c r="AJ30" s="512">
        <f>'ORÇAMENTO GERAL'!$J$62</f>
        <v>2.66</v>
      </c>
      <c r="AK30" s="511">
        <f t="shared" si="16"/>
        <v>0</v>
      </c>
      <c r="AL30" s="512">
        <f>'ORÇAMENTO GERAL'!$J$63</f>
        <v>5.16</v>
      </c>
      <c r="AM30" s="511">
        <f t="shared" si="17"/>
        <v>0</v>
      </c>
      <c r="AN30" s="512">
        <f>'ORÇAMENTO GERAL'!$J$64</f>
        <v>3.38</v>
      </c>
      <c r="AO30" s="511">
        <f t="shared" si="18"/>
        <v>0</v>
      </c>
      <c r="AP30" s="512">
        <f>'ORÇAMENTO GERAL'!$J$67</f>
        <v>315.57</v>
      </c>
      <c r="AQ30" s="511">
        <f t="shared" si="19"/>
        <v>0</v>
      </c>
      <c r="AR30" s="512">
        <f>'ORÇAMENTO GERAL'!$J$68</f>
        <v>1.71</v>
      </c>
      <c r="AS30" s="511">
        <f t="shared" si="20"/>
        <v>0</v>
      </c>
      <c r="AT30" s="512">
        <f>'ORÇAMENTO GERAL'!$J$69</f>
        <v>3.38</v>
      </c>
      <c r="AU30" s="511">
        <f t="shared" si="21"/>
        <v>0</v>
      </c>
      <c r="AV30" s="512">
        <f>'ORÇAMENTO GERAL'!$J$72</f>
        <v>7.29</v>
      </c>
      <c r="AW30" s="511">
        <f t="shared" si="22"/>
        <v>0</v>
      </c>
      <c r="AX30" s="512">
        <f>'ORÇAMENTO GERAL'!$J$73</f>
        <v>3.47</v>
      </c>
      <c r="AY30" s="511">
        <f t="shared" si="23"/>
        <v>0</v>
      </c>
      <c r="AZ30" s="512">
        <f>'ORÇAMENTO GERAL'!$J$74</f>
        <v>933.19</v>
      </c>
      <c r="BA30" s="511">
        <f t="shared" si="24"/>
        <v>0</v>
      </c>
      <c r="BB30" s="512">
        <f>'ORÇAMENTO GERAL'!$J$75</f>
        <v>1.92</v>
      </c>
      <c r="BC30" s="516">
        <f t="shared" si="25"/>
        <v>0</v>
      </c>
    </row>
    <row r="31" spans="1:55" ht="45" customHeight="1" hidden="1">
      <c r="A31" s="491">
        <v>19</v>
      </c>
      <c r="B31" s="468"/>
      <c r="C31" s="469"/>
      <c r="D31" s="470"/>
      <c r="E31" s="475"/>
      <c r="F31" s="475">
        <f t="shared" si="0"/>
        <v>0</v>
      </c>
      <c r="G31" s="475">
        <f t="shared" si="1"/>
        <v>0</v>
      </c>
      <c r="H31" s="475">
        <f t="shared" si="2"/>
        <v>0</v>
      </c>
      <c r="I31" s="475">
        <f t="shared" si="3"/>
        <v>0</v>
      </c>
      <c r="J31" s="475">
        <f t="shared" si="26"/>
        <v>0</v>
      </c>
      <c r="K31" s="475">
        <f t="shared" si="27"/>
        <v>0</v>
      </c>
      <c r="L31" s="475">
        <f t="shared" si="28"/>
        <v>0</v>
      </c>
      <c r="M31" s="475">
        <f t="shared" si="29"/>
        <v>0</v>
      </c>
      <c r="N31" s="475">
        <f t="shared" si="30"/>
        <v>0</v>
      </c>
      <c r="O31" s="475">
        <f t="shared" si="31"/>
        <v>0</v>
      </c>
      <c r="P31" s="475">
        <f t="shared" si="4"/>
        <v>0</v>
      </c>
      <c r="Q31" s="475">
        <f t="shared" si="5"/>
        <v>0</v>
      </c>
      <c r="R31" s="518">
        <v>0.035</v>
      </c>
      <c r="S31" s="475">
        <f t="shared" si="6"/>
        <v>0</v>
      </c>
      <c r="T31" s="476">
        <f t="shared" si="7"/>
        <v>0</v>
      </c>
      <c r="V31" s="510">
        <f t="shared" si="8"/>
        <v>19</v>
      </c>
      <c r="W31" s="511">
        <f t="shared" si="9"/>
        <v>0</v>
      </c>
      <c r="X31" s="512">
        <f>'ORÇAMENTO GERAL'!$J$16</f>
        <v>298.93</v>
      </c>
      <c r="Y31" s="511">
        <f t="shared" si="10"/>
        <v>0</v>
      </c>
      <c r="Z31" s="512">
        <f>'ORÇAMENTO GERAL'!$J$17</f>
        <v>117.26</v>
      </c>
      <c r="AA31" s="511">
        <f t="shared" si="11"/>
        <v>0</v>
      </c>
      <c r="AB31" s="512">
        <f>'ORÇAMENTO GERAL'!$J$18</f>
        <v>16.81</v>
      </c>
      <c r="AC31" s="511">
        <f t="shared" si="12"/>
        <v>0</v>
      </c>
      <c r="AD31" s="512">
        <f>'ORÇAMENTO GERAL'!$J$19</f>
        <v>51.89</v>
      </c>
      <c r="AE31" s="511">
        <f t="shared" si="13"/>
        <v>0</v>
      </c>
      <c r="AF31" s="512">
        <f>'ORÇAMENTO GERAL'!$J$20</f>
        <v>41.23</v>
      </c>
      <c r="AG31" s="511">
        <f t="shared" si="14"/>
        <v>0</v>
      </c>
      <c r="AH31" s="512">
        <f>'ORÇAMENTO GERAL'!$J$61</f>
        <v>0.45</v>
      </c>
      <c r="AI31" s="511">
        <f t="shared" si="15"/>
        <v>0</v>
      </c>
      <c r="AJ31" s="512">
        <f>'ORÇAMENTO GERAL'!$J$62</f>
        <v>2.66</v>
      </c>
      <c r="AK31" s="511">
        <f t="shared" si="16"/>
        <v>0</v>
      </c>
      <c r="AL31" s="512">
        <f>'ORÇAMENTO GERAL'!$J$63</f>
        <v>5.16</v>
      </c>
      <c r="AM31" s="511">
        <f t="shared" si="17"/>
        <v>0</v>
      </c>
      <c r="AN31" s="512">
        <f>'ORÇAMENTO GERAL'!$J$64</f>
        <v>3.38</v>
      </c>
      <c r="AO31" s="511">
        <f t="shared" si="18"/>
        <v>0</v>
      </c>
      <c r="AP31" s="512">
        <f>'ORÇAMENTO GERAL'!$J$67</f>
        <v>315.57</v>
      </c>
      <c r="AQ31" s="511">
        <f t="shared" si="19"/>
        <v>0</v>
      </c>
      <c r="AR31" s="512">
        <f>'ORÇAMENTO GERAL'!$J$68</f>
        <v>1.71</v>
      </c>
      <c r="AS31" s="511">
        <f t="shared" si="20"/>
        <v>0</v>
      </c>
      <c r="AT31" s="512">
        <f>'ORÇAMENTO GERAL'!$J$69</f>
        <v>3.38</v>
      </c>
      <c r="AU31" s="511">
        <f t="shared" si="21"/>
        <v>0</v>
      </c>
      <c r="AV31" s="512">
        <f>'ORÇAMENTO GERAL'!$J$72</f>
        <v>7.29</v>
      </c>
      <c r="AW31" s="511">
        <f t="shared" si="22"/>
        <v>0</v>
      </c>
      <c r="AX31" s="512">
        <f>'ORÇAMENTO GERAL'!$J$73</f>
        <v>3.47</v>
      </c>
      <c r="AY31" s="511">
        <f t="shared" si="23"/>
        <v>0</v>
      </c>
      <c r="AZ31" s="512">
        <f>'ORÇAMENTO GERAL'!$J$74</f>
        <v>933.19</v>
      </c>
      <c r="BA31" s="511">
        <f t="shared" si="24"/>
        <v>0</v>
      </c>
      <c r="BB31" s="512">
        <f>'ORÇAMENTO GERAL'!$J$75</f>
        <v>1.92</v>
      </c>
      <c r="BC31" s="516">
        <f t="shared" si="25"/>
        <v>0</v>
      </c>
    </row>
    <row r="32" spans="1:55" ht="45" customHeight="1" hidden="1" thickBot="1">
      <c r="A32" s="504">
        <v>20</v>
      </c>
      <c r="B32" s="505"/>
      <c r="C32" s="506"/>
      <c r="D32" s="507"/>
      <c r="E32" s="473"/>
      <c r="F32" s="475">
        <f t="shared" si="0"/>
        <v>0</v>
      </c>
      <c r="G32" s="475">
        <f t="shared" si="1"/>
        <v>0</v>
      </c>
      <c r="H32" s="475">
        <f t="shared" si="2"/>
        <v>0</v>
      </c>
      <c r="I32" s="475">
        <f t="shared" si="3"/>
        <v>0</v>
      </c>
      <c r="J32" s="475">
        <f t="shared" si="26"/>
        <v>0</v>
      </c>
      <c r="K32" s="475">
        <f t="shared" si="27"/>
        <v>0</v>
      </c>
      <c r="L32" s="475">
        <f t="shared" si="28"/>
        <v>0</v>
      </c>
      <c r="M32" s="475">
        <f t="shared" si="29"/>
        <v>0</v>
      </c>
      <c r="N32" s="475">
        <f t="shared" si="30"/>
        <v>0</v>
      </c>
      <c r="O32" s="475">
        <f t="shared" si="31"/>
        <v>0</v>
      </c>
      <c r="P32" s="475">
        <f t="shared" si="4"/>
        <v>0</v>
      </c>
      <c r="Q32" s="475">
        <f t="shared" si="5"/>
        <v>0</v>
      </c>
      <c r="R32" s="518">
        <v>0.035</v>
      </c>
      <c r="S32" s="475">
        <f t="shared" si="6"/>
        <v>0</v>
      </c>
      <c r="T32" s="476">
        <f t="shared" si="7"/>
        <v>0</v>
      </c>
      <c r="V32" s="510">
        <f t="shared" si="8"/>
        <v>20</v>
      </c>
      <c r="W32" s="511">
        <f t="shared" si="9"/>
        <v>0</v>
      </c>
      <c r="X32" s="512">
        <f>'ORÇAMENTO GERAL'!$J$16</f>
        <v>298.93</v>
      </c>
      <c r="Y32" s="511">
        <f t="shared" si="10"/>
        <v>0</v>
      </c>
      <c r="Z32" s="512">
        <f>'ORÇAMENTO GERAL'!$J$17</f>
        <v>117.26</v>
      </c>
      <c r="AA32" s="511">
        <f t="shared" si="11"/>
        <v>0</v>
      </c>
      <c r="AB32" s="512">
        <f>'ORÇAMENTO GERAL'!$J$18</f>
        <v>16.81</v>
      </c>
      <c r="AC32" s="511">
        <f t="shared" si="12"/>
        <v>0</v>
      </c>
      <c r="AD32" s="512">
        <f>'ORÇAMENTO GERAL'!$J$19</f>
        <v>51.89</v>
      </c>
      <c r="AE32" s="511">
        <f t="shared" si="13"/>
        <v>0</v>
      </c>
      <c r="AF32" s="512">
        <f>'ORÇAMENTO GERAL'!$J$20</f>
        <v>41.23</v>
      </c>
      <c r="AG32" s="511">
        <f t="shared" si="14"/>
        <v>0</v>
      </c>
      <c r="AH32" s="512">
        <f>'ORÇAMENTO GERAL'!$J$61</f>
        <v>0.45</v>
      </c>
      <c r="AI32" s="511">
        <f t="shared" si="15"/>
        <v>0</v>
      </c>
      <c r="AJ32" s="512">
        <f>'ORÇAMENTO GERAL'!$J$62</f>
        <v>2.66</v>
      </c>
      <c r="AK32" s="511">
        <f t="shared" si="16"/>
        <v>0</v>
      </c>
      <c r="AL32" s="512">
        <f>'ORÇAMENTO GERAL'!$J$63</f>
        <v>5.16</v>
      </c>
      <c r="AM32" s="511">
        <f t="shared" si="17"/>
        <v>0</v>
      </c>
      <c r="AN32" s="512">
        <f>'ORÇAMENTO GERAL'!$J$64</f>
        <v>3.38</v>
      </c>
      <c r="AO32" s="511">
        <f t="shared" si="18"/>
        <v>0</v>
      </c>
      <c r="AP32" s="512">
        <f>'ORÇAMENTO GERAL'!$J$67</f>
        <v>315.57</v>
      </c>
      <c r="AQ32" s="511">
        <f t="shared" si="19"/>
        <v>0</v>
      </c>
      <c r="AR32" s="512">
        <f>'ORÇAMENTO GERAL'!$J$68</f>
        <v>1.71</v>
      </c>
      <c r="AS32" s="511">
        <f t="shared" si="20"/>
        <v>0</v>
      </c>
      <c r="AT32" s="512">
        <f>'ORÇAMENTO GERAL'!$J$69</f>
        <v>3.38</v>
      </c>
      <c r="AU32" s="511">
        <f t="shared" si="21"/>
        <v>0</v>
      </c>
      <c r="AV32" s="512">
        <f>'ORÇAMENTO GERAL'!$J$72</f>
        <v>7.29</v>
      </c>
      <c r="AW32" s="511">
        <f t="shared" si="22"/>
        <v>0</v>
      </c>
      <c r="AX32" s="512">
        <f>'ORÇAMENTO GERAL'!$J$73</f>
        <v>3.47</v>
      </c>
      <c r="AY32" s="511">
        <f t="shared" si="23"/>
        <v>0</v>
      </c>
      <c r="AZ32" s="512">
        <f>'ORÇAMENTO GERAL'!$J$74</f>
        <v>933.19</v>
      </c>
      <c r="BA32" s="511">
        <f t="shared" si="24"/>
        <v>0</v>
      </c>
      <c r="BB32" s="512">
        <f>'ORÇAMENTO GERAL'!$J$75</f>
        <v>1.92</v>
      </c>
      <c r="BC32" s="516">
        <f t="shared" si="25"/>
        <v>0</v>
      </c>
    </row>
    <row r="33" spans="1:20" s="472" customFormat="1" ht="62.25" customHeight="1" thickBot="1">
      <c r="A33" s="834" t="s">
        <v>494</v>
      </c>
      <c r="B33" s="835"/>
      <c r="C33" s="508">
        <f>SUM(C13:C32)</f>
        <v>1260</v>
      </c>
      <c r="D33" s="508">
        <f aca="true" t="shared" si="32" ref="D33:T33">SUM(D13:D32)</f>
        <v>14</v>
      </c>
      <c r="E33" s="508">
        <f t="shared" si="32"/>
        <v>0</v>
      </c>
      <c r="F33" s="508">
        <f t="shared" si="32"/>
        <v>0</v>
      </c>
      <c r="G33" s="508">
        <f t="shared" si="32"/>
        <v>0</v>
      </c>
      <c r="H33" s="508">
        <f t="shared" si="32"/>
        <v>108.36</v>
      </c>
      <c r="I33" s="508">
        <f t="shared" si="32"/>
        <v>2520</v>
      </c>
      <c r="J33" s="508">
        <f t="shared" si="32"/>
        <v>8820</v>
      </c>
      <c r="K33" s="508">
        <f t="shared" si="32"/>
        <v>882</v>
      </c>
      <c r="L33" s="508">
        <f t="shared" si="32"/>
        <v>1411.2</v>
      </c>
      <c r="M33" s="508">
        <f t="shared" si="32"/>
        <v>8820</v>
      </c>
      <c r="N33" s="508">
        <f t="shared" si="32"/>
        <v>882</v>
      </c>
      <c r="O33" s="508">
        <f t="shared" si="32"/>
        <v>8820</v>
      </c>
      <c r="P33" s="508">
        <f t="shared" si="32"/>
        <v>8820</v>
      </c>
      <c r="Q33" s="508">
        <f t="shared" si="32"/>
        <v>8820</v>
      </c>
      <c r="R33" s="508"/>
      <c r="S33" s="508">
        <f t="shared" si="32"/>
        <v>740.8800000000001</v>
      </c>
      <c r="T33" s="508">
        <f t="shared" si="32"/>
        <v>18522.000000000004</v>
      </c>
    </row>
    <row r="34" spans="1:20" s="472" customFormat="1" ht="19.5" customHeight="1">
      <c r="A34" s="471"/>
      <c r="B34" s="474"/>
      <c r="C34" s="474"/>
      <c r="D34" s="474"/>
      <c r="E34" s="474"/>
      <c r="F34" s="474"/>
      <c r="G34" s="474"/>
      <c r="H34" s="474"/>
      <c r="I34" s="474"/>
      <c r="J34" s="474"/>
      <c r="K34" s="474"/>
      <c r="L34" s="474"/>
      <c r="M34" s="474"/>
      <c r="N34" s="474"/>
      <c r="O34" s="474"/>
      <c r="P34" s="474"/>
      <c r="Q34" s="474"/>
      <c r="R34" s="474"/>
      <c r="S34" s="474"/>
      <c r="T34" s="474"/>
    </row>
    <row r="35" spans="1:20" s="472" customFormat="1" ht="19.5" customHeight="1">
      <c r="A35" s="471"/>
      <c r="B35" s="474"/>
      <c r="C35" s="474"/>
      <c r="D35" s="474"/>
      <c r="E35" s="474"/>
      <c r="F35" s="474"/>
      <c r="G35" s="474"/>
      <c r="H35" s="474"/>
      <c r="I35" s="474"/>
      <c r="J35" s="474"/>
      <c r="K35" s="474"/>
      <c r="L35" s="474"/>
      <c r="M35" s="474"/>
      <c r="N35" s="474"/>
      <c r="O35" s="474"/>
      <c r="P35" s="474"/>
      <c r="Q35" s="474"/>
      <c r="R35" s="474"/>
      <c r="S35" s="474"/>
      <c r="T35" s="474"/>
    </row>
    <row r="36" spans="1:20" s="472" customFormat="1" ht="19.5" customHeight="1">
      <c r="A36" s="471"/>
      <c r="B36" s="474"/>
      <c r="C36" s="474"/>
      <c r="D36" s="474"/>
      <c r="E36" s="474"/>
      <c r="F36" s="474"/>
      <c r="G36" s="474"/>
      <c r="H36" s="474"/>
      <c r="I36" s="474"/>
      <c r="J36" s="474"/>
      <c r="K36" s="474"/>
      <c r="L36" s="474"/>
      <c r="M36" s="474"/>
      <c r="N36" s="474"/>
      <c r="O36" s="474"/>
      <c r="P36" s="474"/>
      <c r="Q36" s="474"/>
      <c r="R36" s="474"/>
      <c r="S36" s="474"/>
      <c r="T36" s="474"/>
    </row>
    <row r="37" spans="1:20" s="472" customFormat="1" ht="19.5" customHeight="1">
      <c r="A37" s="471"/>
      <c r="B37" s="474"/>
      <c r="C37" s="474"/>
      <c r="D37" s="474"/>
      <c r="E37" s="474"/>
      <c r="F37" s="474"/>
      <c r="G37" s="474"/>
      <c r="H37" s="474"/>
      <c r="I37" s="474"/>
      <c r="J37" s="474"/>
      <c r="K37" s="474"/>
      <c r="L37" s="474"/>
      <c r="M37" s="474"/>
      <c r="N37" s="474"/>
      <c r="O37" s="474"/>
      <c r="P37" s="474"/>
      <c r="Q37" s="474"/>
      <c r="R37" s="474"/>
      <c r="S37" s="474"/>
      <c r="T37" s="474"/>
    </row>
    <row r="38" spans="1:20" s="472" customFormat="1" ht="19.5" customHeight="1">
      <c r="A38" s="471"/>
      <c r="B38" s="474"/>
      <c r="C38" s="474"/>
      <c r="D38" s="474"/>
      <c r="E38" s="474"/>
      <c r="F38" s="474"/>
      <c r="G38" s="474"/>
      <c r="H38" s="474"/>
      <c r="I38" s="474"/>
      <c r="J38" s="474"/>
      <c r="K38" s="474"/>
      <c r="L38" s="474"/>
      <c r="M38" s="474"/>
      <c r="N38" s="474"/>
      <c r="O38" s="474"/>
      <c r="P38" s="474"/>
      <c r="Q38" s="474"/>
      <c r="R38" s="474"/>
      <c r="S38" s="474"/>
      <c r="T38" s="474"/>
    </row>
    <row r="39" spans="1:20" s="472" customFormat="1" ht="19.5" customHeight="1">
      <c r="A39" s="471"/>
      <c r="B39" s="474"/>
      <c r="C39" s="474"/>
      <c r="D39" s="474"/>
      <c r="E39" s="474"/>
      <c r="F39" s="474"/>
      <c r="G39" s="474"/>
      <c r="H39" s="474"/>
      <c r="I39" s="474"/>
      <c r="J39" s="474"/>
      <c r="K39" s="474"/>
      <c r="L39" s="474"/>
      <c r="M39" s="474"/>
      <c r="N39" s="474"/>
      <c r="O39" s="474"/>
      <c r="P39" s="474"/>
      <c r="Q39" s="474"/>
      <c r="R39" s="474"/>
      <c r="S39" s="474"/>
      <c r="T39" s="474"/>
    </row>
    <row r="40" spans="1:20" s="472" customFormat="1" ht="19.5" customHeight="1">
      <c r="A40" s="471"/>
      <c r="B40" s="474"/>
      <c r="C40" s="474"/>
      <c r="D40" s="474"/>
      <c r="E40" s="474"/>
      <c r="F40" s="474"/>
      <c r="G40" s="474"/>
      <c r="H40" s="474"/>
      <c r="I40" s="474"/>
      <c r="J40" s="474"/>
      <c r="K40" s="474"/>
      <c r="L40" s="474"/>
      <c r="M40" s="474"/>
      <c r="N40" s="474"/>
      <c r="O40" s="474"/>
      <c r="P40" s="474"/>
      <c r="Q40" s="474"/>
      <c r="R40" s="474"/>
      <c r="S40" s="474"/>
      <c r="T40" s="474"/>
    </row>
    <row r="41" spans="1:20" s="472" customFormat="1" ht="19.5" customHeight="1">
      <c r="A41" s="471"/>
      <c r="B41" s="474"/>
      <c r="C41" s="474"/>
      <c r="D41" s="474"/>
      <c r="E41" s="474"/>
      <c r="F41" s="474"/>
      <c r="G41" s="474"/>
      <c r="H41" s="474"/>
      <c r="I41" s="474"/>
      <c r="J41" s="474"/>
      <c r="K41" s="474"/>
      <c r="L41" s="474"/>
      <c r="M41" s="474"/>
      <c r="N41" s="474"/>
      <c r="O41" s="474"/>
      <c r="P41" s="474"/>
      <c r="Q41" s="474"/>
      <c r="R41" s="474"/>
      <c r="S41" s="474"/>
      <c r="T41" s="474"/>
    </row>
    <row r="42" spans="1:20" s="472" customFormat="1" ht="19.5" customHeight="1">
      <c r="A42" s="471"/>
      <c r="B42" s="474"/>
      <c r="C42" s="474"/>
      <c r="D42" s="474"/>
      <c r="E42" s="474"/>
      <c r="F42" s="474"/>
      <c r="G42" s="474"/>
      <c r="H42" s="474"/>
      <c r="I42" s="474"/>
      <c r="J42" s="474"/>
      <c r="K42" s="474"/>
      <c r="L42" s="474"/>
      <c r="M42" s="474"/>
      <c r="N42" s="474"/>
      <c r="O42" s="474"/>
      <c r="P42" s="474"/>
      <c r="Q42" s="474"/>
      <c r="R42" s="474"/>
      <c r="S42" s="474"/>
      <c r="T42" s="474"/>
    </row>
    <row r="43" spans="1:20" s="472" customFormat="1" ht="19.5" customHeight="1">
      <c r="A43" s="471"/>
      <c r="B43" s="474"/>
      <c r="C43" s="474"/>
      <c r="D43" s="474"/>
      <c r="E43" s="474"/>
      <c r="F43" s="474"/>
      <c r="G43" s="474"/>
      <c r="H43" s="474"/>
      <c r="I43" s="474"/>
      <c r="J43" s="474"/>
      <c r="K43" s="474"/>
      <c r="L43" s="474"/>
      <c r="M43" s="474"/>
      <c r="N43" s="474"/>
      <c r="O43" s="474"/>
      <c r="P43" s="474"/>
      <c r="Q43" s="474"/>
      <c r="R43" s="474"/>
      <c r="S43" s="474"/>
      <c r="T43" s="474"/>
    </row>
    <row r="44" spans="1:20" s="472" customFormat="1" ht="19.5" customHeight="1">
      <c r="A44" s="471"/>
      <c r="B44" s="474"/>
      <c r="C44" s="474"/>
      <c r="D44" s="474"/>
      <c r="E44" s="474"/>
      <c r="F44" s="474"/>
      <c r="G44" s="474"/>
      <c r="H44" s="474"/>
      <c r="I44" s="474"/>
      <c r="J44" s="474"/>
      <c r="K44" s="474"/>
      <c r="L44" s="474"/>
      <c r="M44" s="474"/>
      <c r="N44" s="474"/>
      <c r="O44" s="474"/>
      <c r="P44" s="474"/>
      <c r="Q44" s="474"/>
      <c r="R44" s="474"/>
      <c r="S44" s="474"/>
      <c r="T44" s="474"/>
    </row>
    <row r="45" spans="1:20" s="472" customFormat="1" ht="19.5" customHeight="1">
      <c r="A45" s="471"/>
      <c r="B45" s="474"/>
      <c r="C45" s="474"/>
      <c r="D45" s="474"/>
      <c r="E45" s="474"/>
      <c r="F45" s="474"/>
      <c r="G45" s="474"/>
      <c r="H45" s="474"/>
      <c r="I45" s="474"/>
      <c r="J45" s="474"/>
      <c r="K45" s="474"/>
      <c r="L45" s="474"/>
      <c r="M45" s="474"/>
      <c r="N45" s="474"/>
      <c r="O45" s="474"/>
      <c r="P45" s="474"/>
      <c r="Q45" s="474"/>
      <c r="R45" s="474"/>
      <c r="S45" s="474"/>
      <c r="T45" s="474"/>
    </row>
    <row r="46" spans="1:20" s="472" customFormat="1" ht="19.5" customHeight="1">
      <c r="A46" s="471"/>
      <c r="B46" s="474"/>
      <c r="C46" s="474"/>
      <c r="D46" s="474"/>
      <c r="E46" s="474"/>
      <c r="F46" s="474"/>
      <c r="G46" s="474"/>
      <c r="H46" s="474"/>
      <c r="I46" s="474"/>
      <c r="J46" s="474"/>
      <c r="K46" s="474"/>
      <c r="L46" s="474"/>
      <c r="M46" s="474"/>
      <c r="N46" s="474"/>
      <c r="O46" s="474"/>
      <c r="P46" s="474"/>
      <c r="Q46" s="474"/>
      <c r="R46" s="474"/>
      <c r="S46" s="474"/>
      <c r="T46" s="474"/>
    </row>
    <row r="47" spans="1:20" s="472" customFormat="1" ht="19.5" customHeight="1">
      <c r="A47" s="471"/>
      <c r="B47" s="474"/>
      <c r="C47" s="474"/>
      <c r="D47" s="474"/>
      <c r="E47" s="474"/>
      <c r="F47" s="474"/>
      <c r="G47" s="474"/>
      <c r="H47" s="474"/>
      <c r="I47" s="474"/>
      <c r="J47" s="474"/>
      <c r="K47" s="474"/>
      <c r="L47" s="474"/>
      <c r="M47" s="474"/>
      <c r="N47" s="474"/>
      <c r="O47" s="474"/>
      <c r="P47" s="474"/>
      <c r="Q47" s="474"/>
      <c r="R47" s="474"/>
      <c r="S47" s="474"/>
      <c r="T47" s="474"/>
    </row>
    <row r="48" spans="1:20" s="472" customFormat="1" ht="19.5" customHeight="1">
      <c r="A48" s="471"/>
      <c r="B48" s="474"/>
      <c r="C48" s="474"/>
      <c r="D48" s="474"/>
      <c r="E48" s="474"/>
      <c r="F48" s="474"/>
      <c r="G48" s="474"/>
      <c r="H48" s="474"/>
      <c r="I48" s="474"/>
      <c r="J48" s="474"/>
      <c r="K48" s="474"/>
      <c r="L48" s="474"/>
      <c r="M48" s="474"/>
      <c r="N48" s="474"/>
      <c r="O48" s="474"/>
      <c r="P48" s="474"/>
      <c r="Q48" s="474"/>
      <c r="R48" s="474"/>
      <c r="S48" s="474"/>
      <c r="T48" s="474"/>
    </row>
    <row r="49" spans="1:20" s="472" customFormat="1" ht="19.5" customHeight="1">
      <c r="A49" s="471"/>
      <c r="B49" s="474"/>
      <c r="C49" s="474"/>
      <c r="D49" s="474"/>
      <c r="E49" s="474"/>
      <c r="F49" s="474"/>
      <c r="G49" s="474"/>
      <c r="H49" s="474"/>
      <c r="I49" s="474"/>
      <c r="J49" s="474"/>
      <c r="K49" s="474"/>
      <c r="L49" s="474"/>
      <c r="M49" s="474"/>
      <c r="N49" s="474"/>
      <c r="O49" s="474"/>
      <c r="P49" s="474"/>
      <c r="Q49" s="474"/>
      <c r="R49" s="474"/>
      <c r="S49" s="474"/>
      <c r="T49" s="474"/>
    </row>
    <row r="50" spans="1:20" s="472" customFormat="1" ht="19.5" customHeight="1">
      <c r="A50" s="471"/>
      <c r="B50" s="474"/>
      <c r="C50" s="474"/>
      <c r="D50" s="474"/>
      <c r="E50" s="474"/>
      <c r="F50" s="474"/>
      <c r="G50" s="474"/>
      <c r="H50" s="474"/>
      <c r="I50" s="474"/>
      <c r="J50" s="474"/>
      <c r="K50" s="474"/>
      <c r="L50" s="474"/>
      <c r="M50" s="474"/>
      <c r="N50" s="474"/>
      <c r="O50" s="474"/>
      <c r="P50" s="474"/>
      <c r="Q50" s="474"/>
      <c r="R50" s="474"/>
      <c r="S50" s="474"/>
      <c r="T50" s="474"/>
    </row>
    <row r="51" spans="1:20" s="472" customFormat="1" ht="19.5" customHeight="1">
      <c r="A51" s="471"/>
      <c r="B51" s="474"/>
      <c r="C51" s="474"/>
      <c r="D51" s="474"/>
      <c r="E51" s="474"/>
      <c r="F51" s="474"/>
      <c r="G51" s="474"/>
      <c r="H51" s="474"/>
      <c r="I51" s="474"/>
      <c r="J51" s="474"/>
      <c r="K51" s="474"/>
      <c r="L51" s="474"/>
      <c r="M51" s="474"/>
      <c r="N51" s="474"/>
      <c r="O51" s="474"/>
      <c r="P51" s="474"/>
      <c r="Q51" s="474"/>
      <c r="R51" s="474"/>
      <c r="S51" s="474"/>
      <c r="T51" s="474"/>
    </row>
    <row r="52" spans="1:20" s="472" customFormat="1" ht="19.5" customHeight="1">
      <c r="A52" s="471"/>
      <c r="B52" s="474"/>
      <c r="C52" s="474"/>
      <c r="D52" s="474"/>
      <c r="E52" s="474"/>
      <c r="F52" s="474"/>
      <c r="G52" s="474"/>
      <c r="H52" s="474"/>
      <c r="I52" s="474"/>
      <c r="J52" s="474"/>
      <c r="K52" s="474"/>
      <c r="L52" s="474"/>
      <c r="M52" s="474"/>
      <c r="N52" s="474"/>
      <c r="O52" s="474"/>
      <c r="P52" s="474"/>
      <c r="Q52" s="474"/>
      <c r="R52" s="474"/>
      <c r="S52" s="474"/>
      <c r="T52" s="474"/>
    </row>
    <row r="53" spans="1:20" s="472" customFormat="1" ht="19.5" customHeight="1">
      <c r="A53" s="471"/>
      <c r="B53" s="474"/>
      <c r="C53" s="474"/>
      <c r="D53" s="474"/>
      <c r="E53" s="474"/>
      <c r="F53" s="474"/>
      <c r="G53" s="474"/>
      <c r="H53" s="474"/>
      <c r="I53" s="474"/>
      <c r="J53" s="474"/>
      <c r="K53" s="474"/>
      <c r="L53" s="474"/>
      <c r="M53" s="474"/>
      <c r="N53" s="474"/>
      <c r="O53" s="474"/>
      <c r="P53" s="474"/>
      <c r="Q53" s="474"/>
      <c r="R53" s="474"/>
      <c r="S53" s="474"/>
      <c r="T53" s="474"/>
    </row>
    <row r="54" spans="1:20" s="472" customFormat="1" ht="19.5" customHeight="1">
      <c r="A54" s="471"/>
      <c r="B54" s="474"/>
      <c r="C54" s="474"/>
      <c r="D54" s="474"/>
      <c r="E54" s="474"/>
      <c r="F54" s="474"/>
      <c r="G54" s="474"/>
      <c r="H54" s="474"/>
      <c r="I54" s="474"/>
      <c r="J54" s="474"/>
      <c r="K54" s="474"/>
      <c r="L54" s="474"/>
      <c r="M54" s="474"/>
      <c r="N54" s="474"/>
      <c r="O54" s="474"/>
      <c r="P54" s="474"/>
      <c r="Q54" s="474"/>
      <c r="R54" s="474"/>
      <c r="S54" s="474"/>
      <c r="T54" s="474"/>
    </row>
    <row r="55" spans="1:20" s="472" customFormat="1" ht="19.5" customHeight="1">
      <c r="A55" s="471"/>
      <c r="B55" s="474"/>
      <c r="C55" s="474"/>
      <c r="D55" s="474"/>
      <c r="E55" s="474"/>
      <c r="F55" s="474"/>
      <c r="G55" s="474"/>
      <c r="H55" s="474"/>
      <c r="I55" s="474"/>
      <c r="J55" s="474"/>
      <c r="K55" s="474"/>
      <c r="L55" s="474"/>
      <c r="M55" s="474"/>
      <c r="N55" s="474"/>
      <c r="O55" s="474"/>
      <c r="P55" s="474"/>
      <c r="Q55" s="474"/>
      <c r="R55" s="474"/>
      <c r="S55" s="474"/>
      <c r="T55" s="474"/>
    </row>
    <row r="56" spans="1:20" s="472" customFormat="1" ht="19.5" customHeight="1">
      <c r="A56" s="471"/>
      <c r="B56" s="474"/>
      <c r="C56" s="474"/>
      <c r="D56" s="474"/>
      <c r="E56" s="474"/>
      <c r="F56" s="474"/>
      <c r="G56" s="474"/>
      <c r="H56" s="474"/>
      <c r="I56" s="474"/>
      <c r="J56" s="474"/>
      <c r="K56" s="474"/>
      <c r="L56" s="474"/>
      <c r="M56" s="474"/>
      <c r="N56" s="474"/>
      <c r="O56" s="474"/>
      <c r="P56" s="474"/>
      <c r="Q56" s="474"/>
      <c r="R56" s="474"/>
      <c r="S56" s="474"/>
      <c r="T56" s="474"/>
    </row>
    <row r="57" spans="1:20" s="472" customFormat="1" ht="19.5" customHeight="1">
      <c r="A57" s="471"/>
      <c r="B57" s="474"/>
      <c r="C57" s="474"/>
      <c r="D57" s="474"/>
      <c r="E57" s="474"/>
      <c r="F57" s="474"/>
      <c r="G57" s="474"/>
      <c r="H57" s="474"/>
      <c r="I57" s="474"/>
      <c r="J57" s="474"/>
      <c r="K57" s="474"/>
      <c r="L57" s="474"/>
      <c r="M57" s="474"/>
      <c r="N57" s="474"/>
      <c r="O57" s="474"/>
      <c r="P57" s="474"/>
      <c r="Q57" s="474"/>
      <c r="R57" s="474"/>
      <c r="S57" s="474"/>
      <c r="T57" s="474"/>
    </row>
    <row r="58" spans="1:20" s="472" customFormat="1" ht="19.5" customHeight="1">
      <c r="A58" s="471"/>
      <c r="B58" s="474"/>
      <c r="C58" s="474"/>
      <c r="D58" s="474"/>
      <c r="E58" s="474"/>
      <c r="F58" s="474"/>
      <c r="G58" s="474"/>
      <c r="H58" s="474"/>
      <c r="I58" s="474"/>
      <c r="J58" s="474"/>
      <c r="K58" s="474"/>
      <c r="L58" s="474"/>
      <c r="M58" s="474"/>
      <c r="N58" s="474"/>
      <c r="O58" s="474"/>
      <c r="P58" s="474"/>
      <c r="Q58" s="474"/>
      <c r="R58" s="474"/>
      <c r="S58" s="474"/>
      <c r="T58" s="474"/>
    </row>
    <row r="59" spans="1:20" s="472" customFormat="1" ht="19.5" customHeight="1">
      <c r="A59" s="471"/>
      <c r="B59" s="474"/>
      <c r="C59" s="474"/>
      <c r="D59" s="474"/>
      <c r="E59" s="474"/>
      <c r="F59" s="474"/>
      <c r="G59" s="474"/>
      <c r="H59" s="474"/>
      <c r="I59" s="474"/>
      <c r="J59" s="474"/>
      <c r="K59" s="474"/>
      <c r="L59" s="474"/>
      <c r="M59" s="474"/>
      <c r="N59" s="474"/>
      <c r="O59" s="474"/>
      <c r="P59" s="474"/>
      <c r="Q59" s="474"/>
      <c r="R59" s="474"/>
      <c r="S59" s="474"/>
      <c r="T59" s="474"/>
    </row>
    <row r="60" spans="1:20" s="472" customFormat="1" ht="19.5" customHeight="1">
      <c r="A60" s="471"/>
      <c r="B60" s="474"/>
      <c r="C60" s="474"/>
      <c r="D60" s="474"/>
      <c r="E60" s="474"/>
      <c r="F60" s="474"/>
      <c r="G60" s="474"/>
      <c r="H60" s="474"/>
      <c r="I60" s="474"/>
      <c r="J60" s="474"/>
      <c r="K60" s="474"/>
      <c r="L60" s="474"/>
      <c r="M60" s="474"/>
      <c r="N60" s="474"/>
      <c r="O60" s="474"/>
      <c r="P60" s="474"/>
      <c r="Q60" s="474"/>
      <c r="R60" s="474"/>
      <c r="S60" s="474"/>
      <c r="T60" s="474"/>
    </row>
    <row r="61" spans="1:20" s="472" customFormat="1" ht="19.5" customHeight="1">
      <c r="A61" s="471"/>
      <c r="B61" s="474"/>
      <c r="C61" s="474"/>
      <c r="D61" s="474"/>
      <c r="E61" s="474"/>
      <c r="F61" s="474"/>
      <c r="G61" s="474"/>
      <c r="H61" s="474"/>
      <c r="I61" s="474"/>
      <c r="J61" s="474"/>
      <c r="K61" s="474"/>
      <c r="L61" s="474"/>
      <c r="M61" s="474"/>
      <c r="N61" s="474"/>
      <c r="O61" s="474"/>
      <c r="P61" s="474"/>
      <c r="Q61" s="474"/>
      <c r="R61" s="474"/>
      <c r="S61" s="474"/>
      <c r="T61" s="474"/>
    </row>
    <row r="62" spans="1:20" s="472" customFormat="1" ht="19.5" customHeight="1">
      <c r="A62" s="471"/>
      <c r="B62" s="474"/>
      <c r="C62" s="474"/>
      <c r="D62" s="474"/>
      <c r="E62" s="474"/>
      <c r="F62" s="474"/>
      <c r="G62" s="474"/>
      <c r="H62" s="474"/>
      <c r="I62" s="474"/>
      <c r="J62" s="474"/>
      <c r="K62" s="474"/>
      <c r="L62" s="474"/>
      <c r="M62" s="474"/>
      <c r="N62" s="474"/>
      <c r="O62" s="474"/>
      <c r="P62" s="474"/>
      <c r="Q62" s="474"/>
      <c r="R62" s="474"/>
      <c r="S62" s="474"/>
      <c r="T62" s="474"/>
    </row>
    <row r="63" spans="1:20" s="472" customFormat="1" ht="19.5" customHeight="1">
      <c r="A63" s="471"/>
      <c r="B63" s="474"/>
      <c r="C63" s="474"/>
      <c r="D63" s="474"/>
      <c r="E63" s="474"/>
      <c r="F63" s="474"/>
      <c r="G63" s="474"/>
      <c r="H63" s="474"/>
      <c r="I63" s="474"/>
      <c r="J63" s="474"/>
      <c r="K63" s="474"/>
      <c r="L63" s="474"/>
      <c r="M63" s="474"/>
      <c r="N63" s="474"/>
      <c r="O63" s="474"/>
      <c r="P63" s="474"/>
      <c r="Q63" s="474"/>
      <c r="R63" s="474"/>
      <c r="S63" s="474"/>
      <c r="T63" s="474"/>
    </row>
    <row r="64" spans="1:20" s="472" customFormat="1" ht="19.5" customHeight="1">
      <c r="A64" s="471"/>
      <c r="B64" s="474"/>
      <c r="C64" s="474"/>
      <c r="D64" s="474"/>
      <c r="E64" s="474"/>
      <c r="F64" s="474"/>
      <c r="G64" s="474"/>
      <c r="H64" s="474"/>
      <c r="I64" s="474"/>
      <c r="J64" s="474"/>
      <c r="K64" s="474"/>
      <c r="L64" s="474"/>
      <c r="M64" s="474"/>
      <c r="N64" s="474"/>
      <c r="O64" s="474"/>
      <c r="P64" s="474"/>
      <c r="Q64" s="474"/>
      <c r="R64" s="474"/>
      <c r="S64" s="474"/>
      <c r="T64" s="474"/>
    </row>
    <row r="65" spans="1:20" s="472" customFormat="1" ht="19.5" customHeight="1">
      <c r="A65" s="471"/>
      <c r="B65" s="474"/>
      <c r="C65" s="474"/>
      <c r="D65" s="474"/>
      <c r="E65" s="474"/>
      <c r="F65" s="474"/>
      <c r="G65" s="474"/>
      <c r="H65" s="474"/>
      <c r="I65" s="474"/>
      <c r="J65" s="474"/>
      <c r="K65" s="474"/>
      <c r="L65" s="474"/>
      <c r="M65" s="474"/>
      <c r="N65" s="474"/>
      <c r="O65" s="474"/>
      <c r="P65" s="474"/>
      <c r="Q65" s="474"/>
      <c r="R65" s="474"/>
      <c r="S65" s="474"/>
      <c r="T65" s="474"/>
    </row>
    <row r="66" spans="1:20" s="472" customFormat="1" ht="19.5" customHeight="1">
      <c r="A66" s="471"/>
      <c r="B66" s="474"/>
      <c r="C66" s="474"/>
      <c r="D66" s="474"/>
      <c r="E66" s="474"/>
      <c r="F66" s="474"/>
      <c r="G66" s="474"/>
      <c r="H66" s="474"/>
      <c r="I66" s="474"/>
      <c r="J66" s="474"/>
      <c r="K66" s="474"/>
      <c r="L66" s="474"/>
      <c r="M66" s="474"/>
      <c r="N66" s="474"/>
      <c r="O66" s="474"/>
      <c r="P66" s="474"/>
      <c r="Q66" s="474"/>
      <c r="R66" s="474"/>
      <c r="S66" s="474"/>
      <c r="T66" s="474"/>
    </row>
    <row r="67" spans="1:20" s="472" customFormat="1" ht="19.5" customHeight="1">
      <c r="A67" s="471"/>
      <c r="B67" s="474"/>
      <c r="C67" s="474"/>
      <c r="D67" s="474"/>
      <c r="E67" s="474"/>
      <c r="F67" s="474"/>
      <c r="G67" s="474"/>
      <c r="H67" s="474"/>
      <c r="I67" s="474"/>
      <c r="J67" s="474"/>
      <c r="K67" s="474"/>
      <c r="L67" s="474"/>
      <c r="M67" s="474"/>
      <c r="N67" s="474"/>
      <c r="O67" s="474"/>
      <c r="P67" s="474"/>
      <c r="Q67" s="474"/>
      <c r="R67" s="474"/>
      <c r="S67" s="474"/>
      <c r="T67" s="474"/>
    </row>
    <row r="68" ht="19.5" customHeight="1"/>
    <row r="69" ht="9.75" customHeight="1"/>
    <row r="70" ht="19.5" customHeight="1"/>
    <row r="71" ht="19.5" customHeight="1"/>
    <row r="72" ht="19.5" customHeight="1"/>
    <row r="73" spans="1:20" s="472" customFormat="1" ht="19.5" customHeight="1">
      <c r="A73" s="471"/>
      <c r="B73" s="474"/>
      <c r="C73" s="474"/>
      <c r="D73" s="474"/>
      <c r="E73" s="474"/>
      <c r="F73" s="474"/>
      <c r="G73" s="474"/>
      <c r="H73" s="474"/>
      <c r="I73" s="474"/>
      <c r="J73" s="474"/>
      <c r="K73" s="474"/>
      <c r="L73" s="474"/>
      <c r="M73" s="474"/>
      <c r="N73" s="474"/>
      <c r="O73" s="474"/>
      <c r="P73" s="474"/>
      <c r="Q73" s="474"/>
      <c r="R73" s="474"/>
      <c r="S73" s="474"/>
      <c r="T73" s="474"/>
    </row>
    <row r="74" spans="1:20" s="472" customFormat="1" ht="19.5" customHeight="1">
      <c r="A74" s="471"/>
      <c r="B74" s="474"/>
      <c r="C74" s="474"/>
      <c r="D74" s="474"/>
      <c r="E74" s="474"/>
      <c r="F74" s="474"/>
      <c r="G74" s="474"/>
      <c r="H74" s="474"/>
      <c r="I74" s="474"/>
      <c r="J74" s="474"/>
      <c r="K74" s="474"/>
      <c r="L74" s="474"/>
      <c r="M74" s="474"/>
      <c r="N74" s="474"/>
      <c r="O74" s="474"/>
      <c r="P74" s="474"/>
      <c r="Q74" s="474"/>
      <c r="R74" s="474"/>
      <c r="S74" s="474"/>
      <c r="T74" s="474"/>
    </row>
    <row r="75" spans="1:20" s="472" customFormat="1" ht="19.5" customHeight="1">
      <c r="A75" s="471"/>
      <c r="B75" s="474"/>
      <c r="C75" s="474"/>
      <c r="D75" s="474"/>
      <c r="E75" s="474"/>
      <c r="F75" s="474"/>
      <c r="G75" s="474"/>
      <c r="H75" s="474"/>
      <c r="I75" s="474"/>
      <c r="J75" s="474"/>
      <c r="K75" s="474"/>
      <c r="L75" s="474"/>
      <c r="M75" s="474"/>
      <c r="N75" s="474"/>
      <c r="O75" s="474"/>
      <c r="P75" s="474"/>
      <c r="Q75" s="474"/>
      <c r="R75" s="474"/>
      <c r="S75" s="474"/>
      <c r="T75" s="474"/>
    </row>
    <row r="76" spans="1:20" s="472" customFormat="1" ht="19.5" customHeight="1">
      <c r="A76" s="471"/>
      <c r="B76" s="474"/>
      <c r="C76" s="474"/>
      <c r="D76" s="474"/>
      <c r="E76" s="474"/>
      <c r="F76" s="474"/>
      <c r="G76" s="474"/>
      <c r="H76" s="474"/>
      <c r="I76" s="474"/>
      <c r="J76" s="474"/>
      <c r="K76" s="474"/>
      <c r="L76" s="474"/>
      <c r="M76" s="474"/>
      <c r="N76" s="474"/>
      <c r="O76" s="474"/>
      <c r="P76" s="474"/>
      <c r="Q76" s="474"/>
      <c r="R76" s="474"/>
      <c r="S76" s="474"/>
      <c r="T76" s="474"/>
    </row>
    <row r="77" spans="1:20" s="472" customFormat="1" ht="19.5" customHeight="1">
      <c r="A77" s="471"/>
      <c r="B77" s="474"/>
      <c r="C77" s="474"/>
      <c r="D77" s="474"/>
      <c r="E77" s="474"/>
      <c r="F77" s="474"/>
      <c r="G77" s="474"/>
      <c r="H77" s="474"/>
      <c r="I77" s="474"/>
      <c r="J77" s="474"/>
      <c r="K77" s="474"/>
      <c r="L77" s="474"/>
      <c r="M77" s="474"/>
      <c r="N77" s="474"/>
      <c r="O77" s="474"/>
      <c r="P77" s="474"/>
      <c r="Q77" s="474"/>
      <c r="R77" s="474"/>
      <c r="S77" s="474"/>
      <c r="T77" s="474"/>
    </row>
    <row r="78" spans="1:20" s="472" customFormat="1" ht="19.5" customHeight="1">
      <c r="A78" s="471"/>
      <c r="B78" s="474"/>
      <c r="C78" s="474"/>
      <c r="D78" s="474"/>
      <c r="E78" s="474"/>
      <c r="F78" s="474"/>
      <c r="G78" s="474"/>
      <c r="H78" s="474"/>
      <c r="I78" s="474"/>
      <c r="J78" s="474"/>
      <c r="K78" s="474"/>
      <c r="L78" s="474"/>
      <c r="M78" s="474"/>
      <c r="N78" s="474"/>
      <c r="O78" s="474"/>
      <c r="P78" s="474"/>
      <c r="Q78" s="474"/>
      <c r="R78" s="474"/>
      <c r="S78" s="474"/>
      <c r="T78" s="474"/>
    </row>
    <row r="79" spans="1:20" s="472" customFormat="1" ht="19.5" customHeight="1">
      <c r="A79" s="471"/>
      <c r="B79" s="474"/>
      <c r="C79" s="474"/>
      <c r="D79" s="474"/>
      <c r="E79" s="474"/>
      <c r="F79" s="474"/>
      <c r="G79" s="474"/>
      <c r="H79" s="474"/>
      <c r="I79" s="474"/>
      <c r="J79" s="474"/>
      <c r="K79" s="474"/>
      <c r="L79" s="474"/>
      <c r="M79" s="474"/>
      <c r="N79" s="474"/>
      <c r="O79" s="474"/>
      <c r="P79" s="474"/>
      <c r="Q79" s="474"/>
      <c r="R79" s="474"/>
      <c r="S79" s="474"/>
      <c r="T79" s="474"/>
    </row>
    <row r="80" spans="1:20" s="472" customFormat="1" ht="19.5" customHeight="1">
      <c r="A80" s="471"/>
      <c r="B80" s="474"/>
      <c r="C80" s="474"/>
      <c r="D80" s="474"/>
      <c r="E80" s="474"/>
      <c r="F80" s="474"/>
      <c r="G80" s="474"/>
      <c r="H80" s="474"/>
      <c r="I80" s="474"/>
      <c r="J80" s="474"/>
      <c r="K80" s="474"/>
      <c r="L80" s="474"/>
      <c r="M80" s="474"/>
      <c r="N80" s="474"/>
      <c r="O80" s="474"/>
      <c r="P80" s="474"/>
      <c r="Q80" s="474"/>
      <c r="R80" s="474"/>
      <c r="S80" s="474"/>
      <c r="T80" s="474"/>
    </row>
    <row r="81" spans="1:20" s="472" customFormat="1" ht="19.5" customHeight="1">
      <c r="A81" s="471"/>
      <c r="B81" s="474"/>
      <c r="C81" s="474"/>
      <c r="D81" s="474"/>
      <c r="E81" s="474"/>
      <c r="F81" s="474"/>
      <c r="G81" s="474"/>
      <c r="H81" s="474"/>
      <c r="I81" s="474"/>
      <c r="J81" s="474"/>
      <c r="K81" s="474"/>
      <c r="L81" s="474"/>
      <c r="M81" s="474"/>
      <c r="N81" s="474"/>
      <c r="O81" s="474"/>
      <c r="P81" s="474"/>
      <c r="Q81" s="474"/>
      <c r="R81" s="474"/>
      <c r="S81" s="474"/>
      <c r="T81" s="474"/>
    </row>
    <row r="82" spans="1:20" s="472" customFormat="1" ht="19.5" customHeight="1">
      <c r="A82" s="471"/>
      <c r="B82" s="474"/>
      <c r="C82" s="474"/>
      <c r="D82" s="474"/>
      <c r="E82" s="474"/>
      <c r="F82" s="474"/>
      <c r="G82" s="474"/>
      <c r="H82" s="474"/>
      <c r="I82" s="474"/>
      <c r="J82" s="474"/>
      <c r="K82" s="474"/>
      <c r="L82" s="474"/>
      <c r="M82" s="474"/>
      <c r="N82" s="474"/>
      <c r="O82" s="474"/>
      <c r="P82" s="474"/>
      <c r="Q82" s="474"/>
      <c r="R82" s="474"/>
      <c r="S82" s="474"/>
      <c r="T82" s="474"/>
    </row>
    <row r="83" spans="1:20" s="472" customFormat="1" ht="19.5" customHeight="1">
      <c r="A83" s="471"/>
      <c r="B83" s="474"/>
      <c r="C83" s="474"/>
      <c r="D83" s="474"/>
      <c r="E83" s="474"/>
      <c r="F83" s="474"/>
      <c r="G83" s="474"/>
      <c r="H83" s="474"/>
      <c r="I83" s="474"/>
      <c r="J83" s="474"/>
      <c r="K83" s="474"/>
      <c r="L83" s="474"/>
      <c r="M83" s="474"/>
      <c r="N83" s="474"/>
      <c r="O83" s="474"/>
      <c r="P83" s="474"/>
      <c r="Q83" s="474"/>
      <c r="R83" s="474"/>
      <c r="S83" s="474"/>
      <c r="T83" s="474"/>
    </row>
    <row r="84" spans="1:20" s="472" customFormat="1" ht="19.5" customHeight="1">
      <c r="A84" s="471"/>
      <c r="B84" s="474"/>
      <c r="C84" s="474"/>
      <c r="D84" s="474"/>
      <c r="E84" s="474"/>
      <c r="F84" s="474"/>
      <c r="G84" s="474"/>
      <c r="H84" s="474"/>
      <c r="I84" s="474"/>
      <c r="J84" s="474"/>
      <c r="K84" s="474"/>
      <c r="L84" s="474"/>
      <c r="M84" s="474"/>
      <c r="N84" s="474"/>
      <c r="O84" s="474"/>
      <c r="P84" s="474"/>
      <c r="Q84" s="474"/>
      <c r="R84" s="474"/>
      <c r="S84" s="474"/>
      <c r="T84" s="474"/>
    </row>
    <row r="85" spans="1:20" s="472" customFormat="1" ht="19.5" customHeight="1">
      <c r="A85" s="471"/>
      <c r="B85" s="474"/>
      <c r="C85" s="474"/>
      <c r="D85" s="474"/>
      <c r="E85" s="474"/>
      <c r="F85" s="474"/>
      <c r="G85" s="474"/>
      <c r="H85" s="474"/>
      <c r="I85" s="474"/>
      <c r="J85" s="474"/>
      <c r="K85" s="474"/>
      <c r="L85" s="474"/>
      <c r="M85" s="474"/>
      <c r="N85" s="474"/>
      <c r="O85" s="474"/>
      <c r="P85" s="474"/>
      <c r="Q85" s="474"/>
      <c r="R85" s="474"/>
      <c r="S85" s="474"/>
      <c r="T85" s="474"/>
    </row>
    <row r="86" spans="1:20" s="472" customFormat="1" ht="19.5" customHeight="1">
      <c r="A86" s="471"/>
      <c r="B86" s="474"/>
      <c r="C86" s="474"/>
      <c r="D86" s="474"/>
      <c r="E86" s="474"/>
      <c r="F86" s="474"/>
      <c r="G86" s="474"/>
      <c r="H86" s="474"/>
      <c r="I86" s="474"/>
      <c r="J86" s="474"/>
      <c r="K86" s="474"/>
      <c r="L86" s="474"/>
      <c r="M86" s="474"/>
      <c r="N86" s="474"/>
      <c r="O86" s="474"/>
      <c r="P86" s="474"/>
      <c r="Q86" s="474"/>
      <c r="R86" s="474"/>
      <c r="S86" s="474"/>
      <c r="T86" s="474"/>
    </row>
    <row r="87" spans="1:20" s="472" customFormat="1" ht="19.5" customHeight="1">
      <c r="A87" s="471"/>
      <c r="B87" s="474"/>
      <c r="C87" s="474"/>
      <c r="D87" s="474"/>
      <c r="E87" s="474"/>
      <c r="F87" s="474"/>
      <c r="G87" s="474"/>
      <c r="H87" s="474"/>
      <c r="I87" s="474"/>
      <c r="J87" s="474"/>
      <c r="K87" s="474"/>
      <c r="L87" s="474"/>
      <c r="M87" s="474"/>
      <c r="N87" s="474"/>
      <c r="O87" s="474"/>
      <c r="P87" s="474"/>
      <c r="Q87" s="474"/>
      <c r="R87" s="474"/>
      <c r="S87" s="474"/>
      <c r="T87" s="474"/>
    </row>
    <row r="88" spans="1:20" s="472" customFormat="1" ht="19.5" customHeight="1">
      <c r="A88" s="471"/>
      <c r="B88" s="474"/>
      <c r="C88" s="474"/>
      <c r="D88" s="474"/>
      <c r="E88" s="474"/>
      <c r="F88" s="474"/>
      <c r="G88" s="474"/>
      <c r="H88" s="474"/>
      <c r="I88" s="474"/>
      <c r="J88" s="474"/>
      <c r="K88" s="474"/>
      <c r="L88" s="474"/>
      <c r="M88" s="474"/>
      <c r="N88" s="474"/>
      <c r="O88" s="474"/>
      <c r="P88" s="474"/>
      <c r="Q88" s="474"/>
      <c r="R88" s="474"/>
      <c r="S88" s="474"/>
      <c r="T88" s="474"/>
    </row>
    <row r="89" spans="1:20" s="472" customFormat="1" ht="19.5" customHeight="1">
      <c r="A89" s="471"/>
      <c r="B89" s="474"/>
      <c r="C89" s="474"/>
      <c r="D89" s="474"/>
      <c r="E89" s="474"/>
      <c r="F89" s="474"/>
      <c r="G89" s="474"/>
      <c r="H89" s="474"/>
      <c r="I89" s="474"/>
      <c r="J89" s="474"/>
      <c r="K89" s="474"/>
      <c r="L89" s="474"/>
      <c r="M89" s="474"/>
      <c r="N89" s="474"/>
      <c r="O89" s="474"/>
      <c r="P89" s="474"/>
      <c r="Q89" s="474"/>
      <c r="R89" s="474"/>
      <c r="S89" s="474"/>
      <c r="T89" s="474"/>
    </row>
    <row r="90" spans="1:20" s="472" customFormat="1" ht="19.5" customHeight="1">
      <c r="A90" s="471"/>
      <c r="B90" s="474"/>
      <c r="C90" s="474"/>
      <c r="D90" s="474"/>
      <c r="E90" s="474"/>
      <c r="F90" s="474"/>
      <c r="G90" s="474"/>
      <c r="H90" s="474"/>
      <c r="I90" s="474"/>
      <c r="J90" s="474"/>
      <c r="K90" s="474"/>
      <c r="L90" s="474"/>
      <c r="M90" s="474"/>
      <c r="N90" s="474"/>
      <c r="O90" s="474"/>
      <c r="P90" s="474"/>
      <c r="Q90" s="474"/>
      <c r="R90" s="474"/>
      <c r="S90" s="474"/>
      <c r="T90" s="474"/>
    </row>
    <row r="91" spans="1:20" s="472" customFormat="1" ht="19.5" customHeight="1">
      <c r="A91" s="471"/>
      <c r="B91" s="474"/>
      <c r="C91" s="474"/>
      <c r="D91" s="474"/>
      <c r="E91" s="474"/>
      <c r="F91" s="474"/>
      <c r="G91" s="474"/>
      <c r="H91" s="474"/>
      <c r="I91" s="474"/>
      <c r="J91" s="474"/>
      <c r="K91" s="474"/>
      <c r="L91" s="474"/>
      <c r="M91" s="474"/>
      <c r="N91" s="474"/>
      <c r="O91" s="474"/>
      <c r="P91" s="474"/>
      <c r="Q91" s="474"/>
      <c r="R91" s="474"/>
      <c r="S91" s="474"/>
      <c r="T91" s="474"/>
    </row>
    <row r="92" spans="1:20" s="472" customFormat="1" ht="19.5" customHeight="1">
      <c r="A92" s="471"/>
      <c r="B92" s="474"/>
      <c r="C92" s="474"/>
      <c r="D92" s="474"/>
      <c r="E92" s="474"/>
      <c r="F92" s="474"/>
      <c r="G92" s="474"/>
      <c r="H92" s="474"/>
      <c r="I92" s="474"/>
      <c r="J92" s="474"/>
      <c r="K92" s="474"/>
      <c r="L92" s="474"/>
      <c r="M92" s="474"/>
      <c r="N92" s="474"/>
      <c r="O92" s="474"/>
      <c r="P92" s="474"/>
      <c r="Q92" s="474"/>
      <c r="R92" s="474"/>
      <c r="S92" s="474"/>
      <c r="T92" s="474"/>
    </row>
    <row r="93" spans="1:20" s="472" customFormat="1" ht="19.5" customHeight="1">
      <c r="A93" s="471"/>
      <c r="B93" s="474"/>
      <c r="C93" s="474"/>
      <c r="D93" s="474"/>
      <c r="E93" s="474"/>
      <c r="F93" s="474"/>
      <c r="G93" s="474"/>
      <c r="H93" s="474"/>
      <c r="I93" s="474"/>
      <c r="J93" s="474"/>
      <c r="K93" s="474"/>
      <c r="L93" s="474"/>
      <c r="M93" s="474"/>
      <c r="N93" s="474"/>
      <c r="O93" s="474"/>
      <c r="P93" s="474"/>
      <c r="Q93" s="474"/>
      <c r="R93" s="474"/>
      <c r="S93" s="474"/>
      <c r="T93" s="474"/>
    </row>
    <row r="94" spans="1:20" s="472" customFormat="1" ht="19.5" customHeight="1">
      <c r="A94" s="471"/>
      <c r="B94" s="474"/>
      <c r="C94" s="474"/>
      <c r="D94" s="474"/>
      <c r="E94" s="474"/>
      <c r="F94" s="474"/>
      <c r="G94" s="474"/>
      <c r="H94" s="474"/>
      <c r="I94" s="474"/>
      <c r="J94" s="474"/>
      <c r="K94" s="474"/>
      <c r="L94" s="474"/>
      <c r="M94" s="474"/>
      <c r="N94" s="474"/>
      <c r="O94" s="474"/>
      <c r="P94" s="474"/>
      <c r="Q94" s="474"/>
      <c r="R94" s="474"/>
      <c r="S94" s="474"/>
      <c r="T94" s="474"/>
    </row>
    <row r="95" spans="1:20" s="472" customFormat="1" ht="19.5" customHeight="1">
      <c r="A95" s="471"/>
      <c r="B95" s="474"/>
      <c r="C95" s="474"/>
      <c r="D95" s="474"/>
      <c r="E95" s="474"/>
      <c r="F95" s="474"/>
      <c r="G95" s="474"/>
      <c r="H95" s="474"/>
      <c r="I95" s="474"/>
      <c r="J95" s="474"/>
      <c r="K95" s="474"/>
      <c r="L95" s="474"/>
      <c r="M95" s="474"/>
      <c r="N95" s="474"/>
      <c r="O95" s="474"/>
      <c r="P95" s="474"/>
      <c r="Q95" s="474"/>
      <c r="R95" s="474"/>
      <c r="S95" s="474"/>
      <c r="T95" s="474"/>
    </row>
    <row r="96" spans="1:20" s="472" customFormat="1" ht="19.5" customHeight="1">
      <c r="A96" s="471"/>
      <c r="B96" s="474"/>
      <c r="C96" s="474"/>
      <c r="D96" s="474"/>
      <c r="E96" s="474"/>
      <c r="F96" s="474"/>
      <c r="G96" s="474"/>
      <c r="H96" s="474"/>
      <c r="I96" s="474"/>
      <c r="J96" s="474"/>
      <c r="K96" s="474"/>
      <c r="L96" s="474"/>
      <c r="M96" s="474"/>
      <c r="N96" s="474"/>
      <c r="O96" s="474"/>
      <c r="P96" s="474"/>
      <c r="Q96" s="474"/>
      <c r="R96" s="474"/>
      <c r="S96" s="474"/>
      <c r="T96" s="474"/>
    </row>
    <row r="97" spans="1:20" s="472" customFormat="1" ht="19.5" customHeight="1">
      <c r="A97" s="471"/>
      <c r="B97" s="474"/>
      <c r="C97" s="474"/>
      <c r="D97" s="474"/>
      <c r="E97" s="474"/>
      <c r="F97" s="474"/>
      <c r="G97" s="474"/>
      <c r="H97" s="474"/>
      <c r="I97" s="474"/>
      <c r="J97" s="474"/>
      <c r="K97" s="474"/>
      <c r="L97" s="474"/>
      <c r="M97" s="474"/>
      <c r="N97" s="474"/>
      <c r="O97" s="474"/>
      <c r="P97" s="474"/>
      <c r="Q97" s="474"/>
      <c r="R97" s="474"/>
      <c r="S97" s="474"/>
      <c r="T97" s="474"/>
    </row>
    <row r="98" spans="1:20" s="472" customFormat="1" ht="19.5" customHeight="1">
      <c r="A98" s="471"/>
      <c r="B98" s="474"/>
      <c r="C98" s="474"/>
      <c r="D98" s="474"/>
      <c r="E98" s="474"/>
      <c r="F98" s="474"/>
      <c r="G98" s="474"/>
      <c r="H98" s="474"/>
      <c r="I98" s="474"/>
      <c r="J98" s="474"/>
      <c r="K98" s="474"/>
      <c r="L98" s="474"/>
      <c r="M98" s="474"/>
      <c r="N98" s="474"/>
      <c r="O98" s="474"/>
      <c r="P98" s="474"/>
      <c r="Q98" s="474"/>
      <c r="R98" s="474"/>
      <c r="S98" s="474"/>
      <c r="T98" s="474"/>
    </row>
    <row r="99" spans="1:20" s="472" customFormat="1" ht="19.5" customHeight="1">
      <c r="A99" s="471"/>
      <c r="B99" s="474"/>
      <c r="C99" s="474"/>
      <c r="D99" s="474"/>
      <c r="E99" s="474"/>
      <c r="F99" s="474"/>
      <c r="G99" s="474"/>
      <c r="H99" s="474"/>
      <c r="I99" s="474"/>
      <c r="J99" s="474"/>
      <c r="K99" s="474"/>
      <c r="L99" s="474"/>
      <c r="M99" s="474"/>
      <c r="N99" s="474"/>
      <c r="O99" s="474"/>
      <c r="P99" s="474"/>
      <c r="Q99" s="474"/>
      <c r="R99" s="474"/>
      <c r="S99" s="474"/>
      <c r="T99" s="474"/>
    </row>
    <row r="100" spans="1:20" s="472" customFormat="1" ht="19.5" customHeight="1">
      <c r="A100" s="471"/>
      <c r="B100" s="474"/>
      <c r="C100" s="474"/>
      <c r="D100" s="474"/>
      <c r="E100" s="474"/>
      <c r="F100" s="474"/>
      <c r="G100" s="474"/>
      <c r="H100" s="474"/>
      <c r="I100" s="474"/>
      <c r="J100" s="474"/>
      <c r="K100" s="474"/>
      <c r="L100" s="474"/>
      <c r="M100" s="474"/>
      <c r="N100" s="474"/>
      <c r="O100" s="474"/>
      <c r="P100" s="474"/>
      <c r="Q100" s="474"/>
      <c r="R100" s="474"/>
      <c r="S100" s="474"/>
      <c r="T100" s="474"/>
    </row>
    <row r="101" spans="1:20" s="472" customFormat="1" ht="19.5" customHeight="1">
      <c r="A101" s="471"/>
      <c r="B101" s="474"/>
      <c r="C101" s="474"/>
      <c r="D101" s="474"/>
      <c r="E101" s="474"/>
      <c r="F101" s="474"/>
      <c r="G101" s="474"/>
      <c r="H101" s="474"/>
      <c r="I101" s="474"/>
      <c r="J101" s="474"/>
      <c r="K101" s="474"/>
      <c r="L101" s="474"/>
      <c r="M101" s="474"/>
      <c r="N101" s="474"/>
      <c r="O101" s="474"/>
      <c r="P101" s="474"/>
      <c r="Q101" s="474"/>
      <c r="R101" s="474"/>
      <c r="S101" s="474"/>
      <c r="T101" s="474"/>
    </row>
    <row r="102" spans="1:20" s="472" customFormat="1" ht="19.5" customHeight="1">
      <c r="A102" s="471"/>
      <c r="B102" s="474"/>
      <c r="C102" s="474"/>
      <c r="D102" s="474"/>
      <c r="E102" s="474"/>
      <c r="F102" s="474"/>
      <c r="G102" s="474"/>
      <c r="H102" s="474"/>
      <c r="I102" s="474"/>
      <c r="J102" s="474"/>
      <c r="K102" s="474"/>
      <c r="L102" s="474"/>
      <c r="M102" s="474"/>
      <c r="N102" s="474"/>
      <c r="O102" s="474"/>
      <c r="P102" s="474"/>
      <c r="Q102" s="474"/>
      <c r="R102" s="474"/>
      <c r="S102" s="474"/>
      <c r="T102" s="474"/>
    </row>
    <row r="103" spans="1:20" s="472" customFormat="1" ht="19.5" customHeight="1">
      <c r="A103" s="471"/>
      <c r="B103" s="474"/>
      <c r="C103" s="474"/>
      <c r="D103" s="474"/>
      <c r="E103" s="474"/>
      <c r="F103" s="474"/>
      <c r="G103" s="474"/>
      <c r="H103" s="474"/>
      <c r="I103" s="474"/>
      <c r="J103" s="474"/>
      <c r="K103" s="474"/>
      <c r="L103" s="474"/>
      <c r="M103" s="474"/>
      <c r="N103" s="474"/>
      <c r="O103" s="474"/>
      <c r="P103" s="474"/>
      <c r="Q103" s="474"/>
      <c r="R103" s="474"/>
      <c r="S103" s="474"/>
      <c r="T103" s="474"/>
    </row>
    <row r="104" spans="1:20" s="472" customFormat="1" ht="19.5" customHeight="1">
      <c r="A104" s="471"/>
      <c r="B104" s="474"/>
      <c r="C104" s="474"/>
      <c r="D104" s="474"/>
      <c r="E104" s="474"/>
      <c r="F104" s="474"/>
      <c r="G104" s="474"/>
      <c r="H104" s="474"/>
      <c r="I104" s="474"/>
      <c r="J104" s="474"/>
      <c r="K104" s="474"/>
      <c r="L104" s="474"/>
      <c r="M104" s="474"/>
      <c r="N104" s="474"/>
      <c r="O104" s="474"/>
      <c r="P104" s="474"/>
      <c r="Q104" s="474"/>
      <c r="R104" s="474"/>
      <c r="S104" s="474"/>
      <c r="T104" s="474"/>
    </row>
    <row r="105" spans="1:20" s="472" customFormat="1" ht="19.5" customHeight="1">
      <c r="A105" s="471"/>
      <c r="B105" s="474"/>
      <c r="C105" s="474"/>
      <c r="D105" s="474"/>
      <c r="E105" s="474"/>
      <c r="F105" s="474"/>
      <c r="G105" s="474"/>
      <c r="H105" s="474"/>
      <c r="I105" s="474"/>
      <c r="J105" s="474"/>
      <c r="K105" s="474"/>
      <c r="L105" s="474"/>
      <c r="M105" s="474"/>
      <c r="N105" s="474"/>
      <c r="O105" s="474"/>
      <c r="P105" s="474"/>
      <c r="Q105" s="474"/>
      <c r="R105" s="474"/>
      <c r="S105" s="474"/>
      <c r="T105" s="474"/>
    </row>
    <row r="106" spans="1:20" s="472" customFormat="1" ht="19.5" customHeight="1">
      <c r="A106" s="471"/>
      <c r="B106" s="474"/>
      <c r="C106" s="474"/>
      <c r="D106" s="474"/>
      <c r="E106" s="474"/>
      <c r="F106" s="474"/>
      <c r="G106" s="474"/>
      <c r="H106" s="474"/>
      <c r="I106" s="474"/>
      <c r="J106" s="474"/>
      <c r="K106" s="474"/>
      <c r="L106" s="474"/>
      <c r="M106" s="474"/>
      <c r="N106" s="474"/>
      <c r="O106" s="474"/>
      <c r="P106" s="474"/>
      <c r="Q106" s="474"/>
      <c r="R106" s="474"/>
      <c r="S106" s="474"/>
      <c r="T106" s="474"/>
    </row>
    <row r="107" spans="1:20" s="472" customFormat="1" ht="19.5" customHeight="1">
      <c r="A107" s="471"/>
      <c r="B107" s="474"/>
      <c r="C107" s="474"/>
      <c r="D107" s="474"/>
      <c r="E107" s="474"/>
      <c r="F107" s="474"/>
      <c r="G107" s="474"/>
      <c r="H107" s="474"/>
      <c r="I107" s="474"/>
      <c r="J107" s="474"/>
      <c r="K107" s="474"/>
      <c r="L107" s="474"/>
      <c r="M107" s="474"/>
      <c r="N107" s="474"/>
      <c r="O107" s="474"/>
      <c r="P107" s="474"/>
      <c r="Q107" s="474"/>
      <c r="R107" s="474"/>
      <c r="S107" s="474"/>
      <c r="T107" s="474"/>
    </row>
    <row r="108" spans="1:20" s="472" customFormat="1" ht="19.5" customHeight="1">
      <c r="A108" s="471"/>
      <c r="B108" s="474"/>
      <c r="C108" s="474"/>
      <c r="D108" s="474"/>
      <c r="E108" s="474"/>
      <c r="F108" s="474"/>
      <c r="G108" s="474"/>
      <c r="H108" s="474"/>
      <c r="I108" s="474"/>
      <c r="J108" s="474"/>
      <c r="K108" s="474"/>
      <c r="L108" s="474"/>
      <c r="M108" s="474"/>
      <c r="N108" s="474"/>
      <c r="O108" s="474"/>
      <c r="P108" s="474"/>
      <c r="Q108" s="474"/>
      <c r="R108" s="474"/>
      <c r="S108" s="474"/>
      <c r="T108" s="474"/>
    </row>
    <row r="109" spans="1:20" s="472" customFormat="1" ht="19.5" customHeight="1">
      <c r="A109" s="471"/>
      <c r="B109" s="474"/>
      <c r="C109" s="474"/>
      <c r="D109" s="474"/>
      <c r="E109" s="474"/>
      <c r="F109" s="474"/>
      <c r="G109" s="474"/>
      <c r="H109" s="474"/>
      <c r="I109" s="474"/>
      <c r="J109" s="474"/>
      <c r="K109" s="474"/>
      <c r="L109" s="474"/>
      <c r="M109" s="474"/>
      <c r="N109" s="474"/>
      <c r="O109" s="474"/>
      <c r="P109" s="474"/>
      <c r="Q109" s="474"/>
      <c r="R109" s="474"/>
      <c r="S109" s="474"/>
      <c r="T109" s="474"/>
    </row>
    <row r="110" ht="19.5" customHeight="1"/>
    <row r="111" ht="9.75" customHeight="1"/>
    <row r="112" ht="19.5" customHeight="1"/>
    <row r="113" ht="19.5" customHeight="1"/>
    <row r="114" ht="19.5" customHeight="1"/>
    <row r="115" ht="19.5" customHeight="1"/>
    <row r="116" spans="1:20" s="472" customFormat="1" ht="19.5" customHeight="1">
      <c r="A116" s="471"/>
      <c r="B116" s="474"/>
      <c r="C116" s="474"/>
      <c r="D116" s="474"/>
      <c r="E116" s="474"/>
      <c r="F116" s="474"/>
      <c r="G116" s="474"/>
      <c r="H116" s="474"/>
      <c r="I116" s="474"/>
      <c r="J116" s="474"/>
      <c r="K116" s="474"/>
      <c r="L116" s="474"/>
      <c r="M116" s="474"/>
      <c r="N116" s="474"/>
      <c r="O116" s="474"/>
      <c r="P116" s="474"/>
      <c r="Q116" s="474"/>
      <c r="R116" s="474"/>
      <c r="S116" s="474"/>
      <c r="T116" s="474"/>
    </row>
    <row r="117" spans="1:20" s="472" customFormat="1" ht="19.5" customHeight="1">
      <c r="A117" s="471"/>
      <c r="B117" s="474"/>
      <c r="C117" s="474"/>
      <c r="D117" s="474"/>
      <c r="E117" s="474"/>
      <c r="F117" s="474"/>
      <c r="G117" s="474"/>
      <c r="H117" s="474"/>
      <c r="I117" s="474"/>
      <c r="J117" s="474"/>
      <c r="K117" s="474"/>
      <c r="L117" s="474"/>
      <c r="M117" s="474"/>
      <c r="N117" s="474"/>
      <c r="O117" s="474"/>
      <c r="P117" s="474"/>
      <c r="Q117" s="474"/>
      <c r="R117" s="474"/>
      <c r="S117" s="474"/>
      <c r="T117" s="474"/>
    </row>
    <row r="118" spans="1:20" s="472" customFormat="1" ht="19.5" customHeight="1">
      <c r="A118" s="471"/>
      <c r="B118" s="474"/>
      <c r="C118" s="474"/>
      <c r="D118" s="474"/>
      <c r="E118" s="474"/>
      <c r="F118" s="474"/>
      <c r="G118" s="474"/>
      <c r="H118" s="474"/>
      <c r="I118" s="474"/>
      <c r="J118" s="474"/>
      <c r="K118" s="474"/>
      <c r="L118" s="474"/>
      <c r="M118" s="474"/>
      <c r="N118" s="474"/>
      <c r="O118" s="474"/>
      <c r="P118" s="474"/>
      <c r="Q118" s="474"/>
      <c r="R118" s="474"/>
      <c r="S118" s="474"/>
      <c r="T118" s="474"/>
    </row>
    <row r="119" spans="1:20" s="472" customFormat="1" ht="19.5" customHeight="1">
      <c r="A119" s="471"/>
      <c r="B119" s="474"/>
      <c r="C119" s="474"/>
      <c r="D119" s="474"/>
      <c r="E119" s="474"/>
      <c r="F119" s="474"/>
      <c r="G119" s="474"/>
      <c r="H119" s="474"/>
      <c r="I119" s="474"/>
      <c r="J119" s="474"/>
      <c r="K119" s="474"/>
      <c r="L119" s="474"/>
      <c r="M119" s="474"/>
      <c r="N119" s="474"/>
      <c r="O119" s="474"/>
      <c r="P119" s="474"/>
      <c r="Q119" s="474"/>
      <c r="R119" s="474"/>
      <c r="S119" s="474"/>
      <c r="T119" s="474"/>
    </row>
    <row r="120" spans="1:20" s="472" customFormat="1" ht="19.5" customHeight="1">
      <c r="A120" s="471"/>
      <c r="B120" s="474"/>
      <c r="C120" s="474"/>
      <c r="D120" s="474"/>
      <c r="E120" s="474"/>
      <c r="F120" s="474"/>
      <c r="G120" s="474"/>
      <c r="H120" s="474"/>
      <c r="I120" s="474"/>
      <c r="J120" s="474"/>
      <c r="K120" s="474"/>
      <c r="L120" s="474"/>
      <c r="M120" s="474"/>
      <c r="N120" s="474"/>
      <c r="O120" s="474"/>
      <c r="P120" s="474"/>
      <c r="Q120" s="474"/>
      <c r="R120" s="474"/>
      <c r="S120" s="474"/>
      <c r="T120" s="474"/>
    </row>
    <row r="121" spans="1:20" s="472" customFormat="1" ht="19.5" customHeight="1">
      <c r="A121" s="471"/>
      <c r="B121" s="474"/>
      <c r="C121" s="474"/>
      <c r="D121" s="474"/>
      <c r="E121" s="474"/>
      <c r="F121" s="474"/>
      <c r="G121" s="474"/>
      <c r="H121" s="474"/>
      <c r="I121" s="474"/>
      <c r="J121" s="474"/>
      <c r="K121" s="474"/>
      <c r="L121" s="474"/>
      <c r="M121" s="474"/>
      <c r="N121" s="474"/>
      <c r="O121" s="474"/>
      <c r="P121" s="474"/>
      <c r="Q121" s="474"/>
      <c r="R121" s="474"/>
      <c r="S121" s="474"/>
      <c r="T121" s="474"/>
    </row>
    <row r="122" spans="1:20" s="472" customFormat="1" ht="19.5" customHeight="1">
      <c r="A122" s="471"/>
      <c r="B122" s="474"/>
      <c r="C122" s="474"/>
      <c r="D122" s="474"/>
      <c r="E122" s="474"/>
      <c r="F122" s="474"/>
      <c r="G122" s="474"/>
      <c r="H122" s="474"/>
      <c r="I122" s="474"/>
      <c r="J122" s="474"/>
      <c r="K122" s="474"/>
      <c r="L122" s="474"/>
      <c r="M122" s="474"/>
      <c r="N122" s="474"/>
      <c r="O122" s="474"/>
      <c r="P122" s="474"/>
      <c r="Q122" s="474"/>
      <c r="R122" s="474"/>
      <c r="S122" s="474"/>
      <c r="T122" s="474"/>
    </row>
    <row r="123" spans="1:20" s="472" customFormat="1" ht="19.5" customHeight="1">
      <c r="A123" s="471"/>
      <c r="B123" s="474"/>
      <c r="C123" s="474"/>
      <c r="D123" s="474"/>
      <c r="E123" s="474"/>
      <c r="F123" s="474"/>
      <c r="G123" s="474"/>
      <c r="H123" s="474"/>
      <c r="I123" s="474"/>
      <c r="J123" s="474"/>
      <c r="K123" s="474"/>
      <c r="L123" s="474"/>
      <c r="M123" s="474"/>
      <c r="N123" s="474"/>
      <c r="O123" s="474"/>
      <c r="P123" s="474"/>
      <c r="Q123" s="474"/>
      <c r="R123" s="474"/>
      <c r="S123" s="474"/>
      <c r="T123" s="474"/>
    </row>
    <row r="124" spans="1:20" s="472" customFormat="1" ht="19.5" customHeight="1">
      <c r="A124" s="471"/>
      <c r="B124" s="474"/>
      <c r="C124" s="474"/>
      <c r="D124" s="474"/>
      <c r="E124" s="474"/>
      <c r="F124" s="474"/>
      <c r="G124" s="474"/>
      <c r="H124" s="474"/>
      <c r="I124" s="474"/>
      <c r="J124" s="474"/>
      <c r="K124" s="474"/>
      <c r="L124" s="474"/>
      <c r="M124" s="474"/>
      <c r="N124" s="474"/>
      <c r="O124" s="474"/>
      <c r="P124" s="474"/>
      <c r="Q124" s="474"/>
      <c r="R124" s="474"/>
      <c r="S124" s="474"/>
      <c r="T124" s="474"/>
    </row>
    <row r="125" spans="1:20" s="472" customFormat="1" ht="19.5" customHeight="1">
      <c r="A125" s="471"/>
      <c r="B125" s="474"/>
      <c r="C125" s="474"/>
      <c r="D125" s="474"/>
      <c r="E125" s="474"/>
      <c r="F125" s="474"/>
      <c r="G125" s="474"/>
      <c r="H125" s="474"/>
      <c r="I125" s="474"/>
      <c r="J125" s="474"/>
      <c r="K125" s="474"/>
      <c r="L125" s="474"/>
      <c r="M125" s="474"/>
      <c r="N125" s="474"/>
      <c r="O125" s="474"/>
      <c r="P125" s="474"/>
      <c r="Q125" s="474"/>
      <c r="R125" s="474"/>
      <c r="S125" s="474"/>
      <c r="T125" s="474"/>
    </row>
    <row r="126" spans="1:20" s="472" customFormat="1" ht="19.5" customHeight="1">
      <c r="A126" s="471"/>
      <c r="B126" s="474"/>
      <c r="C126" s="474"/>
      <c r="D126" s="474"/>
      <c r="E126" s="474"/>
      <c r="F126" s="474"/>
      <c r="G126" s="474"/>
      <c r="H126" s="474"/>
      <c r="I126" s="474"/>
      <c r="J126" s="474"/>
      <c r="K126" s="474"/>
      <c r="L126" s="474"/>
      <c r="M126" s="474"/>
      <c r="N126" s="474"/>
      <c r="O126" s="474"/>
      <c r="P126" s="474"/>
      <c r="Q126" s="474"/>
      <c r="R126" s="474"/>
      <c r="S126" s="474"/>
      <c r="T126" s="474"/>
    </row>
    <row r="127" spans="1:20" s="472" customFormat="1" ht="19.5" customHeight="1">
      <c r="A127" s="471"/>
      <c r="B127" s="474"/>
      <c r="C127" s="474"/>
      <c r="D127" s="474"/>
      <c r="E127" s="474"/>
      <c r="F127" s="474"/>
      <c r="G127" s="474"/>
      <c r="H127" s="474"/>
      <c r="I127" s="474"/>
      <c r="J127" s="474"/>
      <c r="K127" s="474"/>
      <c r="L127" s="474"/>
      <c r="M127" s="474"/>
      <c r="N127" s="474"/>
      <c r="O127" s="474"/>
      <c r="P127" s="474"/>
      <c r="Q127" s="474"/>
      <c r="R127" s="474"/>
      <c r="S127" s="474"/>
      <c r="T127" s="474"/>
    </row>
    <row r="128" spans="1:20" s="472" customFormat="1" ht="19.5" customHeight="1">
      <c r="A128" s="471"/>
      <c r="B128" s="474"/>
      <c r="C128" s="474"/>
      <c r="D128" s="474"/>
      <c r="E128" s="474"/>
      <c r="F128" s="474"/>
      <c r="G128" s="474"/>
      <c r="H128" s="474"/>
      <c r="I128" s="474"/>
      <c r="J128" s="474"/>
      <c r="K128" s="474"/>
      <c r="L128" s="474"/>
      <c r="M128" s="474"/>
      <c r="N128" s="474"/>
      <c r="O128" s="474"/>
      <c r="P128" s="474"/>
      <c r="Q128" s="474"/>
      <c r="R128" s="474"/>
      <c r="S128" s="474"/>
      <c r="T128" s="474"/>
    </row>
    <row r="129" spans="1:20" s="472" customFormat="1" ht="19.5" customHeight="1">
      <c r="A129" s="471"/>
      <c r="B129" s="474"/>
      <c r="C129" s="474"/>
      <c r="D129" s="474"/>
      <c r="E129" s="474"/>
      <c r="F129" s="474"/>
      <c r="G129" s="474"/>
      <c r="H129" s="474"/>
      <c r="I129" s="474"/>
      <c r="J129" s="474"/>
      <c r="K129" s="474"/>
      <c r="L129" s="474"/>
      <c r="M129" s="474"/>
      <c r="N129" s="474"/>
      <c r="O129" s="474"/>
      <c r="P129" s="474"/>
      <c r="Q129" s="474"/>
      <c r="R129" s="474"/>
      <c r="S129" s="474"/>
      <c r="T129" s="474"/>
    </row>
    <row r="130" spans="1:20" s="472" customFormat="1" ht="19.5" customHeight="1">
      <c r="A130" s="471"/>
      <c r="B130" s="474"/>
      <c r="C130" s="474"/>
      <c r="D130" s="474"/>
      <c r="E130" s="474"/>
      <c r="F130" s="474"/>
      <c r="G130" s="474"/>
      <c r="H130" s="474"/>
      <c r="I130" s="474"/>
      <c r="J130" s="474"/>
      <c r="K130" s="474"/>
      <c r="L130" s="474"/>
      <c r="M130" s="474"/>
      <c r="N130" s="474"/>
      <c r="O130" s="474"/>
      <c r="P130" s="474"/>
      <c r="Q130" s="474"/>
      <c r="R130" s="474"/>
      <c r="S130" s="474"/>
      <c r="T130" s="474"/>
    </row>
    <row r="131" spans="1:20" s="472" customFormat="1" ht="19.5" customHeight="1">
      <c r="A131" s="471"/>
      <c r="B131" s="474"/>
      <c r="C131" s="474"/>
      <c r="D131" s="474"/>
      <c r="E131" s="474"/>
      <c r="F131" s="474"/>
      <c r="G131" s="474"/>
      <c r="H131" s="474"/>
      <c r="I131" s="474"/>
      <c r="J131" s="474"/>
      <c r="K131" s="474"/>
      <c r="L131" s="474"/>
      <c r="M131" s="474"/>
      <c r="N131" s="474"/>
      <c r="O131" s="474"/>
      <c r="P131" s="474"/>
      <c r="Q131" s="474"/>
      <c r="R131" s="474"/>
      <c r="S131" s="474"/>
      <c r="T131" s="474"/>
    </row>
    <row r="132" spans="1:20" s="472" customFormat="1" ht="19.5" customHeight="1">
      <c r="A132" s="471"/>
      <c r="B132" s="474"/>
      <c r="C132" s="474"/>
      <c r="D132" s="474"/>
      <c r="E132" s="474"/>
      <c r="F132" s="474"/>
      <c r="G132" s="474"/>
      <c r="H132" s="474"/>
      <c r="I132" s="474"/>
      <c r="J132" s="474"/>
      <c r="K132" s="474"/>
      <c r="L132" s="474"/>
      <c r="M132" s="474"/>
      <c r="N132" s="474"/>
      <c r="O132" s="474"/>
      <c r="P132" s="474"/>
      <c r="Q132" s="474"/>
      <c r="R132" s="474"/>
      <c r="S132" s="474"/>
      <c r="T132" s="474"/>
    </row>
    <row r="133" spans="1:20" s="472" customFormat="1" ht="19.5" customHeight="1">
      <c r="A133" s="471"/>
      <c r="B133" s="474"/>
      <c r="C133" s="474"/>
      <c r="D133" s="474"/>
      <c r="E133" s="474"/>
      <c r="F133" s="474"/>
      <c r="G133" s="474"/>
      <c r="H133" s="474"/>
      <c r="I133" s="474"/>
      <c r="J133" s="474"/>
      <c r="K133" s="474"/>
      <c r="L133" s="474"/>
      <c r="M133" s="474"/>
      <c r="N133" s="474"/>
      <c r="O133" s="474"/>
      <c r="P133" s="474"/>
      <c r="Q133" s="474"/>
      <c r="R133" s="474"/>
      <c r="S133" s="474"/>
      <c r="T133" s="474"/>
    </row>
    <row r="134" spans="1:20" s="472" customFormat="1" ht="19.5" customHeight="1">
      <c r="A134" s="471"/>
      <c r="B134" s="474"/>
      <c r="C134" s="474"/>
      <c r="D134" s="474"/>
      <c r="E134" s="474"/>
      <c r="F134" s="474"/>
      <c r="G134" s="474"/>
      <c r="H134" s="474"/>
      <c r="I134" s="474"/>
      <c r="J134" s="474"/>
      <c r="K134" s="474"/>
      <c r="L134" s="474"/>
      <c r="M134" s="474"/>
      <c r="N134" s="474"/>
      <c r="O134" s="474"/>
      <c r="P134" s="474"/>
      <c r="Q134" s="474"/>
      <c r="R134" s="474"/>
      <c r="S134" s="474"/>
      <c r="T134" s="474"/>
    </row>
    <row r="135" spans="1:20" s="472" customFormat="1" ht="19.5" customHeight="1">
      <c r="A135" s="471"/>
      <c r="B135" s="474"/>
      <c r="C135" s="474"/>
      <c r="D135" s="474"/>
      <c r="E135" s="474"/>
      <c r="F135" s="474"/>
      <c r="G135" s="474"/>
      <c r="H135" s="474"/>
      <c r="I135" s="474"/>
      <c r="J135" s="474"/>
      <c r="K135" s="474"/>
      <c r="L135" s="474"/>
      <c r="M135" s="474"/>
      <c r="N135" s="474"/>
      <c r="O135" s="474"/>
      <c r="P135" s="474"/>
      <c r="Q135" s="474"/>
      <c r="R135" s="474"/>
      <c r="S135" s="474"/>
      <c r="T135" s="474"/>
    </row>
    <row r="136" spans="1:20" s="472" customFormat="1" ht="19.5" customHeight="1">
      <c r="A136" s="471"/>
      <c r="B136" s="474"/>
      <c r="C136" s="474"/>
      <c r="D136" s="474"/>
      <c r="E136" s="474"/>
      <c r="F136" s="474"/>
      <c r="G136" s="474"/>
      <c r="H136" s="474"/>
      <c r="I136" s="474"/>
      <c r="J136" s="474"/>
      <c r="K136" s="474"/>
      <c r="L136" s="474"/>
      <c r="M136" s="474"/>
      <c r="N136" s="474"/>
      <c r="O136" s="474"/>
      <c r="P136" s="474"/>
      <c r="Q136" s="474"/>
      <c r="R136" s="474"/>
      <c r="S136" s="474"/>
      <c r="T136" s="474"/>
    </row>
    <row r="137" spans="1:20" s="472" customFormat="1" ht="19.5" customHeight="1">
      <c r="A137" s="471"/>
      <c r="B137" s="474"/>
      <c r="C137" s="474"/>
      <c r="D137" s="474"/>
      <c r="E137" s="474"/>
      <c r="F137" s="474"/>
      <c r="G137" s="474"/>
      <c r="H137" s="474"/>
      <c r="I137" s="474"/>
      <c r="J137" s="474"/>
      <c r="K137" s="474"/>
      <c r="L137" s="474"/>
      <c r="M137" s="474"/>
      <c r="N137" s="474"/>
      <c r="O137" s="474"/>
      <c r="P137" s="474"/>
      <c r="Q137" s="474"/>
      <c r="R137" s="474"/>
      <c r="S137" s="474"/>
      <c r="T137" s="474"/>
    </row>
    <row r="138" spans="1:20" s="472" customFormat="1" ht="19.5" customHeight="1">
      <c r="A138" s="471"/>
      <c r="B138" s="474"/>
      <c r="C138" s="474"/>
      <c r="D138" s="474"/>
      <c r="E138" s="474"/>
      <c r="F138" s="474"/>
      <c r="G138" s="474"/>
      <c r="H138" s="474"/>
      <c r="I138" s="474"/>
      <c r="J138" s="474"/>
      <c r="K138" s="474"/>
      <c r="L138" s="474"/>
      <c r="M138" s="474"/>
      <c r="N138" s="474"/>
      <c r="O138" s="474"/>
      <c r="P138" s="474"/>
      <c r="Q138" s="474"/>
      <c r="R138" s="474"/>
      <c r="S138" s="474"/>
      <c r="T138" s="474"/>
    </row>
    <row r="139" spans="1:20" s="472" customFormat="1" ht="19.5" customHeight="1">
      <c r="A139" s="471"/>
      <c r="B139" s="474"/>
      <c r="C139" s="474"/>
      <c r="D139" s="474"/>
      <c r="E139" s="474"/>
      <c r="F139" s="474"/>
      <c r="G139" s="474"/>
      <c r="H139" s="474"/>
      <c r="I139" s="474"/>
      <c r="J139" s="474"/>
      <c r="K139" s="474"/>
      <c r="L139" s="474"/>
      <c r="M139" s="474"/>
      <c r="N139" s="474"/>
      <c r="O139" s="474"/>
      <c r="P139" s="474"/>
      <c r="Q139" s="474"/>
      <c r="R139" s="474"/>
      <c r="S139" s="474"/>
      <c r="T139" s="474"/>
    </row>
    <row r="140" spans="1:20" s="472" customFormat="1" ht="19.5" customHeight="1">
      <c r="A140" s="471"/>
      <c r="B140" s="474"/>
      <c r="C140" s="474"/>
      <c r="D140" s="474"/>
      <c r="E140" s="474"/>
      <c r="F140" s="474"/>
      <c r="G140" s="474"/>
      <c r="H140" s="474"/>
      <c r="I140" s="474"/>
      <c r="J140" s="474"/>
      <c r="K140" s="474"/>
      <c r="L140" s="474"/>
      <c r="M140" s="474"/>
      <c r="N140" s="474"/>
      <c r="O140" s="474"/>
      <c r="P140" s="474"/>
      <c r="Q140" s="474"/>
      <c r="R140" s="474"/>
      <c r="S140" s="474"/>
      <c r="T140" s="474"/>
    </row>
    <row r="141" spans="1:20" s="472" customFormat="1" ht="19.5" customHeight="1">
      <c r="A141" s="471"/>
      <c r="B141" s="474"/>
      <c r="C141" s="474"/>
      <c r="D141" s="474"/>
      <c r="E141" s="474"/>
      <c r="F141" s="474"/>
      <c r="G141" s="474"/>
      <c r="H141" s="474"/>
      <c r="I141" s="474"/>
      <c r="J141" s="474"/>
      <c r="K141" s="474"/>
      <c r="L141" s="474"/>
      <c r="M141" s="474"/>
      <c r="N141" s="474"/>
      <c r="O141" s="474"/>
      <c r="P141" s="474"/>
      <c r="Q141" s="474"/>
      <c r="R141" s="474"/>
      <c r="S141" s="474"/>
      <c r="T141" s="474"/>
    </row>
    <row r="142" spans="1:20" s="472" customFormat="1" ht="19.5" customHeight="1">
      <c r="A142" s="471"/>
      <c r="B142" s="474"/>
      <c r="C142" s="474"/>
      <c r="D142" s="474"/>
      <c r="E142" s="474"/>
      <c r="F142" s="474"/>
      <c r="G142" s="474"/>
      <c r="H142" s="474"/>
      <c r="I142" s="474"/>
      <c r="J142" s="474"/>
      <c r="K142" s="474"/>
      <c r="L142" s="474"/>
      <c r="M142" s="474"/>
      <c r="N142" s="474"/>
      <c r="O142" s="474"/>
      <c r="P142" s="474"/>
      <c r="Q142" s="474"/>
      <c r="R142" s="474"/>
      <c r="S142" s="474"/>
      <c r="T142" s="474"/>
    </row>
    <row r="143" spans="1:20" s="472" customFormat="1" ht="19.5" customHeight="1">
      <c r="A143" s="471"/>
      <c r="B143" s="474"/>
      <c r="C143" s="474"/>
      <c r="D143" s="474"/>
      <c r="E143" s="474"/>
      <c r="F143" s="474"/>
      <c r="G143" s="474"/>
      <c r="H143" s="474"/>
      <c r="I143" s="474"/>
      <c r="J143" s="474"/>
      <c r="K143" s="474"/>
      <c r="L143" s="474"/>
      <c r="M143" s="474"/>
      <c r="N143" s="474"/>
      <c r="O143" s="474"/>
      <c r="P143" s="474"/>
      <c r="Q143" s="474"/>
      <c r="R143" s="474"/>
      <c r="S143" s="474"/>
      <c r="T143" s="474"/>
    </row>
    <row r="144" spans="1:20" s="472" customFormat="1" ht="19.5" customHeight="1">
      <c r="A144" s="471"/>
      <c r="B144" s="474"/>
      <c r="C144" s="474"/>
      <c r="D144" s="474"/>
      <c r="E144" s="474"/>
      <c r="F144" s="474"/>
      <c r="G144" s="474"/>
      <c r="H144" s="474"/>
      <c r="I144" s="474"/>
      <c r="J144" s="474"/>
      <c r="K144" s="474"/>
      <c r="L144" s="474"/>
      <c r="M144" s="474"/>
      <c r="N144" s="474"/>
      <c r="O144" s="474"/>
      <c r="P144" s="474"/>
      <c r="Q144" s="474"/>
      <c r="R144" s="474"/>
      <c r="S144" s="474"/>
      <c r="T144" s="474"/>
    </row>
    <row r="145" spans="1:20" s="472" customFormat="1" ht="19.5" customHeight="1">
      <c r="A145" s="471"/>
      <c r="B145" s="474"/>
      <c r="C145" s="474"/>
      <c r="D145" s="474"/>
      <c r="E145" s="474"/>
      <c r="F145" s="474"/>
      <c r="G145" s="474"/>
      <c r="H145" s="474"/>
      <c r="I145" s="474"/>
      <c r="J145" s="474"/>
      <c r="K145" s="474"/>
      <c r="L145" s="474"/>
      <c r="M145" s="474"/>
      <c r="N145" s="474"/>
      <c r="O145" s="474"/>
      <c r="P145" s="474"/>
      <c r="Q145" s="474"/>
      <c r="R145" s="474"/>
      <c r="S145" s="474"/>
      <c r="T145" s="474"/>
    </row>
    <row r="146" spans="1:20" s="472" customFormat="1" ht="19.5" customHeight="1">
      <c r="A146" s="471"/>
      <c r="B146" s="474"/>
      <c r="C146" s="474"/>
      <c r="D146" s="474"/>
      <c r="E146" s="474"/>
      <c r="F146" s="474"/>
      <c r="G146" s="474"/>
      <c r="H146" s="474"/>
      <c r="I146" s="474"/>
      <c r="J146" s="474"/>
      <c r="K146" s="474"/>
      <c r="L146" s="474"/>
      <c r="M146" s="474"/>
      <c r="N146" s="474"/>
      <c r="O146" s="474"/>
      <c r="P146" s="474"/>
      <c r="Q146" s="474"/>
      <c r="R146" s="474"/>
      <c r="S146" s="474"/>
      <c r="T146" s="474"/>
    </row>
    <row r="147" spans="1:20" s="472" customFormat="1" ht="19.5" customHeight="1">
      <c r="A147" s="471"/>
      <c r="B147" s="474"/>
      <c r="C147" s="474"/>
      <c r="D147" s="474"/>
      <c r="E147" s="474"/>
      <c r="F147" s="474"/>
      <c r="G147" s="474"/>
      <c r="H147" s="474"/>
      <c r="I147" s="474"/>
      <c r="J147" s="474"/>
      <c r="K147" s="474"/>
      <c r="L147" s="474"/>
      <c r="M147" s="474"/>
      <c r="N147" s="474"/>
      <c r="O147" s="474"/>
      <c r="P147" s="474"/>
      <c r="Q147" s="474"/>
      <c r="R147" s="474"/>
      <c r="S147" s="474"/>
      <c r="T147" s="474"/>
    </row>
    <row r="148" spans="1:20" s="472" customFormat="1" ht="19.5" customHeight="1">
      <c r="A148" s="471"/>
      <c r="B148" s="474"/>
      <c r="C148" s="474"/>
      <c r="D148" s="474"/>
      <c r="E148" s="474"/>
      <c r="F148" s="474"/>
      <c r="G148" s="474"/>
      <c r="H148" s="474"/>
      <c r="I148" s="474"/>
      <c r="J148" s="474"/>
      <c r="K148" s="474"/>
      <c r="L148" s="474"/>
      <c r="M148" s="474"/>
      <c r="N148" s="474"/>
      <c r="O148" s="474"/>
      <c r="P148" s="474"/>
      <c r="Q148" s="474"/>
      <c r="R148" s="474"/>
      <c r="S148" s="474"/>
      <c r="T148" s="474"/>
    </row>
    <row r="149" spans="1:20" s="472" customFormat="1" ht="19.5" customHeight="1">
      <c r="A149" s="471"/>
      <c r="B149" s="474"/>
      <c r="C149" s="474"/>
      <c r="D149" s="474"/>
      <c r="E149" s="474"/>
      <c r="F149" s="474"/>
      <c r="G149" s="474"/>
      <c r="H149" s="474"/>
      <c r="I149" s="474"/>
      <c r="J149" s="474"/>
      <c r="K149" s="474"/>
      <c r="L149" s="474"/>
      <c r="M149" s="474"/>
      <c r="N149" s="474"/>
      <c r="O149" s="474"/>
      <c r="P149" s="474"/>
      <c r="Q149" s="474"/>
      <c r="R149" s="474"/>
      <c r="S149" s="474"/>
      <c r="T149" s="474"/>
    </row>
    <row r="150" spans="1:20" s="472" customFormat="1" ht="19.5" customHeight="1">
      <c r="A150" s="471"/>
      <c r="B150" s="474"/>
      <c r="C150" s="474"/>
      <c r="D150" s="474"/>
      <c r="E150" s="474"/>
      <c r="F150" s="474"/>
      <c r="G150" s="474"/>
      <c r="H150" s="474"/>
      <c r="I150" s="474"/>
      <c r="J150" s="474"/>
      <c r="K150" s="474"/>
      <c r="L150" s="474"/>
      <c r="M150" s="474"/>
      <c r="N150" s="474"/>
      <c r="O150" s="474"/>
      <c r="P150" s="474"/>
      <c r="Q150" s="474"/>
      <c r="R150" s="474"/>
      <c r="S150" s="474"/>
      <c r="T150" s="474"/>
    </row>
    <row r="151" spans="1:20" s="472" customFormat="1" ht="19.5" customHeight="1">
      <c r="A151" s="471"/>
      <c r="B151" s="474"/>
      <c r="C151" s="474"/>
      <c r="D151" s="474"/>
      <c r="E151" s="474"/>
      <c r="F151" s="474"/>
      <c r="G151" s="474"/>
      <c r="H151" s="474"/>
      <c r="I151" s="474"/>
      <c r="J151" s="474"/>
      <c r="K151" s="474"/>
      <c r="L151" s="474"/>
      <c r="M151" s="474"/>
      <c r="N151" s="474"/>
      <c r="O151" s="474"/>
      <c r="P151" s="474"/>
      <c r="Q151" s="474"/>
      <c r="R151" s="474"/>
      <c r="S151" s="474"/>
      <c r="T151" s="474"/>
    </row>
    <row r="152" spans="1:20" s="472" customFormat="1" ht="19.5" customHeight="1">
      <c r="A152" s="471"/>
      <c r="B152" s="474"/>
      <c r="C152" s="474"/>
      <c r="D152" s="474"/>
      <c r="E152" s="474"/>
      <c r="F152" s="474"/>
      <c r="G152" s="474"/>
      <c r="H152" s="474"/>
      <c r="I152" s="474"/>
      <c r="J152" s="474"/>
      <c r="K152" s="474"/>
      <c r="L152" s="474"/>
      <c r="M152" s="474"/>
      <c r="N152" s="474"/>
      <c r="O152" s="474"/>
      <c r="P152" s="474"/>
      <c r="Q152" s="474"/>
      <c r="R152" s="474"/>
      <c r="S152" s="474"/>
      <c r="T152" s="474"/>
    </row>
    <row r="153" ht="19.5" customHeight="1"/>
    <row r="154" ht="9.75" customHeight="1"/>
    <row r="155" ht="19.5" customHeight="1"/>
    <row r="156" ht="19.5" customHeight="1"/>
    <row r="157" ht="19.5" customHeight="1"/>
    <row r="158" spans="1:20" s="472" customFormat="1" ht="19.5" customHeight="1">
      <c r="A158" s="471"/>
      <c r="B158" s="474"/>
      <c r="C158" s="474"/>
      <c r="D158" s="474"/>
      <c r="E158" s="474"/>
      <c r="F158" s="474"/>
      <c r="G158" s="474"/>
      <c r="H158" s="474"/>
      <c r="I158" s="474"/>
      <c r="J158" s="474"/>
      <c r="K158" s="474"/>
      <c r="L158" s="474"/>
      <c r="M158" s="474"/>
      <c r="N158" s="474"/>
      <c r="O158" s="474"/>
      <c r="P158" s="474"/>
      <c r="Q158" s="474"/>
      <c r="R158" s="474"/>
      <c r="S158" s="474"/>
      <c r="T158" s="474"/>
    </row>
    <row r="159" spans="1:20" s="472" customFormat="1" ht="19.5" customHeight="1">
      <c r="A159" s="471"/>
      <c r="B159" s="474"/>
      <c r="C159" s="474"/>
      <c r="D159" s="474"/>
      <c r="E159" s="474"/>
      <c r="F159" s="474"/>
      <c r="G159" s="474"/>
      <c r="H159" s="474"/>
      <c r="I159" s="474"/>
      <c r="J159" s="474"/>
      <c r="K159" s="474"/>
      <c r="L159" s="474"/>
      <c r="M159" s="474"/>
      <c r="N159" s="474"/>
      <c r="O159" s="474"/>
      <c r="P159" s="474"/>
      <c r="Q159" s="474"/>
      <c r="R159" s="474"/>
      <c r="S159" s="474"/>
      <c r="T159" s="474"/>
    </row>
    <row r="160" spans="1:20" s="472" customFormat="1" ht="19.5" customHeight="1">
      <c r="A160" s="471"/>
      <c r="B160" s="474"/>
      <c r="C160" s="474"/>
      <c r="D160" s="474"/>
      <c r="E160" s="474"/>
      <c r="F160" s="474"/>
      <c r="G160" s="474"/>
      <c r="H160" s="474"/>
      <c r="I160" s="474"/>
      <c r="J160" s="474"/>
      <c r="K160" s="474"/>
      <c r="L160" s="474"/>
      <c r="M160" s="474"/>
      <c r="N160" s="474"/>
      <c r="O160" s="474"/>
      <c r="P160" s="474"/>
      <c r="Q160" s="474"/>
      <c r="R160" s="474"/>
      <c r="S160" s="474"/>
      <c r="T160" s="474"/>
    </row>
    <row r="161" spans="1:20" s="472" customFormat="1" ht="19.5" customHeight="1">
      <c r="A161" s="471"/>
      <c r="B161" s="474"/>
      <c r="C161" s="474"/>
      <c r="D161" s="474"/>
      <c r="E161" s="474"/>
      <c r="F161" s="474"/>
      <c r="G161" s="474"/>
      <c r="H161" s="474"/>
      <c r="I161" s="474"/>
      <c r="J161" s="474"/>
      <c r="K161" s="474"/>
      <c r="L161" s="474"/>
      <c r="M161" s="474"/>
      <c r="N161" s="474"/>
      <c r="O161" s="474"/>
      <c r="P161" s="474"/>
      <c r="Q161" s="474"/>
      <c r="R161" s="474"/>
      <c r="S161" s="474"/>
      <c r="T161" s="474"/>
    </row>
    <row r="162" spans="1:20" s="472" customFormat="1" ht="19.5" customHeight="1">
      <c r="A162" s="471"/>
      <c r="B162" s="474"/>
      <c r="C162" s="474"/>
      <c r="D162" s="474"/>
      <c r="E162" s="474"/>
      <c r="F162" s="474"/>
      <c r="G162" s="474"/>
      <c r="H162" s="474"/>
      <c r="I162" s="474"/>
      <c r="J162" s="474"/>
      <c r="K162" s="474"/>
      <c r="L162" s="474"/>
      <c r="M162" s="474"/>
      <c r="N162" s="474"/>
      <c r="O162" s="474"/>
      <c r="P162" s="474"/>
      <c r="Q162" s="474"/>
      <c r="R162" s="474"/>
      <c r="S162" s="474"/>
      <c r="T162" s="474"/>
    </row>
    <row r="163" spans="1:20" s="472" customFormat="1" ht="19.5" customHeight="1">
      <c r="A163" s="471"/>
      <c r="B163" s="474"/>
      <c r="C163" s="474"/>
      <c r="D163" s="474"/>
      <c r="E163" s="474"/>
      <c r="F163" s="474"/>
      <c r="G163" s="474"/>
      <c r="H163" s="474"/>
      <c r="I163" s="474"/>
      <c r="J163" s="474"/>
      <c r="K163" s="474"/>
      <c r="L163" s="474"/>
      <c r="M163" s="474"/>
      <c r="N163" s="474"/>
      <c r="O163" s="474"/>
      <c r="P163" s="474"/>
      <c r="Q163" s="474"/>
      <c r="R163" s="474"/>
      <c r="S163" s="474"/>
      <c r="T163" s="474"/>
    </row>
    <row r="164" spans="1:20" s="472" customFormat="1" ht="19.5" customHeight="1">
      <c r="A164" s="471"/>
      <c r="B164" s="474"/>
      <c r="C164" s="474"/>
      <c r="D164" s="474"/>
      <c r="E164" s="474"/>
      <c r="F164" s="474"/>
      <c r="G164" s="474"/>
      <c r="H164" s="474"/>
      <c r="I164" s="474"/>
      <c r="J164" s="474"/>
      <c r="K164" s="474"/>
      <c r="L164" s="474"/>
      <c r="M164" s="474"/>
      <c r="N164" s="474"/>
      <c r="O164" s="474"/>
      <c r="P164" s="474"/>
      <c r="Q164" s="474"/>
      <c r="R164" s="474"/>
      <c r="S164" s="474"/>
      <c r="T164" s="474"/>
    </row>
    <row r="165" spans="1:20" s="472" customFormat="1" ht="19.5" customHeight="1">
      <c r="A165" s="471"/>
      <c r="B165" s="474"/>
      <c r="C165" s="474"/>
      <c r="D165" s="474"/>
      <c r="E165" s="474"/>
      <c r="F165" s="474"/>
      <c r="G165" s="474"/>
      <c r="H165" s="474"/>
      <c r="I165" s="474"/>
      <c r="J165" s="474"/>
      <c r="K165" s="474"/>
      <c r="L165" s="474"/>
      <c r="M165" s="474"/>
      <c r="N165" s="474"/>
      <c r="O165" s="474"/>
      <c r="P165" s="474"/>
      <c r="Q165" s="474"/>
      <c r="R165" s="474"/>
      <c r="S165" s="474"/>
      <c r="T165" s="474"/>
    </row>
    <row r="166" spans="1:20" s="472" customFormat="1" ht="19.5" customHeight="1">
      <c r="A166" s="471"/>
      <c r="B166" s="474"/>
      <c r="C166" s="474"/>
      <c r="D166" s="474"/>
      <c r="E166" s="474"/>
      <c r="F166" s="474"/>
      <c r="G166" s="474"/>
      <c r="H166" s="474"/>
      <c r="I166" s="474"/>
      <c r="J166" s="474"/>
      <c r="K166" s="474"/>
      <c r="L166" s="474"/>
      <c r="M166" s="474"/>
      <c r="N166" s="474"/>
      <c r="O166" s="474"/>
      <c r="P166" s="474"/>
      <c r="Q166" s="474"/>
      <c r="R166" s="474"/>
      <c r="S166" s="474"/>
      <c r="T166" s="474"/>
    </row>
    <row r="167" spans="1:20" s="472" customFormat="1" ht="19.5" customHeight="1">
      <c r="A167" s="471"/>
      <c r="B167" s="474"/>
      <c r="C167" s="474"/>
      <c r="D167" s="474"/>
      <c r="E167" s="474"/>
      <c r="F167" s="474"/>
      <c r="G167" s="474"/>
      <c r="H167" s="474"/>
      <c r="I167" s="474"/>
      <c r="J167" s="474"/>
      <c r="K167" s="474"/>
      <c r="L167" s="474"/>
      <c r="M167" s="474"/>
      <c r="N167" s="474"/>
      <c r="O167" s="474"/>
      <c r="P167" s="474"/>
      <c r="Q167" s="474"/>
      <c r="R167" s="474"/>
      <c r="S167" s="474"/>
      <c r="T167" s="474"/>
    </row>
    <row r="168" spans="1:20" s="472" customFormat="1" ht="19.5" customHeight="1">
      <c r="A168" s="471"/>
      <c r="B168" s="474"/>
      <c r="C168" s="474"/>
      <c r="D168" s="474"/>
      <c r="E168" s="474"/>
      <c r="F168" s="474"/>
      <c r="G168" s="474"/>
      <c r="H168" s="474"/>
      <c r="I168" s="474"/>
      <c r="J168" s="474"/>
      <c r="K168" s="474"/>
      <c r="L168" s="474"/>
      <c r="M168" s="474"/>
      <c r="N168" s="474"/>
      <c r="O168" s="474"/>
      <c r="P168" s="474"/>
      <c r="Q168" s="474"/>
      <c r="R168" s="474"/>
      <c r="S168" s="474"/>
      <c r="T168" s="474"/>
    </row>
    <row r="169" spans="1:20" s="472" customFormat="1" ht="19.5" customHeight="1">
      <c r="A169" s="471"/>
      <c r="B169" s="474"/>
      <c r="C169" s="474"/>
      <c r="D169" s="474"/>
      <c r="E169" s="474"/>
      <c r="F169" s="474"/>
      <c r="G169" s="474"/>
      <c r="H169" s="474"/>
      <c r="I169" s="474"/>
      <c r="J169" s="474"/>
      <c r="K169" s="474"/>
      <c r="L169" s="474"/>
      <c r="M169" s="474"/>
      <c r="N169" s="474"/>
      <c r="O169" s="474"/>
      <c r="P169" s="474"/>
      <c r="Q169" s="474"/>
      <c r="R169" s="474"/>
      <c r="S169" s="474"/>
      <c r="T169" s="474"/>
    </row>
    <row r="170" spans="1:20" s="472" customFormat="1" ht="19.5" customHeight="1">
      <c r="A170" s="471"/>
      <c r="B170" s="474"/>
      <c r="C170" s="474"/>
      <c r="D170" s="474"/>
      <c r="E170" s="474"/>
      <c r="F170" s="474"/>
      <c r="G170" s="474"/>
      <c r="H170" s="474"/>
      <c r="I170" s="474"/>
      <c r="J170" s="474"/>
      <c r="K170" s="474"/>
      <c r="L170" s="474"/>
      <c r="M170" s="474"/>
      <c r="N170" s="474"/>
      <c r="O170" s="474"/>
      <c r="P170" s="474"/>
      <c r="Q170" s="474"/>
      <c r="R170" s="474"/>
      <c r="S170" s="474"/>
      <c r="T170" s="474"/>
    </row>
    <row r="171" spans="1:20" s="472" customFormat="1" ht="19.5" customHeight="1">
      <c r="A171" s="471"/>
      <c r="B171" s="474"/>
      <c r="C171" s="474"/>
      <c r="D171" s="474"/>
      <c r="E171" s="474"/>
      <c r="F171" s="474"/>
      <c r="G171" s="474"/>
      <c r="H171" s="474"/>
      <c r="I171" s="474"/>
      <c r="J171" s="474"/>
      <c r="K171" s="474"/>
      <c r="L171" s="474"/>
      <c r="M171" s="474"/>
      <c r="N171" s="474"/>
      <c r="O171" s="474"/>
      <c r="P171" s="474"/>
      <c r="Q171" s="474"/>
      <c r="R171" s="474"/>
      <c r="S171" s="474"/>
      <c r="T171" s="474"/>
    </row>
    <row r="172" spans="1:20" s="472" customFormat="1" ht="19.5" customHeight="1">
      <c r="A172" s="471"/>
      <c r="B172" s="474"/>
      <c r="C172" s="474"/>
      <c r="D172" s="474"/>
      <c r="E172" s="474"/>
      <c r="F172" s="474"/>
      <c r="G172" s="474"/>
      <c r="H172" s="474"/>
      <c r="I172" s="474"/>
      <c r="J172" s="474"/>
      <c r="K172" s="474"/>
      <c r="L172" s="474"/>
      <c r="M172" s="474"/>
      <c r="N172" s="474"/>
      <c r="O172" s="474"/>
      <c r="P172" s="474"/>
      <c r="Q172" s="474"/>
      <c r="R172" s="474"/>
      <c r="S172" s="474"/>
      <c r="T172" s="474"/>
    </row>
    <row r="173" spans="1:20" s="472" customFormat="1" ht="19.5" customHeight="1">
      <c r="A173" s="471"/>
      <c r="B173" s="474"/>
      <c r="C173" s="474"/>
      <c r="D173" s="474"/>
      <c r="E173" s="474"/>
      <c r="F173" s="474"/>
      <c r="G173" s="474"/>
      <c r="H173" s="474"/>
      <c r="I173" s="474"/>
      <c r="J173" s="474"/>
      <c r="K173" s="474"/>
      <c r="L173" s="474"/>
      <c r="M173" s="474"/>
      <c r="N173" s="474"/>
      <c r="O173" s="474"/>
      <c r="P173" s="474"/>
      <c r="Q173" s="474"/>
      <c r="R173" s="474"/>
      <c r="S173" s="474"/>
      <c r="T173" s="474"/>
    </row>
    <row r="174" spans="1:20" s="472" customFormat="1" ht="19.5" customHeight="1">
      <c r="A174" s="471"/>
      <c r="B174" s="474"/>
      <c r="C174" s="474"/>
      <c r="D174" s="474"/>
      <c r="E174" s="474"/>
      <c r="F174" s="474"/>
      <c r="G174" s="474"/>
      <c r="H174" s="474"/>
      <c r="I174" s="474"/>
      <c r="J174" s="474"/>
      <c r="K174" s="474"/>
      <c r="L174" s="474"/>
      <c r="M174" s="474"/>
      <c r="N174" s="474"/>
      <c r="O174" s="474"/>
      <c r="P174" s="474"/>
      <c r="Q174" s="474"/>
      <c r="R174" s="474"/>
      <c r="S174" s="474"/>
      <c r="T174" s="474"/>
    </row>
    <row r="175" spans="1:20" s="472" customFormat="1" ht="19.5" customHeight="1">
      <c r="A175" s="471"/>
      <c r="B175" s="474"/>
      <c r="C175" s="474"/>
      <c r="D175" s="474"/>
      <c r="E175" s="474"/>
      <c r="F175" s="474"/>
      <c r="G175" s="474"/>
      <c r="H175" s="474"/>
      <c r="I175" s="474"/>
      <c r="J175" s="474"/>
      <c r="K175" s="474"/>
      <c r="L175" s="474"/>
      <c r="M175" s="474"/>
      <c r="N175" s="474"/>
      <c r="O175" s="474"/>
      <c r="P175" s="474"/>
      <c r="Q175" s="474"/>
      <c r="R175" s="474"/>
      <c r="S175" s="474"/>
      <c r="T175" s="474"/>
    </row>
    <row r="176" spans="1:20" s="472" customFormat="1" ht="19.5" customHeight="1">
      <c r="A176" s="471"/>
      <c r="B176" s="474"/>
      <c r="C176" s="474"/>
      <c r="D176" s="474"/>
      <c r="E176" s="474"/>
      <c r="F176" s="474"/>
      <c r="G176" s="474"/>
      <c r="H176" s="474"/>
      <c r="I176" s="474"/>
      <c r="J176" s="474"/>
      <c r="K176" s="474"/>
      <c r="L176" s="474"/>
      <c r="M176" s="474"/>
      <c r="N176" s="474"/>
      <c r="O176" s="474"/>
      <c r="P176" s="474"/>
      <c r="Q176" s="474"/>
      <c r="R176" s="474"/>
      <c r="S176" s="474"/>
      <c r="T176" s="474"/>
    </row>
    <row r="177" spans="1:20" s="472" customFormat="1" ht="19.5" customHeight="1">
      <c r="A177" s="471"/>
      <c r="B177" s="474"/>
      <c r="C177" s="474"/>
      <c r="D177" s="474"/>
      <c r="E177" s="474"/>
      <c r="F177" s="474"/>
      <c r="G177" s="474"/>
      <c r="H177" s="474"/>
      <c r="I177" s="474"/>
      <c r="J177" s="474"/>
      <c r="K177" s="474"/>
      <c r="L177" s="474"/>
      <c r="M177" s="474"/>
      <c r="N177" s="474"/>
      <c r="O177" s="474"/>
      <c r="P177" s="474"/>
      <c r="Q177" s="474"/>
      <c r="R177" s="474"/>
      <c r="S177" s="474"/>
      <c r="T177" s="474"/>
    </row>
    <row r="178" spans="1:20" s="472" customFormat="1" ht="19.5" customHeight="1">
      <c r="A178" s="471"/>
      <c r="B178" s="474"/>
      <c r="C178" s="474"/>
      <c r="D178" s="474"/>
      <c r="E178" s="474"/>
      <c r="F178" s="474"/>
      <c r="G178" s="474"/>
      <c r="H178" s="474"/>
      <c r="I178" s="474"/>
      <c r="J178" s="474"/>
      <c r="K178" s="474"/>
      <c r="L178" s="474"/>
      <c r="M178" s="474"/>
      <c r="N178" s="474"/>
      <c r="O178" s="474"/>
      <c r="P178" s="474"/>
      <c r="Q178" s="474"/>
      <c r="R178" s="474"/>
      <c r="S178" s="474"/>
      <c r="T178" s="474"/>
    </row>
    <row r="179" spans="1:20" s="472" customFormat="1" ht="19.5" customHeight="1">
      <c r="A179" s="471"/>
      <c r="B179" s="474"/>
      <c r="C179" s="474"/>
      <c r="D179" s="474"/>
      <c r="E179" s="474"/>
      <c r="F179" s="474"/>
      <c r="G179" s="474"/>
      <c r="H179" s="474"/>
      <c r="I179" s="474"/>
      <c r="J179" s="474"/>
      <c r="K179" s="474"/>
      <c r="L179" s="474"/>
      <c r="M179" s="474"/>
      <c r="N179" s="474"/>
      <c r="O179" s="474"/>
      <c r="P179" s="474"/>
      <c r="Q179" s="474"/>
      <c r="R179" s="474"/>
      <c r="S179" s="474"/>
      <c r="T179" s="474"/>
    </row>
    <row r="180" spans="1:20" s="472" customFormat="1" ht="19.5" customHeight="1">
      <c r="A180" s="471"/>
      <c r="B180" s="474"/>
      <c r="C180" s="474"/>
      <c r="D180" s="474"/>
      <c r="E180" s="474"/>
      <c r="F180" s="474"/>
      <c r="G180" s="474"/>
      <c r="H180" s="474"/>
      <c r="I180" s="474"/>
      <c r="J180" s="474"/>
      <c r="K180" s="474"/>
      <c r="L180" s="474"/>
      <c r="M180" s="474"/>
      <c r="N180" s="474"/>
      <c r="O180" s="474"/>
      <c r="P180" s="474"/>
      <c r="Q180" s="474"/>
      <c r="R180" s="474"/>
      <c r="S180" s="474"/>
      <c r="T180" s="474"/>
    </row>
    <row r="181" spans="1:20" s="472" customFormat="1" ht="19.5" customHeight="1">
      <c r="A181" s="471"/>
      <c r="B181" s="474"/>
      <c r="C181" s="474"/>
      <c r="D181" s="474"/>
      <c r="E181" s="474"/>
      <c r="F181" s="474"/>
      <c r="G181" s="474"/>
      <c r="H181" s="474"/>
      <c r="I181" s="474"/>
      <c r="J181" s="474"/>
      <c r="K181" s="474"/>
      <c r="L181" s="474"/>
      <c r="M181" s="474"/>
      <c r="N181" s="474"/>
      <c r="O181" s="474"/>
      <c r="P181" s="474"/>
      <c r="Q181" s="474"/>
      <c r="R181" s="474"/>
      <c r="S181" s="474"/>
      <c r="T181" s="474"/>
    </row>
    <row r="182" spans="1:20" s="472" customFormat="1" ht="19.5" customHeight="1">
      <c r="A182" s="471"/>
      <c r="B182" s="474"/>
      <c r="C182" s="474"/>
      <c r="D182" s="474"/>
      <c r="E182" s="474"/>
      <c r="F182" s="474"/>
      <c r="G182" s="474"/>
      <c r="H182" s="474"/>
      <c r="I182" s="474"/>
      <c r="J182" s="474"/>
      <c r="K182" s="474"/>
      <c r="L182" s="474"/>
      <c r="M182" s="474"/>
      <c r="N182" s="474"/>
      <c r="O182" s="474"/>
      <c r="P182" s="474"/>
      <c r="Q182" s="474"/>
      <c r="R182" s="474"/>
      <c r="S182" s="474"/>
      <c r="T182" s="474"/>
    </row>
    <row r="183" spans="1:20" s="472" customFormat="1" ht="19.5" customHeight="1">
      <c r="A183" s="471"/>
      <c r="B183" s="474"/>
      <c r="C183" s="474"/>
      <c r="D183" s="474"/>
      <c r="E183" s="474"/>
      <c r="F183" s="474"/>
      <c r="G183" s="474"/>
      <c r="H183" s="474"/>
      <c r="I183" s="474"/>
      <c r="J183" s="474"/>
      <c r="K183" s="474"/>
      <c r="L183" s="474"/>
      <c r="M183" s="474"/>
      <c r="N183" s="474"/>
      <c r="O183" s="474"/>
      <c r="P183" s="474"/>
      <c r="Q183" s="474"/>
      <c r="R183" s="474"/>
      <c r="S183" s="474"/>
      <c r="T183" s="474"/>
    </row>
    <row r="184" spans="1:20" s="472" customFormat="1" ht="19.5" customHeight="1">
      <c r="A184" s="471"/>
      <c r="B184" s="474"/>
      <c r="C184" s="474"/>
      <c r="D184" s="474"/>
      <c r="E184" s="474"/>
      <c r="F184" s="474"/>
      <c r="G184" s="474"/>
      <c r="H184" s="474"/>
      <c r="I184" s="474"/>
      <c r="J184" s="474"/>
      <c r="K184" s="474"/>
      <c r="L184" s="474"/>
      <c r="M184" s="474"/>
      <c r="N184" s="474"/>
      <c r="O184" s="474"/>
      <c r="P184" s="474"/>
      <c r="Q184" s="474"/>
      <c r="R184" s="474"/>
      <c r="S184" s="474"/>
      <c r="T184" s="474"/>
    </row>
    <row r="185" spans="1:20" s="472" customFormat="1" ht="19.5" customHeight="1">
      <c r="A185" s="471"/>
      <c r="B185" s="474"/>
      <c r="C185" s="474"/>
      <c r="D185" s="474"/>
      <c r="E185" s="474"/>
      <c r="F185" s="474"/>
      <c r="G185" s="474"/>
      <c r="H185" s="474"/>
      <c r="I185" s="474"/>
      <c r="J185" s="474"/>
      <c r="K185" s="474"/>
      <c r="L185" s="474"/>
      <c r="M185" s="474"/>
      <c r="N185" s="474"/>
      <c r="O185" s="474"/>
      <c r="P185" s="474"/>
      <c r="Q185" s="474"/>
      <c r="R185" s="474"/>
      <c r="S185" s="474"/>
      <c r="T185" s="474"/>
    </row>
    <row r="186" spans="1:20" s="472" customFormat="1" ht="19.5" customHeight="1">
      <c r="A186" s="471"/>
      <c r="B186" s="474"/>
      <c r="C186" s="474"/>
      <c r="D186" s="474"/>
      <c r="E186" s="474"/>
      <c r="F186" s="474"/>
      <c r="G186" s="474"/>
      <c r="H186" s="474"/>
      <c r="I186" s="474"/>
      <c r="J186" s="474"/>
      <c r="K186" s="474"/>
      <c r="L186" s="474"/>
      <c r="M186" s="474"/>
      <c r="N186" s="474"/>
      <c r="O186" s="474"/>
      <c r="P186" s="474"/>
      <c r="Q186" s="474"/>
      <c r="R186" s="474"/>
      <c r="S186" s="474"/>
      <c r="T186" s="474"/>
    </row>
    <row r="187" spans="1:20" s="472" customFormat="1" ht="19.5" customHeight="1">
      <c r="A187" s="471"/>
      <c r="B187" s="474"/>
      <c r="C187" s="474"/>
      <c r="D187" s="474"/>
      <c r="E187" s="474"/>
      <c r="F187" s="474"/>
      <c r="G187" s="474"/>
      <c r="H187" s="474"/>
      <c r="I187" s="474"/>
      <c r="J187" s="474"/>
      <c r="K187" s="474"/>
      <c r="L187" s="474"/>
      <c r="M187" s="474"/>
      <c r="N187" s="474"/>
      <c r="O187" s="474"/>
      <c r="P187" s="474"/>
      <c r="Q187" s="474"/>
      <c r="R187" s="474"/>
      <c r="S187" s="474"/>
      <c r="T187" s="474"/>
    </row>
    <row r="188" spans="1:20" s="472" customFormat="1" ht="19.5" customHeight="1">
      <c r="A188" s="471"/>
      <c r="B188" s="474"/>
      <c r="C188" s="474"/>
      <c r="D188" s="474"/>
      <c r="E188" s="474"/>
      <c r="F188" s="474"/>
      <c r="G188" s="474"/>
      <c r="H188" s="474"/>
      <c r="I188" s="474"/>
      <c r="J188" s="474"/>
      <c r="K188" s="474"/>
      <c r="L188" s="474"/>
      <c r="M188" s="474"/>
      <c r="N188" s="474"/>
      <c r="O188" s="474"/>
      <c r="P188" s="474"/>
      <c r="Q188" s="474"/>
      <c r="R188" s="474"/>
      <c r="S188" s="474"/>
      <c r="T188" s="474"/>
    </row>
    <row r="189" spans="1:20" s="472" customFormat="1" ht="19.5" customHeight="1">
      <c r="A189" s="471"/>
      <c r="B189" s="474"/>
      <c r="C189" s="474"/>
      <c r="D189" s="474"/>
      <c r="E189" s="474"/>
      <c r="F189" s="474"/>
      <c r="G189" s="474"/>
      <c r="H189" s="474"/>
      <c r="I189" s="474"/>
      <c r="J189" s="474"/>
      <c r="K189" s="474"/>
      <c r="L189" s="474"/>
      <c r="M189" s="474"/>
      <c r="N189" s="474"/>
      <c r="O189" s="474"/>
      <c r="P189" s="474"/>
      <c r="Q189" s="474"/>
      <c r="R189" s="474"/>
      <c r="S189" s="474"/>
      <c r="T189" s="474"/>
    </row>
    <row r="190" spans="1:20" s="472" customFormat="1" ht="19.5" customHeight="1">
      <c r="A190" s="471"/>
      <c r="B190" s="474"/>
      <c r="C190" s="474"/>
      <c r="D190" s="474"/>
      <c r="E190" s="474"/>
      <c r="F190" s="474"/>
      <c r="G190" s="474"/>
      <c r="H190" s="474"/>
      <c r="I190" s="474"/>
      <c r="J190" s="474"/>
      <c r="K190" s="474"/>
      <c r="L190" s="474"/>
      <c r="M190" s="474"/>
      <c r="N190" s="474"/>
      <c r="O190" s="474"/>
      <c r="P190" s="474"/>
      <c r="Q190" s="474"/>
      <c r="R190" s="474"/>
      <c r="S190" s="474"/>
      <c r="T190" s="474"/>
    </row>
    <row r="191" spans="1:20" s="472" customFormat="1" ht="19.5" customHeight="1">
      <c r="A191" s="471"/>
      <c r="B191" s="474"/>
      <c r="C191" s="474"/>
      <c r="D191" s="474"/>
      <c r="E191" s="474"/>
      <c r="F191" s="474"/>
      <c r="G191" s="474"/>
      <c r="H191" s="474"/>
      <c r="I191" s="474"/>
      <c r="J191" s="474"/>
      <c r="K191" s="474"/>
      <c r="L191" s="474"/>
      <c r="M191" s="474"/>
      <c r="N191" s="474"/>
      <c r="O191" s="474"/>
      <c r="P191" s="474"/>
      <c r="Q191" s="474"/>
      <c r="R191" s="474"/>
      <c r="S191" s="474"/>
      <c r="T191" s="474"/>
    </row>
    <row r="192" spans="1:20" s="472" customFormat="1" ht="19.5" customHeight="1">
      <c r="A192" s="471"/>
      <c r="B192" s="474"/>
      <c r="C192" s="474"/>
      <c r="D192" s="474"/>
      <c r="E192" s="474"/>
      <c r="F192" s="474"/>
      <c r="G192" s="474"/>
      <c r="H192" s="474"/>
      <c r="I192" s="474"/>
      <c r="J192" s="474"/>
      <c r="K192" s="474"/>
      <c r="L192" s="474"/>
      <c r="M192" s="474"/>
      <c r="N192" s="474"/>
      <c r="O192" s="474"/>
      <c r="P192" s="474"/>
      <c r="Q192" s="474"/>
      <c r="R192" s="474"/>
      <c r="S192" s="474"/>
      <c r="T192" s="474"/>
    </row>
    <row r="193" spans="1:20" s="472" customFormat="1" ht="19.5" customHeight="1">
      <c r="A193" s="471"/>
      <c r="B193" s="474"/>
      <c r="C193" s="474"/>
      <c r="D193" s="474"/>
      <c r="E193" s="474"/>
      <c r="F193" s="474"/>
      <c r="G193" s="474"/>
      <c r="H193" s="474"/>
      <c r="I193" s="474"/>
      <c r="J193" s="474"/>
      <c r="K193" s="474"/>
      <c r="L193" s="474"/>
      <c r="M193" s="474"/>
      <c r="N193" s="474"/>
      <c r="O193" s="474"/>
      <c r="P193" s="474"/>
      <c r="Q193" s="474"/>
      <c r="R193" s="474"/>
      <c r="S193" s="474"/>
      <c r="T193" s="474"/>
    </row>
    <row r="194" spans="1:20" s="472" customFormat="1" ht="19.5" customHeight="1">
      <c r="A194" s="471"/>
      <c r="B194" s="474"/>
      <c r="C194" s="474"/>
      <c r="D194" s="474"/>
      <c r="E194" s="474"/>
      <c r="F194" s="474"/>
      <c r="G194" s="474"/>
      <c r="H194" s="474"/>
      <c r="I194" s="474"/>
      <c r="J194" s="474"/>
      <c r="K194" s="474"/>
      <c r="L194" s="474"/>
      <c r="M194" s="474"/>
      <c r="N194" s="474"/>
      <c r="O194" s="474"/>
      <c r="P194" s="474"/>
      <c r="Q194" s="474"/>
      <c r="R194" s="474"/>
      <c r="S194" s="474"/>
      <c r="T194" s="474"/>
    </row>
    <row r="195" ht="19.5" customHeight="1"/>
    <row r="196" ht="9.75" customHeight="1"/>
    <row r="197" ht="19.5" customHeight="1"/>
    <row r="198" ht="19.5" customHeight="1"/>
    <row r="199" ht="19.5" customHeight="1"/>
    <row r="200" spans="1:20" s="472" customFormat="1" ht="19.5" customHeight="1">
      <c r="A200" s="471"/>
      <c r="B200" s="474"/>
      <c r="C200" s="474"/>
      <c r="D200" s="474"/>
      <c r="E200" s="474"/>
      <c r="F200" s="474"/>
      <c r="G200" s="474"/>
      <c r="H200" s="474"/>
      <c r="I200" s="474"/>
      <c r="J200" s="474"/>
      <c r="K200" s="474"/>
      <c r="L200" s="474"/>
      <c r="M200" s="474"/>
      <c r="N200" s="474"/>
      <c r="O200" s="474"/>
      <c r="P200" s="474"/>
      <c r="Q200" s="474"/>
      <c r="R200" s="474"/>
      <c r="S200" s="474"/>
      <c r="T200" s="474"/>
    </row>
    <row r="201" spans="1:20" s="472" customFormat="1" ht="19.5" customHeight="1">
      <c r="A201" s="471"/>
      <c r="B201" s="474"/>
      <c r="C201" s="474"/>
      <c r="D201" s="474"/>
      <c r="E201" s="474"/>
      <c r="F201" s="474"/>
      <c r="G201" s="474"/>
      <c r="H201" s="474"/>
      <c r="I201" s="474"/>
      <c r="J201" s="474"/>
      <c r="K201" s="474"/>
      <c r="L201" s="474"/>
      <c r="M201" s="474"/>
      <c r="N201" s="474"/>
      <c r="O201" s="474"/>
      <c r="P201" s="474"/>
      <c r="Q201" s="474"/>
      <c r="R201" s="474"/>
      <c r="S201" s="474"/>
      <c r="T201" s="474"/>
    </row>
    <row r="202" spans="1:20" s="472" customFormat="1" ht="19.5" customHeight="1">
      <c r="A202" s="471"/>
      <c r="B202" s="474"/>
      <c r="C202" s="474"/>
      <c r="D202" s="474"/>
      <c r="E202" s="474"/>
      <c r="F202" s="474"/>
      <c r="G202" s="474"/>
      <c r="H202" s="474"/>
      <c r="I202" s="474"/>
      <c r="J202" s="474"/>
      <c r="K202" s="474"/>
      <c r="L202" s="474"/>
      <c r="M202" s="474"/>
      <c r="N202" s="474"/>
      <c r="O202" s="474"/>
      <c r="P202" s="474"/>
      <c r="Q202" s="474"/>
      <c r="R202" s="474"/>
      <c r="S202" s="474"/>
      <c r="T202" s="474"/>
    </row>
    <row r="203" spans="1:20" s="472" customFormat="1" ht="19.5" customHeight="1">
      <c r="A203" s="471"/>
      <c r="B203" s="474"/>
      <c r="C203" s="474"/>
      <c r="D203" s="474"/>
      <c r="E203" s="474"/>
      <c r="F203" s="474"/>
      <c r="G203" s="474"/>
      <c r="H203" s="474"/>
      <c r="I203" s="474"/>
      <c r="J203" s="474"/>
      <c r="K203" s="474"/>
      <c r="L203" s="474"/>
      <c r="M203" s="474"/>
      <c r="N203" s="474"/>
      <c r="O203" s="474"/>
      <c r="P203" s="474"/>
      <c r="Q203" s="474"/>
      <c r="R203" s="474"/>
      <c r="S203" s="474"/>
      <c r="T203" s="474"/>
    </row>
    <row r="204" spans="1:20" s="472" customFormat="1" ht="19.5" customHeight="1">
      <c r="A204" s="471"/>
      <c r="B204" s="474"/>
      <c r="C204" s="474"/>
      <c r="D204" s="474"/>
      <c r="E204" s="474"/>
      <c r="F204" s="474"/>
      <c r="G204" s="474"/>
      <c r="H204" s="474"/>
      <c r="I204" s="474"/>
      <c r="J204" s="474"/>
      <c r="K204" s="474"/>
      <c r="L204" s="474"/>
      <c r="M204" s="474"/>
      <c r="N204" s="474"/>
      <c r="O204" s="474"/>
      <c r="P204" s="474"/>
      <c r="Q204" s="474"/>
      <c r="R204" s="474"/>
      <c r="S204" s="474"/>
      <c r="T204" s="474"/>
    </row>
    <row r="205" spans="1:20" s="472" customFormat="1" ht="19.5" customHeight="1">
      <c r="A205" s="471"/>
      <c r="B205" s="474"/>
      <c r="C205" s="474"/>
      <c r="D205" s="474"/>
      <c r="E205" s="474"/>
      <c r="F205" s="474"/>
      <c r="G205" s="474"/>
      <c r="H205" s="474"/>
      <c r="I205" s="474"/>
      <c r="J205" s="474"/>
      <c r="K205" s="474"/>
      <c r="L205" s="474"/>
      <c r="M205" s="474"/>
      <c r="N205" s="474"/>
      <c r="O205" s="474"/>
      <c r="P205" s="474"/>
      <c r="Q205" s="474"/>
      <c r="R205" s="474"/>
      <c r="S205" s="474"/>
      <c r="T205" s="474"/>
    </row>
    <row r="206" spans="1:20" s="472" customFormat="1" ht="19.5" customHeight="1">
      <c r="A206" s="471"/>
      <c r="B206" s="474"/>
      <c r="C206" s="474"/>
      <c r="D206" s="474"/>
      <c r="E206" s="474"/>
      <c r="F206" s="474"/>
      <c r="G206" s="474"/>
      <c r="H206" s="474"/>
      <c r="I206" s="474"/>
      <c r="J206" s="474"/>
      <c r="K206" s="474"/>
      <c r="L206" s="474"/>
      <c r="M206" s="474"/>
      <c r="N206" s="474"/>
      <c r="O206" s="474"/>
      <c r="P206" s="474"/>
      <c r="Q206" s="474"/>
      <c r="R206" s="474"/>
      <c r="S206" s="474"/>
      <c r="T206" s="474"/>
    </row>
    <row r="207" spans="1:20" s="472" customFormat="1" ht="19.5" customHeight="1">
      <c r="A207" s="471"/>
      <c r="B207" s="474"/>
      <c r="C207" s="474"/>
      <c r="D207" s="474"/>
      <c r="E207" s="474"/>
      <c r="F207" s="474"/>
      <c r="G207" s="474"/>
      <c r="H207" s="474"/>
      <c r="I207" s="474"/>
      <c r="J207" s="474"/>
      <c r="K207" s="474"/>
      <c r="L207" s="474"/>
      <c r="M207" s="474"/>
      <c r="N207" s="474"/>
      <c r="O207" s="474"/>
      <c r="P207" s="474"/>
      <c r="Q207" s="474"/>
      <c r="R207" s="474"/>
      <c r="S207" s="474"/>
      <c r="T207" s="474"/>
    </row>
    <row r="208" spans="1:20" s="472" customFormat="1" ht="19.5" customHeight="1">
      <c r="A208" s="471"/>
      <c r="B208" s="474"/>
      <c r="C208" s="474"/>
      <c r="D208" s="474"/>
      <c r="E208" s="474"/>
      <c r="F208" s="474"/>
      <c r="G208" s="474"/>
      <c r="H208" s="474"/>
      <c r="I208" s="474"/>
      <c r="J208" s="474"/>
      <c r="K208" s="474"/>
      <c r="L208" s="474"/>
      <c r="M208" s="474"/>
      <c r="N208" s="474"/>
      <c r="O208" s="474"/>
      <c r="P208" s="474"/>
      <c r="Q208" s="474"/>
      <c r="R208" s="474"/>
      <c r="S208" s="474"/>
      <c r="T208" s="474"/>
    </row>
    <row r="209" spans="1:20" s="472" customFormat="1" ht="19.5" customHeight="1">
      <c r="A209" s="471"/>
      <c r="B209" s="474"/>
      <c r="C209" s="474"/>
      <c r="D209" s="474"/>
      <c r="E209" s="474"/>
      <c r="F209" s="474"/>
      <c r="G209" s="474"/>
      <c r="H209" s="474"/>
      <c r="I209" s="474"/>
      <c r="J209" s="474"/>
      <c r="K209" s="474"/>
      <c r="L209" s="474"/>
      <c r="M209" s="474"/>
      <c r="N209" s="474"/>
      <c r="O209" s="474"/>
      <c r="P209" s="474"/>
      <c r="Q209" s="474"/>
      <c r="R209" s="474"/>
      <c r="S209" s="474"/>
      <c r="T209" s="474"/>
    </row>
    <row r="210" spans="1:20" s="472" customFormat="1" ht="19.5" customHeight="1">
      <c r="A210" s="471"/>
      <c r="B210" s="474"/>
      <c r="C210" s="474"/>
      <c r="D210" s="474"/>
      <c r="E210" s="474"/>
      <c r="F210" s="474"/>
      <c r="G210" s="474"/>
      <c r="H210" s="474"/>
      <c r="I210" s="474"/>
      <c r="J210" s="474"/>
      <c r="K210" s="474"/>
      <c r="L210" s="474"/>
      <c r="M210" s="474"/>
      <c r="N210" s="474"/>
      <c r="O210" s="474"/>
      <c r="P210" s="474"/>
      <c r="Q210" s="474"/>
      <c r="R210" s="474"/>
      <c r="S210" s="474"/>
      <c r="T210" s="474"/>
    </row>
    <row r="211" spans="1:20" s="472" customFormat="1" ht="19.5" customHeight="1">
      <c r="A211" s="471"/>
      <c r="B211" s="474"/>
      <c r="C211" s="474"/>
      <c r="D211" s="474"/>
      <c r="E211" s="474"/>
      <c r="F211" s="474"/>
      <c r="G211" s="474"/>
      <c r="H211" s="474"/>
      <c r="I211" s="474"/>
      <c r="J211" s="474"/>
      <c r="K211" s="474"/>
      <c r="L211" s="474"/>
      <c r="M211" s="474"/>
      <c r="N211" s="474"/>
      <c r="O211" s="474"/>
      <c r="P211" s="474"/>
      <c r="Q211" s="474"/>
      <c r="R211" s="474"/>
      <c r="S211" s="474"/>
      <c r="T211" s="474"/>
    </row>
    <row r="212" spans="1:20" s="472" customFormat="1" ht="19.5" customHeight="1">
      <c r="A212" s="471"/>
      <c r="B212" s="474"/>
      <c r="C212" s="474"/>
      <c r="D212" s="474"/>
      <c r="E212" s="474"/>
      <c r="F212" s="474"/>
      <c r="G212" s="474"/>
      <c r="H212" s="474"/>
      <c r="I212" s="474"/>
      <c r="J212" s="474"/>
      <c r="K212" s="474"/>
      <c r="L212" s="474"/>
      <c r="M212" s="474"/>
      <c r="N212" s="474"/>
      <c r="O212" s="474"/>
      <c r="P212" s="474"/>
      <c r="Q212" s="474"/>
      <c r="R212" s="474"/>
      <c r="S212" s="474"/>
      <c r="T212" s="474"/>
    </row>
    <row r="213" spans="1:20" s="472" customFormat="1" ht="19.5" customHeight="1">
      <c r="A213" s="471"/>
      <c r="B213" s="474"/>
      <c r="C213" s="474"/>
      <c r="D213" s="474"/>
      <c r="E213" s="474"/>
      <c r="F213" s="474"/>
      <c r="G213" s="474"/>
      <c r="H213" s="474"/>
      <c r="I213" s="474"/>
      <c r="J213" s="474"/>
      <c r="K213" s="474"/>
      <c r="L213" s="474"/>
      <c r="M213" s="474"/>
      <c r="N213" s="474"/>
      <c r="O213" s="474"/>
      <c r="P213" s="474"/>
      <c r="Q213" s="474"/>
      <c r="R213" s="474"/>
      <c r="S213" s="474"/>
      <c r="T213" s="474"/>
    </row>
    <row r="214" spans="1:20" s="472" customFormat="1" ht="19.5" customHeight="1">
      <c r="A214" s="471"/>
      <c r="B214" s="474"/>
      <c r="C214" s="474"/>
      <c r="D214" s="474"/>
      <c r="E214" s="474"/>
      <c r="F214" s="474"/>
      <c r="G214" s="474"/>
      <c r="H214" s="474"/>
      <c r="I214" s="474"/>
      <c r="J214" s="474"/>
      <c r="K214" s="474"/>
      <c r="L214" s="474"/>
      <c r="M214" s="474"/>
      <c r="N214" s="474"/>
      <c r="O214" s="474"/>
      <c r="P214" s="474"/>
      <c r="Q214" s="474"/>
      <c r="R214" s="474"/>
      <c r="S214" s="474"/>
      <c r="T214" s="474"/>
    </row>
    <row r="215" spans="1:20" s="472" customFormat="1" ht="19.5" customHeight="1">
      <c r="A215" s="471"/>
      <c r="B215" s="474"/>
      <c r="C215" s="474"/>
      <c r="D215" s="474"/>
      <c r="E215" s="474"/>
      <c r="F215" s="474"/>
      <c r="G215" s="474"/>
      <c r="H215" s="474"/>
      <c r="I215" s="474"/>
      <c r="J215" s="474"/>
      <c r="K215" s="474"/>
      <c r="L215" s="474"/>
      <c r="M215" s="474"/>
      <c r="N215" s="474"/>
      <c r="O215" s="474"/>
      <c r="P215" s="474"/>
      <c r="Q215" s="474"/>
      <c r="R215" s="474"/>
      <c r="S215" s="474"/>
      <c r="T215" s="474"/>
    </row>
    <row r="216" spans="1:20" s="472" customFormat="1" ht="19.5" customHeight="1">
      <c r="A216" s="471"/>
      <c r="B216" s="474"/>
      <c r="C216" s="474"/>
      <c r="D216" s="474"/>
      <c r="E216" s="474"/>
      <c r="F216" s="474"/>
      <c r="G216" s="474"/>
      <c r="H216" s="474"/>
      <c r="I216" s="474"/>
      <c r="J216" s="474"/>
      <c r="K216" s="474"/>
      <c r="L216" s="474"/>
      <c r="M216" s="474"/>
      <c r="N216" s="474"/>
      <c r="O216" s="474"/>
      <c r="P216" s="474"/>
      <c r="Q216" s="474"/>
      <c r="R216" s="474"/>
      <c r="S216" s="474"/>
      <c r="T216" s="474"/>
    </row>
    <row r="217" spans="1:20" s="472" customFormat="1" ht="19.5" customHeight="1">
      <c r="A217" s="471"/>
      <c r="B217" s="474"/>
      <c r="C217" s="474"/>
      <c r="D217" s="474"/>
      <c r="E217" s="474"/>
      <c r="F217" s="474"/>
      <c r="G217" s="474"/>
      <c r="H217" s="474"/>
      <c r="I217" s="474"/>
      <c r="J217" s="474"/>
      <c r="K217" s="474"/>
      <c r="L217" s="474"/>
      <c r="M217" s="474"/>
      <c r="N217" s="474"/>
      <c r="O217" s="474"/>
      <c r="P217" s="474"/>
      <c r="Q217" s="474"/>
      <c r="R217" s="474"/>
      <c r="S217" s="474"/>
      <c r="T217" s="474"/>
    </row>
    <row r="218" spans="1:20" s="472" customFormat="1" ht="19.5" customHeight="1">
      <c r="A218" s="471"/>
      <c r="B218" s="474"/>
      <c r="C218" s="474"/>
      <c r="D218" s="474"/>
      <c r="E218" s="474"/>
      <c r="F218" s="474"/>
      <c r="G218" s="474"/>
      <c r="H218" s="474"/>
      <c r="I218" s="474"/>
      <c r="J218" s="474"/>
      <c r="K218" s="474"/>
      <c r="L218" s="474"/>
      <c r="M218" s="474"/>
      <c r="N218" s="474"/>
      <c r="O218" s="474"/>
      <c r="P218" s="474"/>
      <c r="Q218" s="474"/>
      <c r="R218" s="474"/>
      <c r="S218" s="474"/>
      <c r="T218" s="474"/>
    </row>
    <row r="219" spans="1:20" s="472" customFormat="1" ht="19.5" customHeight="1">
      <c r="A219" s="471"/>
      <c r="B219" s="474"/>
      <c r="C219" s="474"/>
      <c r="D219" s="474"/>
      <c r="E219" s="474"/>
      <c r="F219" s="474"/>
      <c r="G219" s="474"/>
      <c r="H219" s="474"/>
      <c r="I219" s="474"/>
      <c r="J219" s="474"/>
      <c r="K219" s="474"/>
      <c r="L219" s="474"/>
      <c r="M219" s="474"/>
      <c r="N219" s="474"/>
      <c r="O219" s="474"/>
      <c r="P219" s="474"/>
      <c r="Q219" s="474"/>
      <c r="R219" s="474"/>
      <c r="S219" s="474"/>
      <c r="T219" s="474"/>
    </row>
    <row r="220" spans="1:20" s="472" customFormat="1" ht="19.5" customHeight="1">
      <c r="A220" s="471"/>
      <c r="B220" s="474"/>
      <c r="C220" s="474"/>
      <c r="D220" s="474"/>
      <c r="E220" s="474"/>
      <c r="F220" s="474"/>
      <c r="G220" s="474"/>
      <c r="H220" s="474"/>
      <c r="I220" s="474"/>
      <c r="J220" s="474"/>
      <c r="K220" s="474"/>
      <c r="L220" s="474"/>
      <c r="M220" s="474"/>
      <c r="N220" s="474"/>
      <c r="O220" s="474"/>
      <c r="P220" s="474"/>
      <c r="Q220" s="474"/>
      <c r="R220" s="474"/>
      <c r="S220" s="474"/>
      <c r="T220" s="474"/>
    </row>
    <row r="221" spans="1:20" s="472" customFormat="1" ht="19.5" customHeight="1">
      <c r="A221" s="471"/>
      <c r="B221" s="474"/>
      <c r="C221" s="474"/>
      <c r="D221" s="474"/>
      <c r="E221" s="474"/>
      <c r="F221" s="474"/>
      <c r="G221" s="474"/>
      <c r="H221" s="474"/>
      <c r="I221" s="474"/>
      <c r="J221" s="474"/>
      <c r="K221" s="474"/>
      <c r="L221" s="474"/>
      <c r="M221" s="474"/>
      <c r="N221" s="474"/>
      <c r="O221" s="474"/>
      <c r="P221" s="474"/>
      <c r="Q221" s="474"/>
      <c r="R221" s="474"/>
      <c r="S221" s="474"/>
      <c r="T221" s="474"/>
    </row>
    <row r="222" spans="1:20" s="472" customFormat="1" ht="19.5" customHeight="1">
      <c r="A222" s="471"/>
      <c r="B222" s="474"/>
      <c r="C222" s="474"/>
      <c r="D222" s="474"/>
      <c r="E222" s="474"/>
      <c r="F222" s="474"/>
      <c r="G222" s="474"/>
      <c r="H222" s="474"/>
      <c r="I222" s="474"/>
      <c r="J222" s="474"/>
      <c r="K222" s="474"/>
      <c r="L222" s="474"/>
      <c r="M222" s="474"/>
      <c r="N222" s="474"/>
      <c r="O222" s="474"/>
      <c r="P222" s="474"/>
      <c r="Q222" s="474"/>
      <c r="R222" s="474"/>
      <c r="S222" s="474"/>
      <c r="T222" s="474"/>
    </row>
    <row r="223" spans="1:20" s="472" customFormat="1" ht="19.5" customHeight="1">
      <c r="A223" s="471"/>
      <c r="B223" s="474"/>
      <c r="C223" s="474"/>
      <c r="D223" s="474"/>
      <c r="E223" s="474"/>
      <c r="F223" s="474"/>
      <c r="G223" s="474"/>
      <c r="H223" s="474"/>
      <c r="I223" s="474"/>
      <c r="J223" s="474"/>
      <c r="K223" s="474"/>
      <c r="L223" s="474"/>
      <c r="M223" s="474"/>
      <c r="N223" s="474"/>
      <c r="O223" s="474"/>
      <c r="P223" s="474"/>
      <c r="Q223" s="474"/>
      <c r="R223" s="474"/>
      <c r="S223" s="474"/>
      <c r="T223" s="474"/>
    </row>
    <row r="224" spans="1:20" s="472" customFormat="1" ht="19.5" customHeight="1">
      <c r="A224" s="471"/>
      <c r="B224" s="474"/>
      <c r="C224" s="474"/>
      <c r="D224" s="474"/>
      <c r="E224" s="474"/>
      <c r="F224" s="474"/>
      <c r="G224" s="474"/>
      <c r="H224" s="474"/>
      <c r="I224" s="474"/>
      <c r="J224" s="474"/>
      <c r="K224" s="474"/>
      <c r="L224" s="474"/>
      <c r="M224" s="474"/>
      <c r="N224" s="474"/>
      <c r="O224" s="474"/>
      <c r="P224" s="474"/>
      <c r="Q224" s="474"/>
      <c r="R224" s="474"/>
      <c r="S224" s="474"/>
      <c r="T224" s="474"/>
    </row>
    <row r="225" spans="1:20" s="472" customFormat="1" ht="19.5" customHeight="1">
      <c r="A225" s="471"/>
      <c r="B225" s="474"/>
      <c r="C225" s="474"/>
      <c r="D225" s="474"/>
      <c r="E225" s="474"/>
      <c r="F225" s="474"/>
      <c r="G225" s="474"/>
      <c r="H225" s="474"/>
      <c r="I225" s="474"/>
      <c r="J225" s="474"/>
      <c r="K225" s="474"/>
      <c r="L225" s="474"/>
      <c r="M225" s="474"/>
      <c r="N225" s="474"/>
      <c r="O225" s="474"/>
      <c r="P225" s="474"/>
      <c r="Q225" s="474"/>
      <c r="R225" s="474"/>
      <c r="S225" s="474"/>
      <c r="T225" s="474"/>
    </row>
    <row r="226" spans="1:20" s="472" customFormat="1" ht="19.5" customHeight="1">
      <c r="A226" s="471"/>
      <c r="B226" s="474"/>
      <c r="C226" s="474"/>
      <c r="D226" s="474"/>
      <c r="E226" s="474"/>
      <c r="F226" s="474"/>
      <c r="G226" s="474"/>
      <c r="H226" s="474"/>
      <c r="I226" s="474"/>
      <c r="J226" s="474"/>
      <c r="K226" s="474"/>
      <c r="L226" s="474"/>
      <c r="M226" s="474"/>
      <c r="N226" s="474"/>
      <c r="O226" s="474"/>
      <c r="P226" s="474"/>
      <c r="Q226" s="474"/>
      <c r="R226" s="474"/>
      <c r="S226" s="474"/>
      <c r="T226" s="474"/>
    </row>
    <row r="227" spans="1:20" s="472" customFormat="1" ht="19.5" customHeight="1">
      <c r="A227" s="471"/>
      <c r="B227" s="474"/>
      <c r="C227" s="474"/>
      <c r="D227" s="474"/>
      <c r="E227" s="474"/>
      <c r="F227" s="474"/>
      <c r="G227" s="474"/>
      <c r="H227" s="474"/>
      <c r="I227" s="474"/>
      <c r="J227" s="474"/>
      <c r="K227" s="474"/>
      <c r="L227" s="474"/>
      <c r="M227" s="474"/>
      <c r="N227" s="474"/>
      <c r="O227" s="474"/>
      <c r="P227" s="474"/>
      <c r="Q227" s="474"/>
      <c r="R227" s="474"/>
      <c r="S227" s="474"/>
      <c r="T227" s="474"/>
    </row>
    <row r="228" spans="1:20" s="472" customFormat="1" ht="19.5" customHeight="1">
      <c r="A228" s="471"/>
      <c r="B228" s="474"/>
      <c r="C228" s="474"/>
      <c r="D228" s="474"/>
      <c r="E228" s="474"/>
      <c r="F228" s="474"/>
      <c r="G228" s="474"/>
      <c r="H228" s="474"/>
      <c r="I228" s="474"/>
      <c r="J228" s="474"/>
      <c r="K228" s="474"/>
      <c r="L228" s="474"/>
      <c r="M228" s="474"/>
      <c r="N228" s="474"/>
      <c r="O228" s="474"/>
      <c r="P228" s="474"/>
      <c r="Q228" s="474"/>
      <c r="R228" s="474"/>
      <c r="S228" s="474"/>
      <c r="T228" s="474"/>
    </row>
    <row r="229" spans="1:20" s="472" customFormat="1" ht="19.5" customHeight="1">
      <c r="A229" s="471"/>
      <c r="B229" s="474"/>
      <c r="C229" s="474"/>
      <c r="D229" s="474"/>
      <c r="E229" s="474"/>
      <c r="F229" s="474"/>
      <c r="G229" s="474"/>
      <c r="H229" s="474"/>
      <c r="I229" s="474"/>
      <c r="J229" s="474"/>
      <c r="K229" s="474"/>
      <c r="L229" s="474"/>
      <c r="M229" s="474"/>
      <c r="N229" s="474"/>
      <c r="O229" s="474"/>
      <c r="P229" s="474"/>
      <c r="Q229" s="474"/>
      <c r="R229" s="474"/>
      <c r="S229" s="474"/>
      <c r="T229" s="474"/>
    </row>
    <row r="230" spans="1:20" s="472" customFormat="1" ht="19.5" customHeight="1">
      <c r="A230" s="471"/>
      <c r="B230" s="474"/>
      <c r="C230" s="474"/>
      <c r="D230" s="474"/>
      <c r="E230" s="474"/>
      <c r="F230" s="474"/>
      <c r="G230" s="474"/>
      <c r="H230" s="474"/>
      <c r="I230" s="474"/>
      <c r="J230" s="474"/>
      <c r="K230" s="474"/>
      <c r="L230" s="474"/>
      <c r="M230" s="474"/>
      <c r="N230" s="474"/>
      <c r="O230" s="474"/>
      <c r="P230" s="474"/>
      <c r="Q230" s="474"/>
      <c r="R230" s="474"/>
      <c r="S230" s="474"/>
      <c r="T230" s="474"/>
    </row>
    <row r="231" spans="1:20" s="472" customFormat="1" ht="19.5" customHeight="1">
      <c r="A231" s="471"/>
      <c r="B231" s="474"/>
      <c r="C231" s="474"/>
      <c r="D231" s="474"/>
      <c r="E231" s="474"/>
      <c r="F231" s="474"/>
      <c r="G231" s="474"/>
      <c r="H231" s="474"/>
      <c r="I231" s="474"/>
      <c r="J231" s="474"/>
      <c r="K231" s="474"/>
      <c r="L231" s="474"/>
      <c r="M231" s="474"/>
      <c r="N231" s="474"/>
      <c r="O231" s="474"/>
      <c r="P231" s="474"/>
      <c r="Q231" s="474"/>
      <c r="R231" s="474"/>
      <c r="S231" s="474"/>
      <c r="T231" s="474"/>
    </row>
    <row r="232" spans="1:20" s="472" customFormat="1" ht="19.5" customHeight="1">
      <c r="A232" s="471"/>
      <c r="B232" s="474"/>
      <c r="C232" s="474"/>
      <c r="D232" s="474"/>
      <c r="E232" s="474"/>
      <c r="F232" s="474"/>
      <c r="G232" s="474"/>
      <c r="H232" s="474"/>
      <c r="I232" s="474"/>
      <c r="J232" s="474"/>
      <c r="K232" s="474"/>
      <c r="L232" s="474"/>
      <c r="M232" s="474"/>
      <c r="N232" s="474"/>
      <c r="O232" s="474"/>
      <c r="P232" s="474"/>
      <c r="Q232" s="474"/>
      <c r="R232" s="474"/>
      <c r="S232" s="474"/>
      <c r="T232" s="474"/>
    </row>
    <row r="233" spans="1:20" s="472" customFormat="1" ht="19.5" customHeight="1">
      <c r="A233" s="471"/>
      <c r="B233" s="474"/>
      <c r="C233" s="474"/>
      <c r="D233" s="474"/>
      <c r="E233" s="474"/>
      <c r="F233" s="474"/>
      <c r="G233" s="474"/>
      <c r="H233" s="474"/>
      <c r="I233" s="474"/>
      <c r="J233" s="474"/>
      <c r="K233" s="474"/>
      <c r="L233" s="474"/>
      <c r="M233" s="474"/>
      <c r="N233" s="474"/>
      <c r="O233" s="474"/>
      <c r="P233" s="474"/>
      <c r="Q233" s="474"/>
      <c r="R233" s="474"/>
      <c r="S233" s="474"/>
      <c r="T233" s="474"/>
    </row>
    <row r="234" spans="1:20" s="472" customFormat="1" ht="19.5" customHeight="1">
      <c r="A234" s="471"/>
      <c r="B234" s="474"/>
      <c r="C234" s="474"/>
      <c r="D234" s="474"/>
      <c r="E234" s="474"/>
      <c r="F234" s="474"/>
      <c r="G234" s="474"/>
      <c r="H234" s="474"/>
      <c r="I234" s="474"/>
      <c r="J234" s="474"/>
      <c r="K234" s="474"/>
      <c r="L234" s="474"/>
      <c r="M234" s="474"/>
      <c r="N234" s="474"/>
      <c r="O234" s="474"/>
      <c r="P234" s="474"/>
      <c r="Q234" s="474"/>
      <c r="R234" s="474"/>
      <c r="S234" s="474"/>
      <c r="T234" s="474"/>
    </row>
    <row r="235" spans="1:20" s="472" customFormat="1" ht="19.5" customHeight="1">
      <c r="A235" s="471"/>
      <c r="B235" s="474"/>
      <c r="C235" s="474"/>
      <c r="D235" s="474"/>
      <c r="E235" s="474"/>
      <c r="F235" s="474"/>
      <c r="G235" s="474"/>
      <c r="H235" s="474"/>
      <c r="I235" s="474"/>
      <c r="J235" s="474"/>
      <c r="K235" s="474"/>
      <c r="L235" s="474"/>
      <c r="M235" s="474"/>
      <c r="N235" s="474"/>
      <c r="O235" s="474"/>
      <c r="P235" s="474"/>
      <c r="Q235" s="474"/>
      <c r="R235" s="474"/>
      <c r="S235" s="474"/>
      <c r="T235" s="474"/>
    </row>
    <row r="236" spans="1:20" s="472" customFormat="1" ht="19.5" customHeight="1">
      <c r="A236" s="471"/>
      <c r="B236" s="474"/>
      <c r="C236" s="474"/>
      <c r="D236" s="474"/>
      <c r="E236" s="474"/>
      <c r="F236" s="474"/>
      <c r="G236" s="474"/>
      <c r="H236" s="474"/>
      <c r="I236" s="474"/>
      <c r="J236" s="474"/>
      <c r="K236" s="474"/>
      <c r="L236" s="474"/>
      <c r="M236" s="474"/>
      <c r="N236" s="474"/>
      <c r="O236" s="474"/>
      <c r="P236" s="474"/>
      <c r="Q236" s="474"/>
      <c r="R236" s="474"/>
      <c r="S236" s="474"/>
      <c r="T236" s="474"/>
    </row>
    <row r="237" ht="19.5" customHeight="1"/>
    <row r="238" ht="9.75" customHeight="1"/>
    <row r="239" ht="19.5" customHeight="1"/>
    <row r="240" ht="19.5" customHeight="1"/>
    <row r="241" ht="19.5" customHeight="1"/>
    <row r="242" ht="19.5" customHeight="1"/>
    <row r="243" spans="1:20" s="472" customFormat="1" ht="19.5" customHeight="1">
      <c r="A243" s="471"/>
      <c r="B243" s="474"/>
      <c r="C243" s="474"/>
      <c r="D243" s="474"/>
      <c r="E243" s="474"/>
      <c r="F243" s="474"/>
      <c r="G243" s="474"/>
      <c r="H243" s="474"/>
      <c r="I243" s="474"/>
      <c r="J243" s="474"/>
      <c r="K243" s="474"/>
      <c r="L243" s="474"/>
      <c r="M243" s="474"/>
      <c r="N243" s="474"/>
      <c r="O243" s="474"/>
      <c r="P243" s="474"/>
      <c r="Q243" s="474"/>
      <c r="R243" s="474"/>
      <c r="S243" s="474"/>
      <c r="T243" s="474"/>
    </row>
    <row r="244" spans="1:20" s="472" customFormat="1" ht="19.5" customHeight="1">
      <c r="A244" s="471"/>
      <c r="B244" s="474"/>
      <c r="C244" s="474"/>
      <c r="D244" s="474"/>
      <c r="E244" s="474"/>
      <c r="F244" s="474"/>
      <c r="G244" s="474"/>
      <c r="H244" s="474"/>
      <c r="I244" s="474"/>
      <c r="J244" s="474"/>
      <c r="K244" s="474"/>
      <c r="L244" s="474"/>
      <c r="M244" s="474"/>
      <c r="N244" s="474"/>
      <c r="O244" s="474"/>
      <c r="P244" s="474"/>
      <c r="Q244" s="474"/>
      <c r="R244" s="474"/>
      <c r="S244" s="474"/>
      <c r="T244" s="474"/>
    </row>
    <row r="245" spans="1:20" s="472" customFormat="1" ht="19.5" customHeight="1">
      <c r="A245" s="471"/>
      <c r="B245" s="474"/>
      <c r="C245" s="474"/>
      <c r="D245" s="474"/>
      <c r="E245" s="474"/>
      <c r="F245" s="474"/>
      <c r="G245" s="474"/>
      <c r="H245" s="474"/>
      <c r="I245" s="474"/>
      <c r="J245" s="474"/>
      <c r="K245" s="474"/>
      <c r="L245" s="474"/>
      <c r="M245" s="474"/>
      <c r="N245" s="474"/>
      <c r="O245" s="474"/>
      <c r="P245" s="474"/>
      <c r="Q245" s="474"/>
      <c r="R245" s="474"/>
      <c r="S245" s="474"/>
      <c r="T245" s="474"/>
    </row>
    <row r="246" spans="1:20" s="472" customFormat="1" ht="19.5" customHeight="1">
      <c r="A246" s="471"/>
      <c r="B246" s="474"/>
      <c r="C246" s="474"/>
      <c r="D246" s="474"/>
      <c r="E246" s="474"/>
      <c r="F246" s="474"/>
      <c r="G246" s="474"/>
      <c r="H246" s="474"/>
      <c r="I246" s="474"/>
      <c r="J246" s="474"/>
      <c r="K246" s="474"/>
      <c r="L246" s="474"/>
      <c r="M246" s="474"/>
      <c r="N246" s="474"/>
      <c r="O246" s="474"/>
      <c r="P246" s="474"/>
      <c r="Q246" s="474"/>
      <c r="R246" s="474"/>
      <c r="S246" s="474"/>
      <c r="T246" s="474"/>
    </row>
    <row r="247" spans="1:20" s="472" customFormat="1" ht="19.5" customHeight="1">
      <c r="A247" s="471"/>
      <c r="B247" s="474"/>
      <c r="C247" s="474"/>
      <c r="D247" s="474"/>
      <c r="E247" s="474"/>
      <c r="F247" s="474"/>
      <c r="G247" s="474"/>
      <c r="H247" s="474"/>
      <c r="I247" s="474"/>
      <c r="J247" s="474"/>
      <c r="K247" s="474"/>
      <c r="L247" s="474"/>
      <c r="M247" s="474"/>
      <c r="N247" s="474"/>
      <c r="O247" s="474"/>
      <c r="P247" s="474"/>
      <c r="Q247" s="474"/>
      <c r="R247" s="474"/>
      <c r="S247" s="474"/>
      <c r="T247" s="474"/>
    </row>
    <row r="248" spans="1:20" s="472" customFormat="1" ht="19.5" customHeight="1">
      <c r="A248" s="471"/>
      <c r="B248" s="474"/>
      <c r="C248" s="474"/>
      <c r="D248" s="474"/>
      <c r="E248" s="474"/>
      <c r="F248" s="474"/>
      <c r="G248" s="474"/>
      <c r="H248" s="474"/>
      <c r="I248" s="474"/>
      <c r="J248" s="474"/>
      <c r="K248" s="474"/>
      <c r="L248" s="474"/>
      <c r="M248" s="474"/>
      <c r="N248" s="474"/>
      <c r="O248" s="474"/>
      <c r="P248" s="474"/>
      <c r="Q248" s="474"/>
      <c r="R248" s="474"/>
      <c r="S248" s="474"/>
      <c r="T248" s="474"/>
    </row>
    <row r="249" spans="1:20" s="472" customFormat="1" ht="19.5" customHeight="1">
      <c r="A249" s="471"/>
      <c r="B249" s="474"/>
      <c r="C249" s="474"/>
      <c r="D249" s="474"/>
      <c r="E249" s="474"/>
      <c r="F249" s="474"/>
      <c r="G249" s="474"/>
      <c r="H249" s="474"/>
      <c r="I249" s="474"/>
      <c r="J249" s="474"/>
      <c r="K249" s="474"/>
      <c r="L249" s="474"/>
      <c r="M249" s="474"/>
      <c r="N249" s="474"/>
      <c r="O249" s="474"/>
      <c r="P249" s="474"/>
      <c r="Q249" s="474"/>
      <c r="R249" s="474"/>
      <c r="S249" s="474"/>
      <c r="T249" s="474"/>
    </row>
    <row r="250" spans="1:20" s="472" customFormat="1" ht="19.5" customHeight="1">
      <c r="A250" s="471"/>
      <c r="B250" s="474"/>
      <c r="C250" s="474"/>
      <c r="D250" s="474"/>
      <c r="E250" s="474"/>
      <c r="F250" s="474"/>
      <c r="G250" s="474"/>
      <c r="H250" s="474"/>
      <c r="I250" s="474"/>
      <c r="J250" s="474"/>
      <c r="K250" s="474"/>
      <c r="L250" s="474"/>
      <c r="M250" s="474"/>
      <c r="N250" s="474"/>
      <c r="O250" s="474"/>
      <c r="P250" s="474"/>
      <c r="Q250" s="474"/>
      <c r="R250" s="474"/>
      <c r="S250" s="474"/>
      <c r="T250" s="474"/>
    </row>
    <row r="251" spans="1:20" s="472" customFormat="1" ht="19.5" customHeight="1">
      <c r="A251" s="471"/>
      <c r="B251" s="474"/>
      <c r="C251" s="474"/>
      <c r="D251" s="474"/>
      <c r="E251" s="474"/>
      <c r="F251" s="474"/>
      <c r="G251" s="474"/>
      <c r="H251" s="474"/>
      <c r="I251" s="474"/>
      <c r="J251" s="474"/>
      <c r="K251" s="474"/>
      <c r="L251" s="474"/>
      <c r="M251" s="474"/>
      <c r="N251" s="474"/>
      <c r="O251" s="474"/>
      <c r="P251" s="474"/>
      <c r="Q251" s="474"/>
      <c r="R251" s="474"/>
      <c r="S251" s="474"/>
      <c r="T251" s="474"/>
    </row>
    <row r="252" spans="1:20" s="472" customFormat="1" ht="19.5" customHeight="1">
      <c r="A252" s="471"/>
      <c r="B252" s="474"/>
      <c r="C252" s="474"/>
      <c r="D252" s="474"/>
      <c r="E252" s="474"/>
      <c r="F252" s="474"/>
      <c r="G252" s="474"/>
      <c r="H252" s="474"/>
      <c r="I252" s="474"/>
      <c r="J252" s="474"/>
      <c r="K252" s="474"/>
      <c r="L252" s="474"/>
      <c r="M252" s="474"/>
      <c r="N252" s="474"/>
      <c r="O252" s="474"/>
      <c r="P252" s="474"/>
      <c r="Q252" s="474"/>
      <c r="R252" s="474"/>
      <c r="S252" s="474"/>
      <c r="T252" s="474"/>
    </row>
    <row r="253" spans="1:20" s="472" customFormat="1" ht="19.5" customHeight="1">
      <c r="A253" s="471"/>
      <c r="B253" s="474"/>
      <c r="C253" s="474"/>
      <c r="D253" s="474"/>
      <c r="E253" s="474"/>
      <c r="F253" s="474"/>
      <c r="G253" s="474"/>
      <c r="H253" s="474"/>
      <c r="I253" s="474"/>
      <c r="J253" s="474"/>
      <c r="K253" s="474"/>
      <c r="L253" s="474"/>
      <c r="M253" s="474"/>
      <c r="N253" s="474"/>
      <c r="O253" s="474"/>
      <c r="P253" s="474"/>
      <c r="Q253" s="474"/>
      <c r="R253" s="474"/>
      <c r="S253" s="474"/>
      <c r="T253" s="474"/>
    </row>
    <row r="254" spans="1:20" s="472" customFormat="1" ht="19.5" customHeight="1">
      <c r="A254" s="471"/>
      <c r="B254" s="474"/>
      <c r="C254" s="474"/>
      <c r="D254" s="474"/>
      <c r="E254" s="474"/>
      <c r="F254" s="474"/>
      <c r="G254" s="474"/>
      <c r="H254" s="474"/>
      <c r="I254" s="474"/>
      <c r="J254" s="474"/>
      <c r="K254" s="474"/>
      <c r="L254" s="474"/>
      <c r="M254" s="474"/>
      <c r="N254" s="474"/>
      <c r="O254" s="474"/>
      <c r="P254" s="474"/>
      <c r="Q254" s="474"/>
      <c r="R254" s="474"/>
      <c r="S254" s="474"/>
      <c r="T254" s="474"/>
    </row>
    <row r="255" spans="1:20" s="472" customFormat="1" ht="19.5" customHeight="1">
      <c r="A255" s="471"/>
      <c r="B255" s="474"/>
      <c r="C255" s="474"/>
      <c r="D255" s="474"/>
      <c r="E255" s="474"/>
      <c r="F255" s="474"/>
      <c r="G255" s="474"/>
      <c r="H255" s="474"/>
      <c r="I255" s="474"/>
      <c r="J255" s="474"/>
      <c r="K255" s="474"/>
      <c r="L255" s="474"/>
      <c r="M255" s="474"/>
      <c r="N255" s="474"/>
      <c r="O255" s="474"/>
      <c r="P255" s="474"/>
      <c r="Q255" s="474"/>
      <c r="R255" s="474"/>
      <c r="S255" s="474"/>
      <c r="T255" s="474"/>
    </row>
    <row r="256" spans="1:20" s="472" customFormat="1" ht="19.5" customHeight="1">
      <c r="A256" s="471"/>
      <c r="B256" s="474"/>
      <c r="C256" s="474"/>
      <c r="D256" s="474"/>
      <c r="E256" s="474"/>
      <c r="F256" s="474"/>
      <c r="G256" s="474"/>
      <c r="H256" s="474"/>
      <c r="I256" s="474"/>
      <c r="J256" s="474"/>
      <c r="K256" s="474"/>
      <c r="L256" s="474"/>
      <c r="M256" s="474"/>
      <c r="N256" s="474"/>
      <c r="O256" s="474"/>
      <c r="P256" s="474"/>
      <c r="Q256" s="474"/>
      <c r="R256" s="474"/>
      <c r="S256" s="474"/>
      <c r="T256" s="474"/>
    </row>
    <row r="257" spans="1:20" s="472" customFormat="1" ht="19.5" customHeight="1">
      <c r="A257" s="471"/>
      <c r="B257" s="474"/>
      <c r="C257" s="474"/>
      <c r="D257" s="474"/>
      <c r="E257" s="474"/>
      <c r="F257" s="474"/>
      <c r="G257" s="474"/>
      <c r="H257" s="474"/>
      <c r="I257" s="474"/>
      <c r="J257" s="474"/>
      <c r="K257" s="474"/>
      <c r="L257" s="474"/>
      <c r="M257" s="474"/>
      <c r="N257" s="474"/>
      <c r="O257" s="474"/>
      <c r="P257" s="474"/>
      <c r="Q257" s="474"/>
      <c r="R257" s="474"/>
      <c r="S257" s="474"/>
      <c r="T257" s="474"/>
    </row>
    <row r="258" spans="1:20" s="472" customFormat="1" ht="19.5" customHeight="1">
      <c r="A258" s="471"/>
      <c r="B258" s="474"/>
      <c r="C258" s="474"/>
      <c r="D258" s="474"/>
      <c r="E258" s="474"/>
      <c r="F258" s="474"/>
      <c r="G258" s="474"/>
      <c r="H258" s="474"/>
      <c r="I258" s="474"/>
      <c r="J258" s="474"/>
      <c r="K258" s="474"/>
      <c r="L258" s="474"/>
      <c r="M258" s="474"/>
      <c r="N258" s="474"/>
      <c r="O258" s="474"/>
      <c r="P258" s="474"/>
      <c r="Q258" s="474"/>
      <c r="R258" s="474"/>
      <c r="S258" s="474"/>
      <c r="T258" s="474"/>
    </row>
    <row r="259" spans="1:20" s="472" customFormat="1" ht="19.5" customHeight="1">
      <c r="A259" s="471"/>
      <c r="B259" s="474"/>
      <c r="C259" s="474"/>
      <c r="D259" s="474"/>
      <c r="E259" s="474"/>
      <c r="F259" s="474"/>
      <c r="G259" s="474"/>
      <c r="H259" s="474"/>
      <c r="I259" s="474"/>
      <c r="J259" s="474"/>
      <c r="K259" s="474"/>
      <c r="L259" s="474"/>
      <c r="M259" s="474"/>
      <c r="N259" s="474"/>
      <c r="O259" s="474"/>
      <c r="P259" s="474"/>
      <c r="Q259" s="474"/>
      <c r="R259" s="474"/>
      <c r="S259" s="474"/>
      <c r="T259" s="474"/>
    </row>
    <row r="260" spans="1:20" s="472" customFormat="1" ht="19.5" customHeight="1">
      <c r="A260" s="471"/>
      <c r="B260" s="474"/>
      <c r="C260" s="474"/>
      <c r="D260" s="474"/>
      <c r="E260" s="474"/>
      <c r="F260" s="474"/>
      <c r="G260" s="474"/>
      <c r="H260" s="474"/>
      <c r="I260" s="474"/>
      <c r="J260" s="474"/>
      <c r="K260" s="474"/>
      <c r="L260" s="474"/>
      <c r="M260" s="474"/>
      <c r="N260" s="474"/>
      <c r="O260" s="474"/>
      <c r="P260" s="474"/>
      <c r="Q260" s="474"/>
      <c r="R260" s="474"/>
      <c r="S260" s="474"/>
      <c r="T260" s="474"/>
    </row>
    <row r="261" spans="1:20" s="472" customFormat="1" ht="19.5" customHeight="1">
      <c r="A261" s="471"/>
      <c r="B261" s="474"/>
      <c r="C261" s="474"/>
      <c r="D261" s="474"/>
      <c r="E261" s="474"/>
      <c r="F261" s="474"/>
      <c r="G261" s="474"/>
      <c r="H261" s="474"/>
      <c r="I261" s="474"/>
      <c r="J261" s="474"/>
      <c r="K261" s="474"/>
      <c r="L261" s="474"/>
      <c r="M261" s="474"/>
      <c r="N261" s="474"/>
      <c r="O261" s="474"/>
      <c r="P261" s="474"/>
      <c r="Q261" s="474"/>
      <c r="R261" s="474"/>
      <c r="S261" s="474"/>
      <c r="T261" s="474"/>
    </row>
    <row r="262" spans="1:20" s="472" customFormat="1" ht="19.5" customHeight="1">
      <c r="A262" s="471"/>
      <c r="B262" s="474"/>
      <c r="C262" s="474"/>
      <c r="D262" s="474"/>
      <c r="E262" s="474"/>
      <c r="F262" s="474"/>
      <c r="G262" s="474"/>
      <c r="H262" s="474"/>
      <c r="I262" s="474"/>
      <c r="J262" s="474"/>
      <c r="K262" s="474"/>
      <c r="L262" s="474"/>
      <c r="M262" s="474"/>
      <c r="N262" s="474"/>
      <c r="O262" s="474"/>
      <c r="P262" s="474"/>
      <c r="Q262" s="474"/>
      <c r="R262" s="474"/>
      <c r="S262" s="474"/>
      <c r="T262" s="474"/>
    </row>
    <row r="263" spans="1:20" s="472" customFormat="1" ht="19.5" customHeight="1">
      <c r="A263" s="471"/>
      <c r="B263" s="474"/>
      <c r="C263" s="474"/>
      <c r="D263" s="474"/>
      <c r="E263" s="474"/>
      <c r="F263" s="474"/>
      <c r="G263" s="474"/>
      <c r="H263" s="474"/>
      <c r="I263" s="474"/>
      <c r="J263" s="474"/>
      <c r="K263" s="474"/>
      <c r="L263" s="474"/>
      <c r="M263" s="474"/>
      <c r="N263" s="474"/>
      <c r="O263" s="474"/>
      <c r="P263" s="474"/>
      <c r="Q263" s="474"/>
      <c r="R263" s="474"/>
      <c r="S263" s="474"/>
      <c r="T263" s="474"/>
    </row>
    <row r="264" spans="1:20" s="472" customFormat="1" ht="19.5" customHeight="1">
      <c r="A264" s="471"/>
      <c r="B264" s="474"/>
      <c r="C264" s="474"/>
      <c r="D264" s="474"/>
      <c r="E264" s="474"/>
      <c r="F264" s="474"/>
      <c r="G264" s="474"/>
      <c r="H264" s="474"/>
      <c r="I264" s="474"/>
      <c r="J264" s="474"/>
      <c r="K264" s="474"/>
      <c r="L264" s="474"/>
      <c r="M264" s="474"/>
      <c r="N264" s="474"/>
      <c r="O264" s="474"/>
      <c r="P264" s="474"/>
      <c r="Q264" s="474"/>
      <c r="R264" s="474"/>
      <c r="S264" s="474"/>
      <c r="T264" s="474"/>
    </row>
    <row r="265" spans="1:20" s="472" customFormat="1" ht="19.5" customHeight="1">
      <c r="A265" s="471"/>
      <c r="B265" s="474"/>
      <c r="C265" s="474"/>
      <c r="D265" s="474"/>
      <c r="E265" s="474"/>
      <c r="F265" s="474"/>
      <c r="G265" s="474"/>
      <c r="H265" s="474"/>
      <c r="I265" s="474"/>
      <c r="J265" s="474"/>
      <c r="K265" s="474"/>
      <c r="L265" s="474"/>
      <c r="M265" s="474"/>
      <c r="N265" s="474"/>
      <c r="O265" s="474"/>
      <c r="P265" s="474"/>
      <c r="Q265" s="474"/>
      <c r="R265" s="474"/>
      <c r="S265" s="474"/>
      <c r="T265" s="474"/>
    </row>
    <row r="266" spans="1:20" s="472" customFormat="1" ht="19.5" customHeight="1">
      <c r="A266" s="471"/>
      <c r="B266" s="474"/>
      <c r="C266" s="474"/>
      <c r="D266" s="474"/>
      <c r="E266" s="474"/>
      <c r="F266" s="474"/>
      <c r="G266" s="474"/>
      <c r="H266" s="474"/>
      <c r="I266" s="474"/>
      <c r="J266" s="474"/>
      <c r="K266" s="474"/>
      <c r="L266" s="474"/>
      <c r="M266" s="474"/>
      <c r="N266" s="474"/>
      <c r="O266" s="474"/>
      <c r="P266" s="474"/>
      <c r="Q266" s="474"/>
      <c r="R266" s="474"/>
      <c r="S266" s="474"/>
      <c r="T266" s="474"/>
    </row>
    <row r="267" spans="1:20" s="472" customFormat="1" ht="19.5" customHeight="1">
      <c r="A267" s="471"/>
      <c r="B267" s="474"/>
      <c r="C267" s="474"/>
      <c r="D267" s="474"/>
      <c r="E267" s="474"/>
      <c r="F267" s="474"/>
      <c r="G267" s="474"/>
      <c r="H267" s="474"/>
      <c r="I267" s="474"/>
      <c r="J267" s="474"/>
      <c r="K267" s="474"/>
      <c r="L267" s="474"/>
      <c r="M267" s="474"/>
      <c r="N267" s="474"/>
      <c r="O267" s="474"/>
      <c r="P267" s="474"/>
      <c r="Q267" s="474"/>
      <c r="R267" s="474"/>
      <c r="S267" s="474"/>
      <c r="T267" s="474"/>
    </row>
    <row r="268" spans="1:20" s="472" customFormat="1" ht="19.5" customHeight="1">
      <c r="A268" s="471"/>
      <c r="B268" s="474"/>
      <c r="C268" s="474"/>
      <c r="D268" s="474"/>
      <c r="E268" s="474"/>
      <c r="F268" s="474"/>
      <c r="G268" s="474"/>
      <c r="H268" s="474"/>
      <c r="I268" s="474"/>
      <c r="J268" s="474"/>
      <c r="K268" s="474"/>
      <c r="L268" s="474"/>
      <c r="M268" s="474"/>
      <c r="N268" s="474"/>
      <c r="O268" s="474"/>
      <c r="P268" s="474"/>
      <c r="Q268" s="474"/>
      <c r="R268" s="474"/>
      <c r="S268" s="474"/>
      <c r="T268" s="474"/>
    </row>
    <row r="269" spans="1:20" s="472" customFormat="1" ht="19.5" customHeight="1">
      <c r="A269" s="471"/>
      <c r="B269" s="474"/>
      <c r="C269" s="474"/>
      <c r="D269" s="474"/>
      <c r="E269" s="474"/>
      <c r="F269" s="474"/>
      <c r="G269" s="474"/>
      <c r="H269" s="474"/>
      <c r="I269" s="474"/>
      <c r="J269" s="474"/>
      <c r="K269" s="474"/>
      <c r="L269" s="474"/>
      <c r="M269" s="474"/>
      <c r="N269" s="474"/>
      <c r="O269" s="474"/>
      <c r="P269" s="474"/>
      <c r="Q269" s="474"/>
      <c r="R269" s="474"/>
      <c r="S269" s="474"/>
      <c r="T269" s="474"/>
    </row>
    <row r="270" spans="1:20" s="472" customFormat="1" ht="19.5" customHeight="1">
      <c r="A270" s="471"/>
      <c r="B270" s="474"/>
      <c r="C270" s="474"/>
      <c r="D270" s="474"/>
      <c r="E270" s="474"/>
      <c r="F270" s="474"/>
      <c r="G270" s="474"/>
      <c r="H270" s="474"/>
      <c r="I270" s="474"/>
      <c r="J270" s="474"/>
      <c r="K270" s="474"/>
      <c r="L270" s="474"/>
      <c r="M270" s="474"/>
      <c r="N270" s="474"/>
      <c r="O270" s="474"/>
      <c r="P270" s="474"/>
      <c r="Q270" s="474"/>
      <c r="R270" s="474"/>
      <c r="S270" s="474"/>
      <c r="T270" s="474"/>
    </row>
    <row r="271" spans="1:20" s="472" customFormat="1" ht="19.5" customHeight="1">
      <c r="A271" s="471"/>
      <c r="B271" s="474"/>
      <c r="C271" s="474"/>
      <c r="D271" s="474"/>
      <c r="E271" s="474"/>
      <c r="F271" s="474"/>
      <c r="G271" s="474"/>
      <c r="H271" s="474"/>
      <c r="I271" s="474"/>
      <c r="J271" s="474"/>
      <c r="K271" s="474"/>
      <c r="L271" s="474"/>
      <c r="M271" s="474"/>
      <c r="N271" s="474"/>
      <c r="O271" s="474"/>
      <c r="P271" s="474"/>
      <c r="Q271" s="474"/>
      <c r="R271" s="474"/>
      <c r="S271" s="474"/>
      <c r="T271" s="474"/>
    </row>
    <row r="272" spans="1:20" s="472" customFormat="1" ht="19.5" customHeight="1">
      <c r="A272" s="471"/>
      <c r="B272" s="474"/>
      <c r="C272" s="474"/>
      <c r="D272" s="474"/>
      <c r="E272" s="474"/>
      <c r="F272" s="474"/>
      <c r="G272" s="474"/>
      <c r="H272" s="474"/>
      <c r="I272" s="474"/>
      <c r="J272" s="474"/>
      <c r="K272" s="474"/>
      <c r="L272" s="474"/>
      <c r="M272" s="474"/>
      <c r="N272" s="474"/>
      <c r="O272" s="474"/>
      <c r="P272" s="474"/>
      <c r="Q272" s="474"/>
      <c r="R272" s="474"/>
      <c r="S272" s="474"/>
      <c r="T272" s="474"/>
    </row>
    <row r="273" spans="1:20" s="472" customFormat="1" ht="19.5" customHeight="1">
      <c r="A273" s="471"/>
      <c r="B273" s="474"/>
      <c r="C273" s="474"/>
      <c r="D273" s="474"/>
      <c r="E273" s="474"/>
      <c r="F273" s="474"/>
      <c r="G273" s="474"/>
      <c r="H273" s="474"/>
      <c r="I273" s="474"/>
      <c r="J273" s="474"/>
      <c r="K273" s="474"/>
      <c r="L273" s="474"/>
      <c r="M273" s="474"/>
      <c r="N273" s="474"/>
      <c r="O273" s="474"/>
      <c r="P273" s="474"/>
      <c r="Q273" s="474"/>
      <c r="R273" s="474"/>
      <c r="S273" s="474"/>
      <c r="T273" s="474"/>
    </row>
    <row r="274" spans="1:20" s="472" customFormat="1" ht="19.5" customHeight="1">
      <c r="A274" s="471"/>
      <c r="B274" s="474"/>
      <c r="C274" s="474"/>
      <c r="D274" s="474"/>
      <c r="E274" s="474"/>
      <c r="F274" s="474"/>
      <c r="G274" s="474"/>
      <c r="H274" s="474"/>
      <c r="I274" s="474"/>
      <c r="J274" s="474"/>
      <c r="K274" s="474"/>
      <c r="L274" s="474"/>
      <c r="M274" s="474"/>
      <c r="N274" s="474"/>
      <c r="O274" s="474"/>
      <c r="P274" s="474"/>
      <c r="Q274" s="474"/>
      <c r="R274" s="474"/>
      <c r="S274" s="474"/>
      <c r="T274" s="474"/>
    </row>
    <row r="275" spans="1:20" s="472" customFormat="1" ht="19.5" customHeight="1">
      <c r="A275" s="471"/>
      <c r="B275" s="474"/>
      <c r="C275" s="474"/>
      <c r="D275" s="474"/>
      <c r="E275" s="474"/>
      <c r="F275" s="474"/>
      <c r="G275" s="474"/>
      <c r="H275" s="474"/>
      <c r="I275" s="474"/>
      <c r="J275" s="474"/>
      <c r="K275" s="474"/>
      <c r="L275" s="474"/>
      <c r="M275" s="474"/>
      <c r="N275" s="474"/>
      <c r="O275" s="474"/>
      <c r="P275" s="474"/>
      <c r="Q275" s="474"/>
      <c r="R275" s="474"/>
      <c r="S275" s="474"/>
      <c r="T275" s="474"/>
    </row>
    <row r="276" spans="1:20" s="472" customFormat="1" ht="19.5" customHeight="1">
      <c r="A276" s="471"/>
      <c r="B276" s="474"/>
      <c r="C276" s="474"/>
      <c r="D276" s="474"/>
      <c r="E276" s="474"/>
      <c r="F276" s="474"/>
      <c r="G276" s="474"/>
      <c r="H276" s="474"/>
      <c r="I276" s="474"/>
      <c r="J276" s="474"/>
      <c r="K276" s="474"/>
      <c r="L276" s="474"/>
      <c r="M276" s="474"/>
      <c r="N276" s="474"/>
      <c r="O276" s="474"/>
      <c r="P276" s="474"/>
      <c r="Q276" s="474"/>
      <c r="R276" s="474"/>
      <c r="S276" s="474"/>
      <c r="T276" s="474"/>
    </row>
    <row r="277" spans="1:20" s="472" customFormat="1" ht="19.5" customHeight="1">
      <c r="A277" s="471"/>
      <c r="B277" s="474"/>
      <c r="C277" s="474"/>
      <c r="D277" s="474"/>
      <c r="E277" s="474"/>
      <c r="F277" s="474"/>
      <c r="G277" s="474"/>
      <c r="H277" s="474"/>
      <c r="I277" s="474"/>
      <c r="J277" s="474"/>
      <c r="K277" s="474"/>
      <c r="L277" s="474"/>
      <c r="M277" s="474"/>
      <c r="N277" s="474"/>
      <c r="O277" s="474"/>
      <c r="P277" s="474"/>
      <c r="Q277" s="474"/>
      <c r="R277" s="474"/>
      <c r="S277" s="474"/>
      <c r="T277" s="474"/>
    </row>
    <row r="278" spans="1:20" s="472" customFormat="1" ht="19.5" customHeight="1">
      <c r="A278" s="471"/>
      <c r="B278" s="474"/>
      <c r="C278" s="474"/>
      <c r="D278" s="474"/>
      <c r="E278" s="474"/>
      <c r="F278" s="474"/>
      <c r="G278" s="474"/>
      <c r="H278" s="474"/>
      <c r="I278" s="474"/>
      <c r="J278" s="474"/>
      <c r="K278" s="474"/>
      <c r="L278" s="474"/>
      <c r="M278" s="474"/>
      <c r="N278" s="474"/>
      <c r="O278" s="474"/>
      <c r="P278" s="474"/>
      <c r="Q278" s="474"/>
      <c r="R278" s="474"/>
      <c r="S278" s="474"/>
      <c r="T278" s="474"/>
    </row>
    <row r="279" spans="1:20" s="472" customFormat="1" ht="19.5" customHeight="1">
      <c r="A279" s="471"/>
      <c r="B279" s="474"/>
      <c r="C279" s="474"/>
      <c r="D279" s="474"/>
      <c r="E279" s="474"/>
      <c r="F279" s="474"/>
      <c r="G279" s="474"/>
      <c r="H279" s="474"/>
      <c r="I279" s="474"/>
      <c r="J279" s="474"/>
      <c r="K279" s="474"/>
      <c r="L279" s="474"/>
      <c r="M279" s="474"/>
      <c r="N279" s="474"/>
      <c r="O279" s="474"/>
      <c r="P279" s="474"/>
      <c r="Q279" s="474"/>
      <c r="R279" s="474"/>
      <c r="S279" s="474"/>
      <c r="T279" s="474"/>
    </row>
    <row r="280" ht="19.5" customHeight="1"/>
    <row r="281" ht="9.75" customHeight="1"/>
    <row r="282" ht="19.5" customHeight="1"/>
    <row r="283" ht="19.5" customHeight="1"/>
    <row r="284" ht="19.5" customHeight="1"/>
    <row r="285" spans="1:20" s="472" customFormat="1" ht="19.5" customHeight="1">
      <c r="A285" s="471"/>
      <c r="B285" s="474"/>
      <c r="C285" s="474"/>
      <c r="D285" s="474"/>
      <c r="E285" s="474"/>
      <c r="F285" s="474"/>
      <c r="G285" s="474"/>
      <c r="H285" s="474"/>
      <c r="I285" s="474"/>
      <c r="J285" s="474"/>
      <c r="K285" s="474"/>
      <c r="L285" s="474"/>
      <c r="M285" s="474"/>
      <c r="N285" s="474"/>
      <c r="O285" s="474"/>
      <c r="P285" s="474"/>
      <c r="Q285" s="474"/>
      <c r="R285" s="474"/>
      <c r="S285" s="474"/>
      <c r="T285" s="474"/>
    </row>
    <row r="286" spans="1:20" s="472" customFormat="1" ht="19.5" customHeight="1">
      <c r="A286" s="471"/>
      <c r="B286" s="474"/>
      <c r="C286" s="474"/>
      <c r="D286" s="474"/>
      <c r="E286" s="474"/>
      <c r="F286" s="474"/>
      <c r="G286" s="474"/>
      <c r="H286" s="474"/>
      <c r="I286" s="474"/>
      <c r="J286" s="474"/>
      <c r="K286" s="474"/>
      <c r="L286" s="474"/>
      <c r="M286" s="474"/>
      <c r="N286" s="474"/>
      <c r="O286" s="474"/>
      <c r="P286" s="474"/>
      <c r="Q286" s="474"/>
      <c r="R286" s="474"/>
      <c r="S286" s="474"/>
      <c r="T286" s="474"/>
    </row>
    <row r="287" spans="1:20" s="472" customFormat="1" ht="19.5" customHeight="1">
      <c r="A287" s="471"/>
      <c r="B287" s="474"/>
      <c r="C287" s="474"/>
      <c r="D287" s="474"/>
      <c r="E287" s="474"/>
      <c r="F287" s="474"/>
      <c r="G287" s="474"/>
      <c r="H287" s="474"/>
      <c r="I287" s="474"/>
      <c r="J287" s="474"/>
      <c r="K287" s="474"/>
      <c r="L287" s="474"/>
      <c r="M287" s="474"/>
      <c r="N287" s="474"/>
      <c r="O287" s="474"/>
      <c r="P287" s="474"/>
      <c r="Q287" s="474"/>
      <c r="R287" s="474"/>
      <c r="S287" s="474"/>
      <c r="T287" s="474"/>
    </row>
    <row r="288" spans="1:20" s="472" customFormat="1" ht="19.5" customHeight="1">
      <c r="A288" s="471"/>
      <c r="B288" s="474"/>
      <c r="C288" s="474"/>
      <c r="D288" s="474"/>
      <c r="E288" s="474"/>
      <c r="F288" s="474"/>
      <c r="G288" s="474"/>
      <c r="H288" s="474"/>
      <c r="I288" s="474"/>
      <c r="J288" s="474"/>
      <c r="K288" s="474"/>
      <c r="L288" s="474"/>
      <c r="M288" s="474"/>
      <c r="N288" s="474"/>
      <c r="O288" s="474"/>
      <c r="P288" s="474"/>
      <c r="Q288" s="474"/>
      <c r="R288" s="474"/>
      <c r="S288" s="474"/>
      <c r="T288" s="474"/>
    </row>
    <row r="289" spans="1:20" s="472" customFormat="1" ht="19.5" customHeight="1">
      <c r="A289" s="471"/>
      <c r="B289" s="474"/>
      <c r="C289" s="474"/>
      <c r="D289" s="474"/>
      <c r="E289" s="474"/>
      <c r="F289" s="474"/>
      <c r="G289" s="474"/>
      <c r="H289" s="474"/>
      <c r="I289" s="474"/>
      <c r="J289" s="474"/>
      <c r="K289" s="474"/>
      <c r="L289" s="474"/>
      <c r="M289" s="474"/>
      <c r="N289" s="474"/>
      <c r="O289" s="474"/>
      <c r="P289" s="474"/>
      <c r="Q289" s="474"/>
      <c r="R289" s="474"/>
      <c r="S289" s="474"/>
      <c r="T289" s="474"/>
    </row>
    <row r="290" spans="1:20" s="472" customFormat="1" ht="19.5" customHeight="1">
      <c r="A290" s="471"/>
      <c r="B290" s="474"/>
      <c r="C290" s="474"/>
      <c r="D290" s="474"/>
      <c r="E290" s="474"/>
      <c r="F290" s="474"/>
      <c r="G290" s="474"/>
      <c r="H290" s="474"/>
      <c r="I290" s="474"/>
      <c r="J290" s="474"/>
      <c r="K290" s="474"/>
      <c r="L290" s="474"/>
      <c r="M290" s="474"/>
      <c r="N290" s="474"/>
      <c r="O290" s="474"/>
      <c r="P290" s="474"/>
      <c r="Q290" s="474"/>
      <c r="R290" s="474"/>
      <c r="S290" s="474"/>
      <c r="T290" s="474"/>
    </row>
    <row r="291" spans="1:20" s="472" customFormat="1" ht="19.5" customHeight="1">
      <c r="A291" s="471"/>
      <c r="B291" s="474"/>
      <c r="C291" s="474"/>
      <c r="D291" s="474"/>
      <c r="E291" s="474"/>
      <c r="F291" s="474"/>
      <c r="G291" s="474"/>
      <c r="H291" s="474"/>
      <c r="I291" s="474"/>
      <c r="J291" s="474"/>
      <c r="K291" s="474"/>
      <c r="L291" s="474"/>
      <c r="M291" s="474"/>
      <c r="N291" s="474"/>
      <c r="O291" s="474"/>
      <c r="P291" s="474"/>
      <c r="Q291" s="474"/>
      <c r="R291" s="474"/>
      <c r="S291" s="474"/>
      <c r="T291" s="474"/>
    </row>
    <row r="292" spans="1:20" s="472" customFormat="1" ht="19.5" customHeight="1">
      <c r="A292" s="471"/>
      <c r="B292" s="474"/>
      <c r="C292" s="474"/>
      <c r="D292" s="474"/>
      <c r="E292" s="474"/>
      <c r="F292" s="474"/>
      <c r="G292" s="474"/>
      <c r="H292" s="474"/>
      <c r="I292" s="474"/>
      <c r="J292" s="474"/>
      <c r="K292" s="474"/>
      <c r="L292" s="474"/>
      <c r="M292" s="474"/>
      <c r="N292" s="474"/>
      <c r="O292" s="474"/>
      <c r="P292" s="474"/>
      <c r="Q292" s="474"/>
      <c r="R292" s="474"/>
      <c r="S292" s="474"/>
      <c r="T292" s="474"/>
    </row>
    <row r="293" spans="1:20" s="472" customFormat="1" ht="19.5" customHeight="1">
      <c r="A293" s="471"/>
      <c r="B293" s="474"/>
      <c r="C293" s="474"/>
      <c r="D293" s="474"/>
      <c r="E293" s="474"/>
      <c r="F293" s="474"/>
      <c r="G293" s="474"/>
      <c r="H293" s="474"/>
      <c r="I293" s="474"/>
      <c r="J293" s="474"/>
      <c r="K293" s="474"/>
      <c r="L293" s="474"/>
      <c r="M293" s="474"/>
      <c r="N293" s="474"/>
      <c r="O293" s="474"/>
      <c r="P293" s="474"/>
      <c r="Q293" s="474"/>
      <c r="R293" s="474"/>
      <c r="S293" s="474"/>
      <c r="T293" s="474"/>
    </row>
    <row r="294" spans="1:20" s="472" customFormat="1" ht="19.5" customHeight="1">
      <c r="A294" s="471"/>
      <c r="B294" s="474"/>
      <c r="C294" s="474"/>
      <c r="D294" s="474"/>
      <c r="E294" s="474"/>
      <c r="F294" s="474"/>
      <c r="G294" s="474"/>
      <c r="H294" s="474"/>
      <c r="I294" s="474"/>
      <c r="J294" s="474"/>
      <c r="K294" s="474"/>
      <c r="L294" s="474"/>
      <c r="M294" s="474"/>
      <c r="N294" s="474"/>
      <c r="O294" s="474"/>
      <c r="P294" s="474"/>
      <c r="Q294" s="474"/>
      <c r="R294" s="474"/>
      <c r="S294" s="474"/>
      <c r="T294" s="474"/>
    </row>
    <row r="295" spans="1:20" s="472" customFormat="1" ht="19.5" customHeight="1">
      <c r="A295" s="471"/>
      <c r="B295" s="474"/>
      <c r="C295" s="474"/>
      <c r="D295" s="474"/>
      <c r="E295" s="474"/>
      <c r="F295" s="474"/>
      <c r="G295" s="474"/>
      <c r="H295" s="474"/>
      <c r="I295" s="474"/>
      <c r="J295" s="474"/>
      <c r="K295" s="474"/>
      <c r="L295" s="474"/>
      <c r="M295" s="474"/>
      <c r="N295" s="474"/>
      <c r="O295" s="474"/>
      <c r="P295" s="474"/>
      <c r="Q295" s="474"/>
      <c r="R295" s="474"/>
      <c r="S295" s="474"/>
      <c r="T295" s="474"/>
    </row>
    <row r="296" spans="1:20" s="472" customFormat="1" ht="19.5" customHeight="1">
      <c r="A296" s="471"/>
      <c r="B296" s="474"/>
      <c r="C296" s="474"/>
      <c r="D296" s="474"/>
      <c r="E296" s="474"/>
      <c r="F296" s="474"/>
      <c r="G296" s="474"/>
      <c r="H296" s="474"/>
      <c r="I296" s="474"/>
      <c r="J296" s="474"/>
      <c r="K296" s="474"/>
      <c r="L296" s="474"/>
      <c r="M296" s="474"/>
      <c r="N296" s="474"/>
      <c r="O296" s="474"/>
      <c r="P296" s="474"/>
      <c r="Q296" s="474"/>
      <c r="R296" s="474"/>
      <c r="S296" s="474"/>
      <c r="T296" s="474"/>
    </row>
    <row r="297" spans="1:20" s="472" customFormat="1" ht="19.5" customHeight="1">
      <c r="A297" s="471"/>
      <c r="B297" s="474"/>
      <c r="C297" s="474"/>
      <c r="D297" s="474"/>
      <c r="E297" s="474"/>
      <c r="F297" s="474"/>
      <c r="G297" s="474"/>
      <c r="H297" s="474"/>
      <c r="I297" s="474"/>
      <c r="J297" s="474"/>
      <c r="K297" s="474"/>
      <c r="L297" s="474"/>
      <c r="M297" s="474"/>
      <c r="N297" s="474"/>
      <c r="O297" s="474"/>
      <c r="P297" s="474"/>
      <c r="Q297" s="474"/>
      <c r="R297" s="474"/>
      <c r="S297" s="474"/>
      <c r="T297" s="474"/>
    </row>
    <row r="298" spans="1:20" s="472" customFormat="1" ht="19.5" customHeight="1">
      <c r="A298" s="471"/>
      <c r="B298" s="474"/>
      <c r="C298" s="474"/>
      <c r="D298" s="474"/>
      <c r="E298" s="474"/>
      <c r="F298" s="474"/>
      <c r="G298" s="474"/>
      <c r="H298" s="474"/>
      <c r="I298" s="474"/>
      <c r="J298" s="474"/>
      <c r="K298" s="474"/>
      <c r="L298" s="474"/>
      <c r="M298" s="474"/>
      <c r="N298" s="474"/>
      <c r="O298" s="474"/>
      <c r="P298" s="474"/>
      <c r="Q298" s="474"/>
      <c r="R298" s="474"/>
      <c r="S298" s="474"/>
      <c r="T298" s="474"/>
    </row>
    <row r="299" spans="1:20" s="472" customFormat="1" ht="19.5" customHeight="1">
      <c r="A299" s="471"/>
      <c r="B299" s="474"/>
      <c r="C299" s="474"/>
      <c r="D299" s="474"/>
      <c r="E299" s="474"/>
      <c r="F299" s="474"/>
      <c r="G299" s="474"/>
      <c r="H299" s="474"/>
      <c r="I299" s="474"/>
      <c r="J299" s="474"/>
      <c r="K299" s="474"/>
      <c r="L299" s="474"/>
      <c r="M299" s="474"/>
      <c r="N299" s="474"/>
      <c r="O299" s="474"/>
      <c r="P299" s="474"/>
      <c r="Q299" s="474"/>
      <c r="R299" s="474"/>
      <c r="S299" s="474"/>
      <c r="T299" s="474"/>
    </row>
    <row r="300" spans="1:20" s="472" customFormat="1" ht="19.5" customHeight="1">
      <c r="A300" s="471"/>
      <c r="B300" s="474"/>
      <c r="C300" s="474"/>
      <c r="D300" s="474"/>
      <c r="E300" s="474"/>
      <c r="F300" s="474"/>
      <c r="G300" s="474"/>
      <c r="H300" s="474"/>
      <c r="I300" s="474"/>
      <c r="J300" s="474"/>
      <c r="K300" s="474"/>
      <c r="L300" s="474"/>
      <c r="M300" s="474"/>
      <c r="N300" s="474"/>
      <c r="O300" s="474"/>
      <c r="P300" s="474"/>
      <c r="Q300" s="474"/>
      <c r="R300" s="474"/>
      <c r="S300" s="474"/>
      <c r="T300" s="474"/>
    </row>
    <row r="301" spans="1:20" s="472" customFormat="1" ht="19.5" customHeight="1">
      <c r="A301" s="471"/>
      <c r="B301" s="474"/>
      <c r="C301" s="474"/>
      <c r="D301" s="474"/>
      <c r="E301" s="474"/>
      <c r="F301" s="474"/>
      <c r="G301" s="474"/>
      <c r="H301" s="474"/>
      <c r="I301" s="474"/>
      <c r="J301" s="474"/>
      <c r="K301" s="474"/>
      <c r="L301" s="474"/>
      <c r="M301" s="474"/>
      <c r="N301" s="474"/>
      <c r="O301" s="474"/>
      <c r="P301" s="474"/>
      <c r="Q301" s="474"/>
      <c r="R301" s="474"/>
      <c r="S301" s="474"/>
      <c r="T301" s="474"/>
    </row>
    <row r="302" spans="1:20" s="472" customFormat="1" ht="19.5" customHeight="1">
      <c r="A302" s="471"/>
      <c r="B302" s="474"/>
      <c r="C302" s="474"/>
      <c r="D302" s="474"/>
      <c r="E302" s="474"/>
      <c r="F302" s="474"/>
      <c r="G302" s="474"/>
      <c r="H302" s="474"/>
      <c r="I302" s="474"/>
      <c r="J302" s="474"/>
      <c r="K302" s="474"/>
      <c r="L302" s="474"/>
      <c r="M302" s="474"/>
      <c r="N302" s="474"/>
      <c r="O302" s="474"/>
      <c r="P302" s="474"/>
      <c r="Q302" s="474"/>
      <c r="R302" s="474"/>
      <c r="S302" s="474"/>
      <c r="T302" s="474"/>
    </row>
    <row r="303" spans="1:20" s="472" customFormat="1" ht="19.5" customHeight="1">
      <c r="A303" s="471"/>
      <c r="B303" s="474"/>
      <c r="C303" s="474"/>
      <c r="D303" s="474"/>
      <c r="E303" s="474"/>
      <c r="F303" s="474"/>
      <c r="G303" s="474"/>
      <c r="H303" s="474"/>
      <c r="I303" s="474"/>
      <c r="J303" s="474"/>
      <c r="K303" s="474"/>
      <c r="L303" s="474"/>
      <c r="M303" s="474"/>
      <c r="N303" s="474"/>
      <c r="O303" s="474"/>
      <c r="P303" s="474"/>
      <c r="Q303" s="474"/>
      <c r="R303" s="474"/>
      <c r="S303" s="474"/>
      <c r="T303" s="474"/>
    </row>
    <row r="304" spans="1:20" s="472" customFormat="1" ht="19.5" customHeight="1">
      <c r="A304" s="471"/>
      <c r="B304" s="474"/>
      <c r="C304" s="474"/>
      <c r="D304" s="474"/>
      <c r="E304" s="474"/>
      <c r="F304" s="474"/>
      <c r="G304" s="474"/>
      <c r="H304" s="474"/>
      <c r="I304" s="474"/>
      <c r="J304" s="474"/>
      <c r="K304" s="474"/>
      <c r="L304" s="474"/>
      <c r="M304" s="474"/>
      <c r="N304" s="474"/>
      <c r="O304" s="474"/>
      <c r="P304" s="474"/>
      <c r="Q304" s="474"/>
      <c r="R304" s="474"/>
      <c r="S304" s="474"/>
      <c r="T304" s="474"/>
    </row>
    <row r="305" spans="1:20" s="472" customFormat="1" ht="19.5" customHeight="1">
      <c r="A305" s="471"/>
      <c r="B305" s="474"/>
      <c r="C305" s="474"/>
      <c r="D305" s="474"/>
      <c r="E305" s="474"/>
      <c r="F305" s="474"/>
      <c r="G305" s="474"/>
      <c r="H305" s="474"/>
      <c r="I305" s="474"/>
      <c r="J305" s="474"/>
      <c r="K305" s="474"/>
      <c r="L305" s="474"/>
      <c r="M305" s="474"/>
      <c r="N305" s="474"/>
      <c r="O305" s="474"/>
      <c r="P305" s="474"/>
      <c r="Q305" s="474"/>
      <c r="R305" s="474"/>
      <c r="S305" s="474"/>
      <c r="T305" s="474"/>
    </row>
    <row r="306" spans="1:20" s="472" customFormat="1" ht="19.5" customHeight="1">
      <c r="A306" s="471"/>
      <c r="B306" s="474"/>
      <c r="C306" s="474"/>
      <c r="D306" s="474"/>
      <c r="E306" s="474"/>
      <c r="F306" s="474"/>
      <c r="G306" s="474"/>
      <c r="H306" s="474"/>
      <c r="I306" s="474"/>
      <c r="J306" s="474"/>
      <c r="K306" s="474"/>
      <c r="L306" s="474"/>
      <c r="M306" s="474"/>
      <c r="N306" s="474"/>
      <c r="O306" s="474"/>
      <c r="P306" s="474"/>
      <c r="Q306" s="474"/>
      <c r="R306" s="474"/>
      <c r="S306" s="474"/>
      <c r="T306" s="474"/>
    </row>
    <row r="307" spans="1:20" s="472" customFormat="1" ht="19.5" customHeight="1">
      <c r="A307" s="471"/>
      <c r="B307" s="474"/>
      <c r="C307" s="474"/>
      <c r="D307" s="474"/>
      <c r="E307" s="474"/>
      <c r="F307" s="474"/>
      <c r="G307" s="474"/>
      <c r="H307" s="474"/>
      <c r="I307" s="474"/>
      <c r="J307" s="474"/>
      <c r="K307" s="474"/>
      <c r="L307" s="474"/>
      <c r="M307" s="474"/>
      <c r="N307" s="474"/>
      <c r="O307" s="474"/>
      <c r="P307" s="474"/>
      <c r="Q307" s="474"/>
      <c r="R307" s="474"/>
      <c r="S307" s="474"/>
      <c r="T307" s="474"/>
    </row>
    <row r="308" spans="1:20" s="472" customFormat="1" ht="19.5" customHeight="1">
      <c r="A308" s="471"/>
      <c r="B308" s="474"/>
      <c r="C308" s="474"/>
      <c r="D308" s="474"/>
      <c r="E308" s="474"/>
      <c r="F308" s="474"/>
      <c r="G308" s="474"/>
      <c r="H308" s="474"/>
      <c r="I308" s="474"/>
      <c r="J308" s="474"/>
      <c r="K308" s="474"/>
      <c r="L308" s="474"/>
      <c r="M308" s="474"/>
      <c r="N308" s="474"/>
      <c r="O308" s="474"/>
      <c r="P308" s="474"/>
      <c r="Q308" s="474"/>
      <c r="R308" s="474"/>
      <c r="S308" s="474"/>
      <c r="T308" s="474"/>
    </row>
    <row r="309" spans="1:20" s="472" customFormat="1" ht="19.5" customHeight="1">
      <c r="A309" s="471"/>
      <c r="B309" s="474"/>
      <c r="C309" s="474"/>
      <c r="D309" s="474"/>
      <c r="E309" s="474"/>
      <c r="F309" s="474"/>
      <c r="G309" s="474"/>
      <c r="H309" s="474"/>
      <c r="I309" s="474"/>
      <c r="J309" s="474"/>
      <c r="K309" s="474"/>
      <c r="L309" s="474"/>
      <c r="M309" s="474"/>
      <c r="N309" s="474"/>
      <c r="O309" s="474"/>
      <c r="P309" s="474"/>
      <c r="Q309" s="474"/>
      <c r="R309" s="474"/>
      <c r="S309" s="474"/>
      <c r="T309" s="474"/>
    </row>
    <row r="310" spans="1:20" s="472" customFormat="1" ht="19.5" customHeight="1">
      <c r="A310" s="471"/>
      <c r="B310" s="474"/>
      <c r="C310" s="474"/>
      <c r="D310" s="474"/>
      <c r="E310" s="474"/>
      <c r="F310" s="474"/>
      <c r="G310" s="474"/>
      <c r="H310" s="474"/>
      <c r="I310" s="474"/>
      <c r="J310" s="474"/>
      <c r="K310" s="474"/>
      <c r="L310" s="474"/>
      <c r="M310" s="474"/>
      <c r="N310" s="474"/>
      <c r="O310" s="474"/>
      <c r="P310" s="474"/>
      <c r="Q310" s="474"/>
      <c r="R310" s="474"/>
      <c r="S310" s="474"/>
      <c r="T310" s="474"/>
    </row>
    <row r="311" spans="1:20" s="472" customFormat="1" ht="19.5" customHeight="1">
      <c r="A311" s="471"/>
      <c r="B311" s="474"/>
      <c r="C311" s="474"/>
      <c r="D311" s="474"/>
      <c r="E311" s="474"/>
      <c r="F311" s="474"/>
      <c r="G311" s="474"/>
      <c r="H311" s="474"/>
      <c r="I311" s="474"/>
      <c r="J311" s="474"/>
      <c r="K311" s="474"/>
      <c r="L311" s="474"/>
      <c r="M311" s="474"/>
      <c r="N311" s="474"/>
      <c r="O311" s="474"/>
      <c r="P311" s="474"/>
      <c r="Q311" s="474"/>
      <c r="R311" s="474"/>
      <c r="S311" s="474"/>
      <c r="T311" s="474"/>
    </row>
    <row r="312" spans="1:20" s="472" customFormat="1" ht="19.5" customHeight="1">
      <c r="A312" s="471"/>
      <c r="B312" s="474"/>
      <c r="C312" s="474"/>
      <c r="D312" s="474"/>
      <c r="E312" s="474"/>
      <c r="F312" s="474"/>
      <c r="G312" s="474"/>
      <c r="H312" s="474"/>
      <c r="I312" s="474"/>
      <c r="J312" s="474"/>
      <c r="K312" s="474"/>
      <c r="L312" s="474"/>
      <c r="M312" s="474"/>
      <c r="N312" s="474"/>
      <c r="O312" s="474"/>
      <c r="P312" s="474"/>
      <c r="Q312" s="474"/>
      <c r="R312" s="474"/>
      <c r="S312" s="474"/>
      <c r="T312" s="474"/>
    </row>
    <row r="313" spans="1:20" s="472" customFormat="1" ht="19.5" customHeight="1">
      <c r="A313" s="471"/>
      <c r="B313" s="474"/>
      <c r="C313" s="474"/>
      <c r="D313" s="474"/>
      <c r="E313" s="474"/>
      <c r="F313" s="474"/>
      <c r="G313" s="474"/>
      <c r="H313" s="474"/>
      <c r="I313" s="474"/>
      <c r="J313" s="474"/>
      <c r="K313" s="474"/>
      <c r="L313" s="474"/>
      <c r="M313" s="474"/>
      <c r="N313" s="474"/>
      <c r="O313" s="474"/>
      <c r="P313" s="474"/>
      <c r="Q313" s="474"/>
      <c r="R313" s="474"/>
      <c r="S313" s="474"/>
      <c r="T313" s="474"/>
    </row>
    <row r="314" spans="1:20" s="472" customFormat="1" ht="19.5" customHeight="1">
      <c r="A314" s="471"/>
      <c r="B314" s="474"/>
      <c r="C314" s="474"/>
      <c r="D314" s="474"/>
      <c r="E314" s="474"/>
      <c r="F314" s="474"/>
      <c r="G314" s="474"/>
      <c r="H314" s="474"/>
      <c r="I314" s="474"/>
      <c r="J314" s="474"/>
      <c r="K314" s="474"/>
      <c r="L314" s="474"/>
      <c r="M314" s="474"/>
      <c r="N314" s="474"/>
      <c r="O314" s="474"/>
      <c r="P314" s="474"/>
      <c r="Q314" s="474"/>
      <c r="R314" s="474"/>
      <c r="S314" s="474"/>
      <c r="T314" s="474"/>
    </row>
    <row r="315" spans="1:20" s="472" customFormat="1" ht="19.5" customHeight="1">
      <c r="A315" s="471"/>
      <c r="B315" s="474"/>
      <c r="C315" s="474"/>
      <c r="D315" s="474"/>
      <c r="E315" s="474"/>
      <c r="F315" s="474"/>
      <c r="G315" s="474"/>
      <c r="H315" s="474"/>
      <c r="I315" s="474"/>
      <c r="J315" s="474"/>
      <c r="K315" s="474"/>
      <c r="L315" s="474"/>
      <c r="M315" s="474"/>
      <c r="N315" s="474"/>
      <c r="O315" s="474"/>
      <c r="P315" s="474"/>
      <c r="Q315" s="474"/>
      <c r="R315" s="474"/>
      <c r="S315" s="474"/>
      <c r="T315" s="474"/>
    </row>
    <row r="316" spans="1:20" s="472" customFormat="1" ht="19.5" customHeight="1">
      <c r="A316" s="471"/>
      <c r="B316" s="474"/>
      <c r="C316" s="474"/>
      <c r="D316" s="474"/>
      <c r="E316" s="474"/>
      <c r="F316" s="474"/>
      <c r="G316" s="474"/>
      <c r="H316" s="474"/>
      <c r="I316" s="474"/>
      <c r="J316" s="474"/>
      <c r="K316" s="474"/>
      <c r="L316" s="474"/>
      <c r="M316" s="474"/>
      <c r="N316" s="474"/>
      <c r="O316" s="474"/>
      <c r="P316" s="474"/>
      <c r="Q316" s="474"/>
      <c r="R316" s="474"/>
      <c r="S316" s="474"/>
      <c r="T316" s="474"/>
    </row>
    <row r="317" spans="1:20" s="472" customFormat="1" ht="19.5" customHeight="1">
      <c r="A317" s="471"/>
      <c r="B317" s="474"/>
      <c r="C317" s="474"/>
      <c r="D317" s="474"/>
      <c r="E317" s="474"/>
      <c r="F317" s="474"/>
      <c r="G317" s="474"/>
      <c r="H317" s="474"/>
      <c r="I317" s="474"/>
      <c r="J317" s="474"/>
      <c r="K317" s="474"/>
      <c r="L317" s="474"/>
      <c r="M317" s="474"/>
      <c r="N317" s="474"/>
      <c r="O317" s="474"/>
      <c r="P317" s="474"/>
      <c r="Q317" s="474"/>
      <c r="R317" s="474"/>
      <c r="S317" s="474"/>
      <c r="T317" s="474"/>
    </row>
    <row r="318" spans="1:20" s="472" customFormat="1" ht="19.5" customHeight="1">
      <c r="A318" s="471"/>
      <c r="B318" s="474"/>
      <c r="C318" s="474"/>
      <c r="D318" s="474"/>
      <c r="E318" s="474"/>
      <c r="F318" s="474"/>
      <c r="G318" s="474"/>
      <c r="H318" s="474"/>
      <c r="I318" s="474"/>
      <c r="J318" s="474"/>
      <c r="K318" s="474"/>
      <c r="L318" s="474"/>
      <c r="M318" s="474"/>
      <c r="N318" s="474"/>
      <c r="O318" s="474"/>
      <c r="P318" s="474"/>
      <c r="Q318" s="474"/>
      <c r="R318" s="474"/>
      <c r="S318" s="474"/>
      <c r="T318" s="474"/>
    </row>
    <row r="319" spans="1:20" s="472" customFormat="1" ht="19.5" customHeight="1">
      <c r="A319" s="471"/>
      <c r="B319" s="474"/>
      <c r="C319" s="474"/>
      <c r="D319" s="474"/>
      <c r="E319" s="474"/>
      <c r="F319" s="474"/>
      <c r="G319" s="474"/>
      <c r="H319" s="474"/>
      <c r="I319" s="474"/>
      <c r="J319" s="474"/>
      <c r="K319" s="474"/>
      <c r="L319" s="474"/>
      <c r="M319" s="474"/>
      <c r="N319" s="474"/>
      <c r="O319" s="474"/>
      <c r="P319" s="474"/>
      <c r="Q319" s="474"/>
      <c r="R319" s="474"/>
      <c r="S319" s="474"/>
      <c r="T319" s="474"/>
    </row>
    <row r="320" spans="1:20" s="472" customFormat="1" ht="19.5" customHeight="1">
      <c r="A320" s="471"/>
      <c r="B320" s="474"/>
      <c r="C320" s="474"/>
      <c r="D320" s="474"/>
      <c r="E320" s="474"/>
      <c r="F320" s="474"/>
      <c r="G320" s="474"/>
      <c r="H320" s="474"/>
      <c r="I320" s="474"/>
      <c r="J320" s="474"/>
      <c r="K320" s="474"/>
      <c r="L320" s="474"/>
      <c r="M320" s="474"/>
      <c r="N320" s="474"/>
      <c r="O320" s="474"/>
      <c r="P320" s="474"/>
      <c r="Q320" s="474"/>
      <c r="R320" s="474"/>
      <c r="S320" s="474"/>
      <c r="T320" s="474"/>
    </row>
    <row r="321" spans="1:20" s="472" customFormat="1" ht="19.5" customHeight="1">
      <c r="A321" s="471"/>
      <c r="B321" s="474"/>
      <c r="C321" s="474"/>
      <c r="D321" s="474"/>
      <c r="E321" s="474"/>
      <c r="F321" s="474"/>
      <c r="G321" s="474"/>
      <c r="H321" s="474"/>
      <c r="I321" s="474"/>
      <c r="J321" s="474"/>
      <c r="K321" s="474"/>
      <c r="L321" s="474"/>
      <c r="M321" s="474"/>
      <c r="N321" s="474"/>
      <c r="O321" s="474"/>
      <c r="P321" s="474"/>
      <c r="Q321" s="474"/>
      <c r="R321" s="474"/>
      <c r="S321" s="474"/>
      <c r="T321" s="474"/>
    </row>
    <row r="322" ht="19.5" customHeight="1"/>
    <row r="323" ht="9.75" customHeight="1"/>
    <row r="324" ht="19.5" customHeight="1"/>
    <row r="325" ht="19.5" customHeight="1"/>
    <row r="326" ht="19.5" customHeight="1"/>
    <row r="327" spans="1:20" s="472" customFormat="1" ht="19.5" customHeight="1">
      <c r="A327" s="471"/>
      <c r="B327" s="474"/>
      <c r="C327" s="474"/>
      <c r="D327" s="474"/>
      <c r="E327" s="474"/>
      <c r="F327" s="474"/>
      <c r="G327" s="474"/>
      <c r="H327" s="474"/>
      <c r="I327" s="474"/>
      <c r="J327" s="474"/>
      <c r="K327" s="474"/>
      <c r="L327" s="474"/>
      <c r="M327" s="474"/>
      <c r="N327" s="474"/>
      <c r="O327" s="474"/>
      <c r="P327" s="474"/>
      <c r="Q327" s="474"/>
      <c r="R327" s="474"/>
      <c r="S327" s="474"/>
      <c r="T327" s="474"/>
    </row>
    <row r="328" spans="1:20" s="472" customFormat="1" ht="19.5" customHeight="1">
      <c r="A328" s="471"/>
      <c r="B328" s="474"/>
      <c r="C328" s="474"/>
      <c r="D328" s="474"/>
      <c r="E328" s="474"/>
      <c r="F328" s="474"/>
      <c r="G328" s="474"/>
      <c r="H328" s="474"/>
      <c r="I328" s="474"/>
      <c r="J328" s="474"/>
      <c r="K328" s="474"/>
      <c r="L328" s="474"/>
      <c r="M328" s="474"/>
      <c r="N328" s="474"/>
      <c r="O328" s="474"/>
      <c r="P328" s="474"/>
      <c r="Q328" s="474"/>
      <c r="R328" s="474"/>
      <c r="S328" s="474"/>
      <c r="T328" s="474"/>
    </row>
    <row r="329" spans="1:20" s="472" customFormat="1" ht="19.5" customHeight="1">
      <c r="A329" s="471"/>
      <c r="B329" s="474"/>
      <c r="C329" s="474"/>
      <c r="D329" s="474"/>
      <c r="E329" s="474"/>
      <c r="F329" s="474"/>
      <c r="G329" s="474"/>
      <c r="H329" s="474"/>
      <c r="I329" s="474"/>
      <c r="J329" s="474"/>
      <c r="K329" s="474"/>
      <c r="L329" s="474"/>
      <c r="M329" s="474"/>
      <c r="N329" s="474"/>
      <c r="O329" s="474"/>
      <c r="P329" s="474"/>
      <c r="Q329" s="474"/>
      <c r="R329" s="474"/>
      <c r="S329" s="474"/>
      <c r="T329" s="474"/>
    </row>
    <row r="330" spans="1:20" s="472" customFormat="1" ht="19.5" customHeight="1">
      <c r="A330" s="471"/>
      <c r="B330" s="474"/>
      <c r="C330" s="474"/>
      <c r="D330" s="474"/>
      <c r="E330" s="474"/>
      <c r="F330" s="474"/>
      <c r="G330" s="474"/>
      <c r="H330" s="474"/>
      <c r="I330" s="474"/>
      <c r="J330" s="474"/>
      <c r="K330" s="474"/>
      <c r="L330" s="474"/>
      <c r="M330" s="474"/>
      <c r="N330" s="474"/>
      <c r="O330" s="474"/>
      <c r="P330" s="474"/>
      <c r="Q330" s="474"/>
      <c r="R330" s="474"/>
      <c r="S330" s="474"/>
      <c r="T330" s="474"/>
    </row>
    <row r="331" spans="1:20" s="472" customFormat="1" ht="19.5" customHeight="1">
      <c r="A331" s="471"/>
      <c r="B331" s="474"/>
      <c r="C331" s="474"/>
      <c r="D331" s="474"/>
      <c r="E331" s="474"/>
      <c r="F331" s="474"/>
      <c r="G331" s="474"/>
      <c r="H331" s="474"/>
      <c r="I331" s="474"/>
      <c r="J331" s="474"/>
      <c r="K331" s="474"/>
      <c r="L331" s="474"/>
      <c r="M331" s="474"/>
      <c r="N331" s="474"/>
      <c r="O331" s="474"/>
      <c r="P331" s="474"/>
      <c r="Q331" s="474"/>
      <c r="R331" s="474"/>
      <c r="S331" s="474"/>
      <c r="T331" s="474"/>
    </row>
    <row r="332" spans="1:20" s="472" customFormat="1" ht="19.5" customHeight="1">
      <c r="A332" s="471"/>
      <c r="B332" s="474"/>
      <c r="C332" s="474"/>
      <c r="D332" s="474"/>
      <c r="E332" s="474"/>
      <c r="F332" s="474"/>
      <c r="G332" s="474"/>
      <c r="H332" s="474"/>
      <c r="I332" s="474"/>
      <c r="J332" s="474"/>
      <c r="K332" s="474"/>
      <c r="L332" s="474"/>
      <c r="M332" s="474"/>
      <c r="N332" s="474"/>
      <c r="O332" s="474"/>
      <c r="P332" s="474"/>
      <c r="Q332" s="474"/>
      <c r="R332" s="474"/>
      <c r="S332" s="474"/>
      <c r="T332" s="474"/>
    </row>
    <row r="333" spans="1:20" s="472" customFormat="1" ht="19.5" customHeight="1">
      <c r="A333" s="471"/>
      <c r="B333" s="474"/>
      <c r="C333" s="474"/>
      <c r="D333" s="474"/>
      <c r="E333" s="474"/>
      <c r="F333" s="474"/>
      <c r="G333" s="474"/>
      <c r="H333" s="474"/>
      <c r="I333" s="474"/>
      <c r="J333" s="474"/>
      <c r="K333" s="474"/>
      <c r="L333" s="474"/>
      <c r="M333" s="474"/>
      <c r="N333" s="474"/>
      <c r="O333" s="474"/>
      <c r="P333" s="474"/>
      <c r="Q333" s="474"/>
      <c r="R333" s="474"/>
      <c r="S333" s="474"/>
      <c r="T333" s="474"/>
    </row>
    <row r="334" spans="1:20" s="472" customFormat="1" ht="19.5" customHeight="1">
      <c r="A334" s="471"/>
      <c r="B334" s="474"/>
      <c r="C334" s="474"/>
      <c r="D334" s="474"/>
      <c r="E334" s="474"/>
      <c r="F334" s="474"/>
      <c r="G334" s="474"/>
      <c r="H334" s="474"/>
      <c r="I334" s="474"/>
      <c r="J334" s="474"/>
      <c r="K334" s="474"/>
      <c r="L334" s="474"/>
      <c r="M334" s="474"/>
      <c r="N334" s="474"/>
      <c r="O334" s="474"/>
      <c r="P334" s="474"/>
      <c r="Q334" s="474"/>
      <c r="R334" s="474"/>
      <c r="S334" s="474"/>
      <c r="T334" s="474"/>
    </row>
    <row r="335" spans="1:20" s="472" customFormat="1" ht="19.5" customHeight="1">
      <c r="A335" s="471"/>
      <c r="B335" s="474"/>
      <c r="C335" s="474"/>
      <c r="D335" s="474"/>
      <c r="E335" s="474"/>
      <c r="F335" s="474"/>
      <c r="G335" s="474"/>
      <c r="H335" s="474"/>
      <c r="I335" s="474"/>
      <c r="J335" s="474"/>
      <c r="K335" s="474"/>
      <c r="L335" s="474"/>
      <c r="M335" s="474"/>
      <c r="N335" s="474"/>
      <c r="O335" s="474"/>
      <c r="P335" s="474"/>
      <c r="Q335" s="474"/>
      <c r="R335" s="474"/>
      <c r="S335" s="474"/>
      <c r="T335" s="474"/>
    </row>
    <row r="336" spans="1:20" s="472" customFormat="1" ht="19.5" customHeight="1">
      <c r="A336" s="471"/>
      <c r="B336" s="474"/>
      <c r="C336" s="474"/>
      <c r="D336" s="474"/>
      <c r="E336" s="474"/>
      <c r="F336" s="474"/>
      <c r="G336" s="474"/>
      <c r="H336" s="474"/>
      <c r="I336" s="474"/>
      <c r="J336" s="474"/>
      <c r="K336" s="474"/>
      <c r="L336" s="474"/>
      <c r="M336" s="474"/>
      <c r="N336" s="474"/>
      <c r="O336" s="474"/>
      <c r="P336" s="474"/>
      <c r="Q336" s="474"/>
      <c r="R336" s="474"/>
      <c r="S336" s="474"/>
      <c r="T336" s="474"/>
    </row>
    <row r="337" spans="1:20" s="472" customFormat="1" ht="19.5" customHeight="1">
      <c r="A337" s="471"/>
      <c r="B337" s="474"/>
      <c r="C337" s="474"/>
      <c r="D337" s="474"/>
      <c r="E337" s="474"/>
      <c r="F337" s="474"/>
      <c r="G337" s="474"/>
      <c r="H337" s="474"/>
      <c r="I337" s="474"/>
      <c r="J337" s="474"/>
      <c r="K337" s="474"/>
      <c r="L337" s="474"/>
      <c r="M337" s="474"/>
      <c r="N337" s="474"/>
      <c r="O337" s="474"/>
      <c r="P337" s="474"/>
      <c r="Q337" s="474"/>
      <c r="R337" s="474"/>
      <c r="S337" s="474"/>
      <c r="T337" s="474"/>
    </row>
    <row r="338" spans="1:20" s="472" customFormat="1" ht="19.5" customHeight="1">
      <c r="A338" s="471"/>
      <c r="B338" s="474"/>
      <c r="C338" s="474"/>
      <c r="D338" s="474"/>
      <c r="E338" s="474"/>
      <c r="F338" s="474"/>
      <c r="G338" s="474"/>
      <c r="H338" s="474"/>
      <c r="I338" s="474"/>
      <c r="J338" s="474"/>
      <c r="K338" s="474"/>
      <c r="L338" s="474"/>
      <c r="M338" s="474"/>
      <c r="N338" s="474"/>
      <c r="O338" s="474"/>
      <c r="P338" s="474"/>
      <c r="Q338" s="474"/>
      <c r="R338" s="474"/>
      <c r="S338" s="474"/>
      <c r="T338" s="474"/>
    </row>
    <row r="339" spans="1:20" s="472" customFormat="1" ht="19.5" customHeight="1">
      <c r="A339" s="471"/>
      <c r="B339" s="474"/>
      <c r="C339" s="474"/>
      <c r="D339" s="474"/>
      <c r="E339" s="474"/>
      <c r="F339" s="474"/>
      <c r="G339" s="474"/>
      <c r="H339" s="474"/>
      <c r="I339" s="474"/>
      <c r="J339" s="474"/>
      <c r="K339" s="474"/>
      <c r="L339" s="474"/>
      <c r="M339" s="474"/>
      <c r="N339" s="474"/>
      <c r="O339" s="474"/>
      <c r="P339" s="474"/>
      <c r="Q339" s="474"/>
      <c r="R339" s="474"/>
      <c r="S339" s="474"/>
      <c r="T339" s="474"/>
    </row>
    <row r="340" spans="1:20" s="472" customFormat="1" ht="19.5" customHeight="1">
      <c r="A340" s="471"/>
      <c r="B340" s="474"/>
      <c r="C340" s="474"/>
      <c r="D340" s="474"/>
      <c r="E340" s="474"/>
      <c r="F340" s="474"/>
      <c r="G340" s="474"/>
      <c r="H340" s="474"/>
      <c r="I340" s="474"/>
      <c r="J340" s="474"/>
      <c r="K340" s="474"/>
      <c r="L340" s="474"/>
      <c r="M340" s="474"/>
      <c r="N340" s="474"/>
      <c r="O340" s="474"/>
      <c r="P340" s="474"/>
      <c r="Q340" s="474"/>
      <c r="R340" s="474"/>
      <c r="S340" s="474"/>
      <c r="T340" s="474"/>
    </row>
    <row r="341" spans="1:20" s="472" customFormat="1" ht="19.5" customHeight="1">
      <c r="A341" s="471"/>
      <c r="B341" s="474"/>
      <c r="C341" s="474"/>
      <c r="D341" s="474"/>
      <c r="E341" s="474"/>
      <c r="F341" s="474"/>
      <c r="G341" s="474"/>
      <c r="H341" s="474"/>
      <c r="I341" s="474"/>
      <c r="J341" s="474"/>
      <c r="K341" s="474"/>
      <c r="L341" s="474"/>
      <c r="M341" s="474"/>
      <c r="N341" s="474"/>
      <c r="O341" s="474"/>
      <c r="P341" s="474"/>
      <c r="Q341" s="474"/>
      <c r="R341" s="474"/>
      <c r="S341" s="474"/>
      <c r="T341" s="474"/>
    </row>
    <row r="342" spans="1:20" s="472" customFormat="1" ht="19.5" customHeight="1">
      <c r="A342" s="471"/>
      <c r="B342" s="474"/>
      <c r="C342" s="474"/>
      <c r="D342" s="474"/>
      <c r="E342" s="474"/>
      <c r="F342" s="474"/>
      <c r="G342" s="474"/>
      <c r="H342" s="474"/>
      <c r="I342" s="474"/>
      <c r="J342" s="474"/>
      <c r="K342" s="474"/>
      <c r="L342" s="474"/>
      <c r="M342" s="474"/>
      <c r="N342" s="474"/>
      <c r="O342" s="474"/>
      <c r="P342" s="474"/>
      <c r="Q342" s="474"/>
      <c r="R342" s="474"/>
      <c r="S342" s="474"/>
      <c r="T342" s="474"/>
    </row>
    <row r="343" spans="1:20" s="472" customFormat="1" ht="19.5" customHeight="1">
      <c r="A343" s="471"/>
      <c r="B343" s="474"/>
      <c r="C343" s="474"/>
      <c r="D343" s="474"/>
      <c r="E343" s="474"/>
      <c r="F343" s="474"/>
      <c r="G343" s="474"/>
      <c r="H343" s="474"/>
      <c r="I343" s="474"/>
      <c r="J343" s="474"/>
      <c r="K343" s="474"/>
      <c r="L343" s="474"/>
      <c r="M343" s="474"/>
      <c r="N343" s="474"/>
      <c r="O343" s="474"/>
      <c r="P343" s="474"/>
      <c r="Q343" s="474"/>
      <c r="R343" s="474"/>
      <c r="S343" s="474"/>
      <c r="T343" s="474"/>
    </row>
    <row r="344" spans="1:20" s="472" customFormat="1" ht="19.5" customHeight="1">
      <c r="A344" s="471"/>
      <c r="B344" s="474"/>
      <c r="C344" s="474"/>
      <c r="D344" s="474"/>
      <c r="E344" s="474"/>
      <c r="F344" s="474"/>
      <c r="G344" s="474"/>
      <c r="H344" s="474"/>
      <c r="I344" s="474"/>
      <c r="J344" s="474"/>
      <c r="K344" s="474"/>
      <c r="L344" s="474"/>
      <c r="M344" s="474"/>
      <c r="N344" s="474"/>
      <c r="O344" s="474"/>
      <c r="P344" s="474"/>
      <c r="Q344" s="474"/>
      <c r="R344" s="474"/>
      <c r="S344" s="474"/>
      <c r="T344" s="474"/>
    </row>
    <row r="345" spans="1:20" s="472" customFormat="1" ht="19.5" customHeight="1">
      <c r="A345" s="471"/>
      <c r="B345" s="474"/>
      <c r="C345" s="474"/>
      <c r="D345" s="474"/>
      <c r="E345" s="474"/>
      <c r="F345" s="474"/>
      <c r="G345" s="474"/>
      <c r="H345" s="474"/>
      <c r="I345" s="474"/>
      <c r="J345" s="474"/>
      <c r="K345" s="474"/>
      <c r="L345" s="474"/>
      <c r="M345" s="474"/>
      <c r="N345" s="474"/>
      <c r="O345" s="474"/>
      <c r="P345" s="474"/>
      <c r="Q345" s="474"/>
      <c r="R345" s="474"/>
      <c r="S345" s="474"/>
      <c r="T345" s="474"/>
    </row>
    <row r="346" spans="1:20" s="472" customFormat="1" ht="19.5" customHeight="1">
      <c r="A346" s="471"/>
      <c r="B346" s="474"/>
      <c r="C346" s="474"/>
      <c r="D346" s="474"/>
      <c r="E346" s="474"/>
      <c r="F346" s="474"/>
      <c r="G346" s="474"/>
      <c r="H346" s="474"/>
      <c r="I346" s="474"/>
      <c r="J346" s="474"/>
      <c r="K346" s="474"/>
      <c r="L346" s="474"/>
      <c r="M346" s="474"/>
      <c r="N346" s="474"/>
      <c r="O346" s="474"/>
      <c r="P346" s="474"/>
      <c r="Q346" s="474"/>
      <c r="R346" s="474"/>
      <c r="S346" s="474"/>
      <c r="T346" s="474"/>
    </row>
    <row r="347" spans="1:20" s="472" customFormat="1" ht="19.5" customHeight="1">
      <c r="A347" s="471"/>
      <c r="B347" s="474"/>
      <c r="C347" s="474"/>
      <c r="D347" s="474"/>
      <c r="E347" s="474"/>
      <c r="F347" s="474"/>
      <c r="G347" s="474"/>
      <c r="H347" s="474"/>
      <c r="I347" s="474"/>
      <c r="J347" s="474"/>
      <c r="K347" s="474"/>
      <c r="L347" s="474"/>
      <c r="M347" s="474"/>
      <c r="N347" s="474"/>
      <c r="O347" s="474"/>
      <c r="P347" s="474"/>
      <c r="Q347" s="474"/>
      <c r="R347" s="474"/>
      <c r="S347" s="474"/>
      <c r="T347" s="474"/>
    </row>
    <row r="348" spans="1:20" s="472" customFormat="1" ht="19.5" customHeight="1">
      <c r="A348" s="471"/>
      <c r="B348" s="474"/>
      <c r="C348" s="474"/>
      <c r="D348" s="474"/>
      <c r="E348" s="474"/>
      <c r="F348" s="474"/>
      <c r="G348" s="474"/>
      <c r="H348" s="474"/>
      <c r="I348" s="474"/>
      <c r="J348" s="474"/>
      <c r="K348" s="474"/>
      <c r="L348" s="474"/>
      <c r="M348" s="474"/>
      <c r="N348" s="474"/>
      <c r="O348" s="474"/>
      <c r="P348" s="474"/>
      <c r="Q348" s="474"/>
      <c r="R348" s="474"/>
      <c r="S348" s="474"/>
      <c r="T348" s="474"/>
    </row>
    <row r="349" spans="1:20" s="472" customFormat="1" ht="19.5" customHeight="1">
      <c r="A349" s="471"/>
      <c r="B349" s="474"/>
      <c r="C349" s="474"/>
      <c r="D349" s="474"/>
      <c r="E349" s="474"/>
      <c r="F349" s="474"/>
      <c r="G349" s="474"/>
      <c r="H349" s="474"/>
      <c r="I349" s="474"/>
      <c r="J349" s="474"/>
      <c r="K349" s="474"/>
      <c r="L349" s="474"/>
      <c r="M349" s="474"/>
      <c r="N349" s="474"/>
      <c r="O349" s="474"/>
      <c r="P349" s="474"/>
      <c r="Q349" s="474"/>
      <c r="R349" s="474"/>
      <c r="S349" s="474"/>
      <c r="T349" s="474"/>
    </row>
    <row r="350" spans="1:20" s="472" customFormat="1" ht="19.5" customHeight="1">
      <c r="A350" s="471"/>
      <c r="B350" s="474"/>
      <c r="C350" s="474"/>
      <c r="D350" s="474"/>
      <c r="E350" s="474"/>
      <c r="F350" s="474"/>
      <c r="G350" s="474"/>
      <c r="H350" s="474"/>
      <c r="I350" s="474"/>
      <c r="J350" s="474"/>
      <c r="K350" s="474"/>
      <c r="L350" s="474"/>
      <c r="M350" s="474"/>
      <c r="N350" s="474"/>
      <c r="O350" s="474"/>
      <c r="P350" s="474"/>
      <c r="Q350" s="474"/>
      <c r="R350" s="474"/>
      <c r="S350" s="474"/>
      <c r="T350" s="474"/>
    </row>
    <row r="351" spans="1:20" s="472" customFormat="1" ht="19.5" customHeight="1">
      <c r="A351" s="471"/>
      <c r="B351" s="474"/>
      <c r="C351" s="474"/>
      <c r="D351" s="474"/>
      <c r="E351" s="474"/>
      <c r="F351" s="474"/>
      <c r="G351" s="474"/>
      <c r="H351" s="474"/>
      <c r="I351" s="474"/>
      <c r="J351" s="474"/>
      <c r="K351" s="474"/>
      <c r="L351" s="474"/>
      <c r="M351" s="474"/>
      <c r="N351" s="474"/>
      <c r="O351" s="474"/>
      <c r="P351" s="474"/>
      <c r="Q351" s="474"/>
      <c r="R351" s="474"/>
      <c r="S351" s="474"/>
      <c r="T351" s="474"/>
    </row>
    <row r="352" spans="1:20" s="472" customFormat="1" ht="19.5" customHeight="1">
      <c r="A352" s="471"/>
      <c r="B352" s="474"/>
      <c r="C352" s="474"/>
      <c r="D352" s="474"/>
      <c r="E352" s="474"/>
      <c r="F352" s="474"/>
      <c r="G352" s="474"/>
      <c r="H352" s="474"/>
      <c r="I352" s="474"/>
      <c r="J352" s="474"/>
      <c r="K352" s="474"/>
      <c r="L352" s="474"/>
      <c r="M352" s="474"/>
      <c r="N352" s="474"/>
      <c r="O352" s="474"/>
      <c r="P352" s="474"/>
      <c r="Q352" s="474"/>
      <c r="R352" s="474"/>
      <c r="S352" s="474"/>
      <c r="T352" s="474"/>
    </row>
    <row r="353" spans="1:20" s="472" customFormat="1" ht="19.5" customHeight="1">
      <c r="A353" s="471"/>
      <c r="B353" s="474"/>
      <c r="C353" s="474"/>
      <c r="D353" s="474"/>
      <c r="E353" s="474"/>
      <c r="F353" s="474"/>
      <c r="G353" s="474"/>
      <c r="H353" s="474"/>
      <c r="I353" s="474"/>
      <c r="J353" s="474"/>
      <c r="K353" s="474"/>
      <c r="L353" s="474"/>
      <c r="M353" s="474"/>
      <c r="N353" s="474"/>
      <c r="O353" s="474"/>
      <c r="P353" s="474"/>
      <c r="Q353" s="474"/>
      <c r="R353" s="474"/>
      <c r="S353" s="474"/>
      <c r="T353" s="474"/>
    </row>
    <row r="354" spans="1:20" s="472" customFormat="1" ht="19.5" customHeight="1">
      <c r="A354" s="471"/>
      <c r="B354" s="474"/>
      <c r="C354" s="474"/>
      <c r="D354" s="474"/>
      <c r="E354" s="474"/>
      <c r="F354" s="474"/>
      <c r="G354" s="474"/>
      <c r="H354" s="474"/>
      <c r="I354" s="474"/>
      <c r="J354" s="474"/>
      <c r="K354" s="474"/>
      <c r="L354" s="474"/>
      <c r="M354" s="474"/>
      <c r="N354" s="474"/>
      <c r="O354" s="474"/>
      <c r="P354" s="474"/>
      <c r="Q354" s="474"/>
      <c r="R354" s="474"/>
      <c r="S354" s="474"/>
      <c r="T354" s="474"/>
    </row>
    <row r="355" spans="1:20" s="472" customFormat="1" ht="19.5" customHeight="1">
      <c r="A355" s="471"/>
      <c r="B355" s="474"/>
      <c r="C355" s="474"/>
      <c r="D355" s="474"/>
      <c r="E355" s="474"/>
      <c r="F355" s="474"/>
      <c r="G355" s="474"/>
      <c r="H355" s="474"/>
      <c r="I355" s="474"/>
      <c r="J355" s="474"/>
      <c r="K355" s="474"/>
      <c r="L355" s="474"/>
      <c r="M355" s="474"/>
      <c r="N355" s="474"/>
      <c r="O355" s="474"/>
      <c r="P355" s="474"/>
      <c r="Q355" s="474"/>
      <c r="R355" s="474"/>
      <c r="S355" s="474"/>
      <c r="T355" s="474"/>
    </row>
    <row r="356" spans="1:20" s="472" customFormat="1" ht="19.5" customHeight="1">
      <c r="A356" s="471"/>
      <c r="B356" s="474"/>
      <c r="C356" s="474"/>
      <c r="D356" s="474"/>
      <c r="E356" s="474"/>
      <c r="F356" s="474"/>
      <c r="G356" s="474"/>
      <c r="H356" s="474"/>
      <c r="I356" s="474"/>
      <c r="J356" s="474"/>
      <c r="K356" s="474"/>
      <c r="L356" s="474"/>
      <c r="M356" s="474"/>
      <c r="N356" s="474"/>
      <c r="O356" s="474"/>
      <c r="P356" s="474"/>
      <c r="Q356" s="474"/>
      <c r="R356" s="474"/>
      <c r="S356" s="474"/>
      <c r="T356" s="474"/>
    </row>
    <row r="357" spans="1:20" s="472" customFormat="1" ht="19.5" customHeight="1">
      <c r="A357" s="471"/>
      <c r="B357" s="474"/>
      <c r="C357" s="474"/>
      <c r="D357" s="474"/>
      <c r="E357" s="474"/>
      <c r="F357" s="474"/>
      <c r="G357" s="474"/>
      <c r="H357" s="474"/>
      <c r="I357" s="474"/>
      <c r="J357" s="474"/>
      <c r="K357" s="474"/>
      <c r="L357" s="474"/>
      <c r="M357" s="474"/>
      <c r="N357" s="474"/>
      <c r="O357" s="474"/>
      <c r="P357" s="474"/>
      <c r="Q357" s="474"/>
      <c r="R357" s="474"/>
      <c r="S357" s="474"/>
      <c r="T357" s="474"/>
    </row>
    <row r="358" spans="1:20" s="472" customFormat="1" ht="19.5" customHeight="1">
      <c r="A358" s="471"/>
      <c r="B358" s="474"/>
      <c r="C358" s="474"/>
      <c r="D358" s="474"/>
      <c r="E358" s="474"/>
      <c r="F358" s="474"/>
      <c r="G358" s="474"/>
      <c r="H358" s="474"/>
      <c r="I358" s="474"/>
      <c r="J358" s="474"/>
      <c r="K358" s="474"/>
      <c r="L358" s="474"/>
      <c r="M358" s="474"/>
      <c r="N358" s="474"/>
      <c r="O358" s="474"/>
      <c r="P358" s="474"/>
      <c r="Q358" s="474"/>
      <c r="R358" s="474"/>
      <c r="S358" s="474"/>
      <c r="T358" s="474"/>
    </row>
    <row r="359" spans="1:20" s="472" customFormat="1" ht="19.5" customHeight="1">
      <c r="A359" s="471"/>
      <c r="B359" s="474"/>
      <c r="C359" s="474"/>
      <c r="D359" s="474"/>
      <c r="E359" s="474"/>
      <c r="F359" s="474"/>
      <c r="G359" s="474"/>
      <c r="H359" s="474"/>
      <c r="I359" s="474"/>
      <c r="J359" s="474"/>
      <c r="K359" s="474"/>
      <c r="L359" s="474"/>
      <c r="M359" s="474"/>
      <c r="N359" s="474"/>
      <c r="O359" s="474"/>
      <c r="P359" s="474"/>
      <c r="Q359" s="474"/>
      <c r="R359" s="474"/>
      <c r="S359" s="474"/>
      <c r="T359" s="474"/>
    </row>
    <row r="360" spans="1:20" s="472" customFormat="1" ht="19.5" customHeight="1">
      <c r="A360" s="471"/>
      <c r="B360" s="474"/>
      <c r="C360" s="474"/>
      <c r="D360" s="474"/>
      <c r="E360" s="474"/>
      <c r="F360" s="474"/>
      <c r="G360" s="474"/>
      <c r="H360" s="474"/>
      <c r="I360" s="474"/>
      <c r="J360" s="474"/>
      <c r="K360" s="474"/>
      <c r="L360" s="474"/>
      <c r="M360" s="474"/>
      <c r="N360" s="474"/>
      <c r="O360" s="474"/>
      <c r="P360" s="474"/>
      <c r="Q360" s="474"/>
      <c r="R360" s="474"/>
      <c r="S360" s="474"/>
      <c r="T360" s="474"/>
    </row>
    <row r="361" spans="1:20" s="472" customFormat="1" ht="19.5" customHeight="1">
      <c r="A361" s="471"/>
      <c r="B361" s="474"/>
      <c r="C361" s="474"/>
      <c r="D361" s="474"/>
      <c r="E361" s="474"/>
      <c r="F361" s="474"/>
      <c r="G361" s="474"/>
      <c r="H361" s="474"/>
      <c r="I361" s="474"/>
      <c r="J361" s="474"/>
      <c r="K361" s="474"/>
      <c r="L361" s="474"/>
      <c r="M361" s="474"/>
      <c r="N361" s="474"/>
      <c r="O361" s="474"/>
      <c r="P361" s="474"/>
      <c r="Q361" s="474"/>
      <c r="R361" s="474"/>
      <c r="S361" s="474"/>
      <c r="T361" s="474"/>
    </row>
    <row r="362" spans="1:20" s="472" customFormat="1" ht="19.5" customHeight="1">
      <c r="A362" s="471"/>
      <c r="B362" s="474"/>
      <c r="C362" s="474"/>
      <c r="D362" s="474"/>
      <c r="E362" s="474"/>
      <c r="F362" s="474"/>
      <c r="G362" s="474"/>
      <c r="H362" s="474"/>
      <c r="I362" s="474"/>
      <c r="J362" s="474"/>
      <c r="K362" s="474"/>
      <c r="L362" s="474"/>
      <c r="M362" s="474"/>
      <c r="N362" s="474"/>
      <c r="O362" s="474"/>
      <c r="P362" s="474"/>
      <c r="Q362" s="474"/>
      <c r="R362" s="474"/>
      <c r="S362" s="474"/>
      <c r="T362" s="474"/>
    </row>
    <row r="363" spans="1:20" s="472" customFormat="1" ht="19.5" customHeight="1">
      <c r="A363" s="471"/>
      <c r="B363" s="474"/>
      <c r="C363" s="474"/>
      <c r="D363" s="474"/>
      <c r="E363" s="474"/>
      <c r="F363" s="474"/>
      <c r="G363" s="474"/>
      <c r="H363" s="474"/>
      <c r="I363" s="474"/>
      <c r="J363" s="474"/>
      <c r="K363" s="474"/>
      <c r="L363" s="474"/>
      <c r="M363" s="474"/>
      <c r="N363" s="474"/>
      <c r="O363" s="474"/>
      <c r="P363" s="474"/>
      <c r="Q363" s="474"/>
      <c r="R363" s="474"/>
      <c r="S363" s="474"/>
      <c r="T363" s="474"/>
    </row>
    <row r="364" ht="19.5" customHeight="1"/>
    <row r="365" ht="9.75" customHeight="1"/>
    <row r="366" ht="19.5" customHeight="1"/>
    <row r="367" ht="19.5" customHeight="1"/>
    <row r="368" ht="19.5" customHeight="1"/>
    <row r="369" spans="1:20" s="472" customFormat="1" ht="19.5" customHeight="1">
      <c r="A369" s="471"/>
      <c r="B369" s="474"/>
      <c r="C369" s="474"/>
      <c r="D369" s="474"/>
      <c r="E369" s="474"/>
      <c r="F369" s="474"/>
      <c r="G369" s="474"/>
      <c r="H369" s="474"/>
      <c r="I369" s="474"/>
      <c r="J369" s="474"/>
      <c r="K369" s="474"/>
      <c r="L369" s="474"/>
      <c r="M369" s="474"/>
      <c r="N369" s="474"/>
      <c r="O369" s="474"/>
      <c r="P369" s="474"/>
      <c r="Q369" s="474"/>
      <c r="R369" s="474"/>
      <c r="S369" s="474"/>
      <c r="T369" s="474"/>
    </row>
    <row r="370" spans="1:20" s="472" customFormat="1" ht="19.5" customHeight="1">
      <c r="A370" s="471"/>
      <c r="B370" s="474"/>
      <c r="C370" s="474"/>
      <c r="D370" s="474"/>
      <c r="E370" s="474"/>
      <c r="F370" s="474"/>
      <c r="G370" s="474"/>
      <c r="H370" s="474"/>
      <c r="I370" s="474"/>
      <c r="J370" s="474"/>
      <c r="K370" s="474"/>
      <c r="L370" s="474"/>
      <c r="M370" s="474"/>
      <c r="N370" s="474"/>
      <c r="O370" s="474"/>
      <c r="P370" s="474"/>
      <c r="Q370" s="474"/>
      <c r="R370" s="474"/>
      <c r="S370" s="474"/>
      <c r="T370" s="474"/>
    </row>
    <row r="371" spans="1:20" s="472" customFormat="1" ht="19.5" customHeight="1">
      <c r="A371" s="471"/>
      <c r="B371" s="474"/>
      <c r="C371" s="474"/>
      <c r="D371" s="474"/>
      <c r="E371" s="474"/>
      <c r="F371" s="474"/>
      <c r="G371" s="474"/>
      <c r="H371" s="474"/>
      <c r="I371" s="474"/>
      <c r="J371" s="474"/>
      <c r="K371" s="474"/>
      <c r="L371" s="474"/>
      <c r="M371" s="474"/>
      <c r="N371" s="474"/>
      <c r="O371" s="474"/>
      <c r="P371" s="474"/>
      <c r="Q371" s="474"/>
      <c r="R371" s="474"/>
      <c r="S371" s="474"/>
      <c r="T371" s="474"/>
    </row>
    <row r="372" spans="1:20" s="472" customFormat="1" ht="19.5" customHeight="1">
      <c r="A372" s="471"/>
      <c r="B372" s="474"/>
      <c r="C372" s="474"/>
      <c r="D372" s="474"/>
      <c r="E372" s="474"/>
      <c r="F372" s="474"/>
      <c r="G372" s="474"/>
      <c r="H372" s="474"/>
      <c r="I372" s="474"/>
      <c r="J372" s="474"/>
      <c r="K372" s="474"/>
      <c r="L372" s="474"/>
      <c r="M372" s="474"/>
      <c r="N372" s="474"/>
      <c r="O372" s="474"/>
      <c r="P372" s="474"/>
      <c r="Q372" s="474"/>
      <c r="R372" s="474"/>
      <c r="S372" s="474"/>
      <c r="T372" s="474"/>
    </row>
    <row r="373" spans="1:20" s="472" customFormat="1" ht="19.5" customHeight="1">
      <c r="A373" s="471"/>
      <c r="B373" s="474"/>
      <c r="C373" s="474"/>
      <c r="D373" s="474"/>
      <c r="E373" s="474"/>
      <c r="F373" s="474"/>
      <c r="G373" s="474"/>
      <c r="H373" s="474"/>
      <c r="I373" s="474"/>
      <c r="J373" s="474"/>
      <c r="K373" s="474"/>
      <c r="L373" s="474"/>
      <c r="M373" s="474"/>
      <c r="N373" s="474"/>
      <c r="O373" s="474"/>
      <c r="P373" s="474"/>
      <c r="Q373" s="474"/>
      <c r="R373" s="474"/>
      <c r="S373" s="474"/>
      <c r="T373" s="474"/>
    </row>
    <row r="374" spans="1:20" s="472" customFormat="1" ht="19.5" customHeight="1">
      <c r="A374" s="471"/>
      <c r="B374" s="474"/>
      <c r="C374" s="474"/>
      <c r="D374" s="474"/>
      <c r="E374" s="474"/>
      <c r="F374" s="474"/>
      <c r="G374" s="474"/>
      <c r="H374" s="474"/>
      <c r="I374" s="474"/>
      <c r="J374" s="474"/>
      <c r="K374" s="474"/>
      <c r="L374" s="474"/>
      <c r="M374" s="474"/>
      <c r="N374" s="474"/>
      <c r="O374" s="474"/>
      <c r="P374" s="474"/>
      <c r="Q374" s="474"/>
      <c r="R374" s="474"/>
      <c r="S374" s="474"/>
      <c r="T374" s="474"/>
    </row>
    <row r="375" spans="1:20" s="472" customFormat="1" ht="19.5" customHeight="1">
      <c r="A375" s="471"/>
      <c r="B375" s="474"/>
      <c r="C375" s="474"/>
      <c r="D375" s="474"/>
      <c r="E375" s="474"/>
      <c r="F375" s="474"/>
      <c r="G375" s="474"/>
      <c r="H375" s="474"/>
      <c r="I375" s="474"/>
      <c r="J375" s="474"/>
      <c r="K375" s="474"/>
      <c r="L375" s="474"/>
      <c r="M375" s="474"/>
      <c r="N375" s="474"/>
      <c r="O375" s="474"/>
      <c r="P375" s="474"/>
      <c r="Q375" s="474"/>
      <c r="R375" s="474"/>
      <c r="S375" s="474"/>
      <c r="T375" s="474"/>
    </row>
    <row r="376" spans="1:20" s="472" customFormat="1" ht="19.5" customHeight="1">
      <c r="A376" s="471"/>
      <c r="B376" s="474"/>
      <c r="C376" s="474"/>
      <c r="D376" s="474"/>
      <c r="E376" s="474"/>
      <c r="F376" s="474"/>
      <c r="G376" s="474"/>
      <c r="H376" s="474"/>
      <c r="I376" s="474"/>
      <c r="J376" s="474"/>
      <c r="K376" s="474"/>
      <c r="L376" s="474"/>
      <c r="M376" s="474"/>
      <c r="N376" s="474"/>
      <c r="O376" s="474"/>
      <c r="P376" s="474"/>
      <c r="Q376" s="474"/>
      <c r="R376" s="474"/>
      <c r="S376" s="474"/>
      <c r="T376" s="474"/>
    </row>
    <row r="377" spans="1:20" s="472" customFormat="1" ht="19.5" customHeight="1">
      <c r="A377" s="471"/>
      <c r="B377" s="474"/>
      <c r="C377" s="474"/>
      <c r="D377" s="474"/>
      <c r="E377" s="474"/>
      <c r="F377" s="474"/>
      <c r="G377" s="474"/>
      <c r="H377" s="474"/>
      <c r="I377" s="474"/>
      <c r="J377" s="474"/>
      <c r="K377" s="474"/>
      <c r="L377" s="474"/>
      <c r="M377" s="474"/>
      <c r="N377" s="474"/>
      <c r="O377" s="474"/>
      <c r="P377" s="474"/>
      <c r="Q377" s="474"/>
      <c r="R377" s="474"/>
      <c r="S377" s="474"/>
      <c r="T377" s="474"/>
    </row>
    <row r="378" spans="1:20" s="472" customFormat="1" ht="19.5" customHeight="1">
      <c r="A378" s="471"/>
      <c r="B378" s="474"/>
      <c r="C378" s="474"/>
      <c r="D378" s="474"/>
      <c r="E378" s="474"/>
      <c r="F378" s="474"/>
      <c r="G378" s="474"/>
      <c r="H378" s="474"/>
      <c r="I378" s="474"/>
      <c r="J378" s="474"/>
      <c r="K378" s="474"/>
      <c r="L378" s="474"/>
      <c r="M378" s="474"/>
      <c r="N378" s="474"/>
      <c r="O378" s="474"/>
      <c r="P378" s="474"/>
      <c r="Q378" s="474"/>
      <c r="R378" s="474"/>
      <c r="S378" s="474"/>
      <c r="T378" s="474"/>
    </row>
    <row r="379" spans="1:20" s="472" customFormat="1" ht="19.5" customHeight="1">
      <c r="A379" s="471"/>
      <c r="B379" s="474"/>
      <c r="C379" s="474"/>
      <c r="D379" s="474"/>
      <c r="E379" s="474"/>
      <c r="F379" s="474"/>
      <c r="G379" s="474"/>
      <c r="H379" s="474"/>
      <c r="I379" s="474"/>
      <c r="J379" s="474"/>
      <c r="K379" s="474"/>
      <c r="L379" s="474"/>
      <c r="M379" s="474"/>
      <c r="N379" s="474"/>
      <c r="O379" s="474"/>
      <c r="P379" s="474"/>
      <c r="Q379" s="474"/>
      <c r="R379" s="474"/>
      <c r="S379" s="474"/>
      <c r="T379" s="474"/>
    </row>
    <row r="380" spans="1:20" s="472" customFormat="1" ht="19.5" customHeight="1">
      <c r="A380" s="471"/>
      <c r="B380" s="474"/>
      <c r="C380" s="474"/>
      <c r="D380" s="474"/>
      <c r="E380" s="474"/>
      <c r="F380" s="474"/>
      <c r="G380" s="474"/>
      <c r="H380" s="474"/>
      <c r="I380" s="474"/>
      <c r="J380" s="474"/>
      <c r="K380" s="474"/>
      <c r="L380" s="474"/>
      <c r="M380" s="474"/>
      <c r="N380" s="474"/>
      <c r="O380" s="474"/>
      <c r="P380" s="474"/>
      <c r="Q380" s="474"/>
      <c r="R380" s="474"/>
      <c r="S380" s="474"/>
      <c r="T380" s="474"/>
    </row>
    <row r="381" spans="1:20" s="472" customFormat="1" ht="19.5" customHeight="1">
      <c r="A381" s="471"/>
      <c r="B381" s="474"/>
      <c r="C381" s="474"/>
      <c r="D381" s="474"/>
      <c r="E381" s="474"/>
      <c r="F381" s="474"/>
      <c r="G381" s="474"/>
      <c r="H381" s="474"/>
      <c r="I381" s="474"/>
      <c r="J381" s="474"/>
      <c r="K381" s="474"/>
      <c r="L381" s="474"/>
      <c r="M381" s="474"/>
      <c r="N381" s="474"/>
      <c r="O381" s="474"/>
      <c r="P381" s="474"/>
      <c r="Q381" s="474"/>
      <c r="R381" s="474"/>
      <c r="S381" s="474"/>
      <c r="T381" s="474"/>
    </row>
    <row r="382" spans="1:20" s="472" customFormat="1" ht="19.5" customHeight="1">
      <c r="A382" s="471"/>
      <c r="B382" s="474"/>
      <c r="C382" s="474"/>
      <c r="D382" s="474"/>
      <c r="E382" s="474"/>
      <c r="F382" s="474"/>
      <c r="G382" s="474"/>
      <c r="H382" s="474"/>
      <c r="I382" s="474"/>
      <c r="J382" s="474"/>
      <c r="K382" s="474"/>
      <c r="L382" s="474"/>
      <c r="M382" s="474"/>
      <c r="N382" s="474"/>
      <c r="O382" s="474"/>
      <c r="P382" s="474"/>
      <c r="Q382" s="474"/>
      <c r="R382" s="474"/>
      <c r="S382" s="474"/>
      <c r="T382" s="474"/>
    </row>
    <row r="383" spans="1:20" s="472" customFormat="1" ht="19.5" customHeight="1">
      <c r="A383" s="471"/>
      <c r="B383" s="474"/>
      <c r="C383" s="474"/>
      <c r="D383" s="474"/>
      <c r="E383" s="474"/>
      <c r="F383" s="474"/>
      <c r="G383" s="474"/>
      <c r="H383" s="474"/>
      <c r="I383" s="474"/>
      <c r="J383" s="474"/>
      <c r="K383" s="474"/>
      <c r="L383" s="474"/>
      <c r="M383" s="474"/>
      <c r="N383" s="474"/>
      <c r="O383" s="474"/>
      <c r="P383" s="474"/>
      <c r="Q383" s="474"/>
      <c r="R383" s="474"/>
      <c r="S383" s="474"/>
      <c r="T383" s="474"/>
    </row>
    <row r="384" spans="1:20" s="472" customFormat="1" ht="19.5" customHeight="1">
      <c r="A384" s="471"/>
      <c r="B384" s="474"/>
      <c r="C384" s="474"/>
      <c r="D384" s="474"/>
      <c r="E384" s="474"/>
      <c r="F384" s="474"/>
      <c r="G384" s="474"/>
      <c r="H384" s="474"/>
      <c r="I384" s="474"/>
      <c r="J384" s="474"/>
      <c r="K384" s="474"/>
      <c r="L384" s="474"/>
      <c r="M384" s="474"/>
      <c r="N384" s="474"/>
      <c r="O384" s="474"/>
      <c r="P384" s="474"/>
      <c r="Q384" s="474"/>
      <c r="R384" s="474"/>
      <c r="S384" s="474"/>
      <c r="T384" s="474"/>
    </row>
    <row r="385" spans="1:20" s="472" customFormat="1" ht="19.5" customHeight="1">
      <c r="A385" s="471"/>
      <c r="B385" s="474"/>
      <c r="C385" s="474"/>
      <c r="D385" s="474"/>
      <c r="E385" s="474"/>
      <c r="F385" s="474"/>
      <c r="G385" s="474"/>
      <c r="H385" s="474"/>
      <c r="I385" s="474"/>
      <c r="J385" s="474"/>
      <c r="K385" s="474"/>
      <c r="L385" s="474"/>
      <c r="M385" s="474"/>
      <c r="N385" s="474"/>
      <c r="O385" s="474"/>
      <c r="P385" s="474"/>
      <c r="Q385" s="474"/>
      <c r="R385" s="474"/>
      <c r="S385" s="474"/>
      <c r="T385" s="474"/>
    </row>
    <row r="386" spans="1:20" s="472" customFormat="1" ht="19.5" customHeight="1">
      <c r="A386" s="471"/>
      <c r="B386" s="474"/>
      <c r="C386" s="474"/>
      <c r="D386" s="474"/>
      <c r="E386" s="474"/>
      <c r="F386" s="474"/>
      <c r="G386" s="474"/>
      <c r="H386" s="474"/>
      <c r="I386" s="474"/>
      <c r="J386" s="474"/>
      <c r="K386" s="474"/>
      <c r="L386" s="474"/>
      <c r="M386" s="474"/>
      <c r="N386" s="474"/>
      <c r="O386" s="474"/>
      <c r="P386" s="474"/>
      <c r="Q386" s="474"/>
      <c r="R386" s="474"/>
      <c r="S386" s="474"/>
      <c r="T386" s="474"/>
    </row>
    <row r="387" spans="1:20" s="472" customFormat="1" ht="19.5" customHeight="1">
      <c r="A387" s="471"/>
      <c r="B387" s="474"/>
      <c r="C387" s="474"/>
      <c r="D387" s="474"/>
      <c r="E387" s="474"/>
      <c r="F387" s="474"/>
      <c r="G387" s="474"/>
      <c r="H387" s="474"/>
      <c r="I387" s="474"/>
      <c r="J387" s="474"/>
      <c r="K387" s="474"/>
      <c r="L387" s="474"/>
      <c r="M387" s="474"/>
      <c r="N387" s="474"/>
      <c r="O387" s="474"/>
      <c r="P387" s="474"/>
      <c r="Q387" s="474"/>
      <c r="R387" s="474"/>
      <c r="S387" s="474"/>
      <c r="T387" s="474"/>
    </row>
    <row r="388" spans="1:20" s="472" customFormat="1" ht="19.5" customHeight="1">
      <c r="A388" s="471"/>
      <c r="B388" s="474"/>
      <c r="C388" s="474"/>
      <c r="D388" s="474"/>
      <c r="E388" s="474"/>
      <c r="F388" s="474"/>
      <c r="G388" s="474"/>
      <c r="H388" s="474"/>
      <c r="I388" s="474"/>
      <c r="J388" s="474"/>
      <c r="K388" s="474"/>
      <c r="L388" s="474"/>
      <c r="M388" s="474"/>
      <c r="N388" s="474"/>
      <c r="O388" s="474"/>
      <c r="P388" s="474"/>
      <c r="Q388" s="474"/>
      <c r="R388" s="474"/>
      <c r="S388" s="474"/>
      <c r="T388" s="474"/>
    </row>
    <row r="389" spans="1:20" s="472" customFormat="1" ht="19.5" customHeight="1">
      <c r="A389" s="471"/>
      <c r="B389" s="474"/>
      <c r="C389" s="474"/>
      <c r="D389" s="474"/>
      <c r="E389" s="474"/>
      <c r="F389" s="474"/>
      <c r="G389" s="474"/>
      <c r="H389" s="474"/>
      <c r="I389" s="474"/>
      <c r="J389" s="474"/>
      <c r="K389" s="474"/>
      <c r="L389" s="474"/>
      <c r="M389" s="474"/>
      <c r="N389" s="474"/>
      <c r="O389" s="474"/>
      <c r="P389" s="474"/>
      <c r="Q389" s="474"/>
      <c r="R389" s="474"/>
      <c r="S389" s="474"/>
      <c r="T389" s="474"/>
    </row>
    <row r="390" spans="1:20" s="472" customFormat="1" ht="19.5" customHeight="1">
      <c r="A390" s="471"/>
      <c r="B390" s="474"/>
      <c r="C390" s="474"/>
      <c r="D390" s="474"/>
      <c r="E390" s="474"/>
      <c r="F390" s="474"/>
      <c r="G390" s="474"/>
      <c r="H390" s="474"/>
      <c r="I390" s="474"/>
      <c r="J390" s="474"/>
      <c r="K390" s="474"/>
      <c r="L390" s="474"/>
      <c r="M390" s="474"/>
      <c r="N390" s="474"/>
      <c r="O390" s="474"/>
      <c r="P390" s="474"/>
      <c r="Q390" s="474"/>
      <c r="R390" s="474"/>
      <c r="S390" s="474"/>
      <c r="T390" s="474"/>
    </row>
    <row r="391" spans="1:20" s="472" customFormat="1" ht="19.5" customHeight="1">
      <c r="A391" s="471"/>
      <c r="B391" s="474"/>
      <c r="C391" s="474"/>
      <c r="D391" s="474"/>
      <c r="E391" s="474"/>
      <c r="F391" s="474"/>
      <c r="G391" s="474"/>
      <c r="H391" s="474"/>
      <c r="I391" s="474"/>
      <c r="J391" s="474"/>
      <c r="K391" s="474"/>
      <c r="L391" s="474"/>
      <c r="M391" s="474"/>
      <c r="N391" s="474"/>
      <c r="O391" s="474"/>
      <c r="P391" s="474"/>
      <c r="Q391" s="474"/>
      <c r="R391" s="474"/>
      <c r="S391" s="474"/>
      <c r="T391" s="474"/>
    </row>
    <row r="392" spans="1:20" s="472" customFormat="1" ht="19.5" customHeight="1">
      <c r="A392" s="471"/>
      <c r="B392" s="474"/>
      <c r="C392" s="474"/>
      <c r="D392" s="474"/>
      <c r="E392" s="474"/>
      <c r="F392" s="474"/>
      <c r="G392" s="474"/>
      <c r="H392" s="474"/>
      <c r="I392" s="474"/>
      <c r="J392" s="474"/>
      <c r="K392" s="474"/>
      <c r="L392" s="474"/>
      <c r="M392" s="474"/>
      <c r="N392" s="474"/>
      <c r="O392" s="474"/>
      <c r="P392" s="474"/>
      <c r="Q392" s="474"/>
      <c r="R392" s="474"/>
      <c r="S392" s="474"/>
      <c r="T392" s="474"/>
    </row>
    <row r="393" spans="1:20" s="472" customFormat="1" ht="19.5" customHeight="1">
      <c r="A393" s="471"/>
      <c r="B393" s="474"/>
      <c r="C393" s="474"/>
      <c r="D393" s="474"/>
      <c r="E393" s="474"/>
      <c r="F393" s="474"/>
      <c r="G393" s="474"/>
      <c r="H393" s="474"/>
      <c r="I393" s="474"/>
      <c r="J393" s="474"/>
      <c r="K393" s="474"/>
      <c r="L393" s="474"/>
      <c r="M393" s="474"/>
      <c r="N393" s="474"/>
      <c r="O393" s="474"/>
      <c r="P393" s="474"/>
      <c r="Q393" s="474"/>
      <c r="R393" s="474"/>
      <c r="S393" s="474"/>
      <c r="T393" s="474"/>
    </row>
    <row r="394" spans="1:20" s="472" customFormat="1" ht="19.5" customHeight="1">
      <c r="A394" s="471"/>
      <c r="B394" s="474"/>
      <c r="C394" s="474"/>
      <c r="D394" s="474"/>
      <c r="E394" s="474"/>
      <c r="F394" s="474"/>
      <c r="G394" s="474"/>
      <c r="H394" s="474"/>
      <c r="I394" s="474"/>
      <c r="J394" s="474"/>
      <c r="K394" s="474"/>
      <c r="L394" s="474"/>
      <c r="M394" s="474"/>
      <c r="N394" s="474"/>
      <c r="O394" s="474"/>
      <c r="P394" s="474"/>
      <c r="Q394" s="474"/>
      <c r="R394" s="474"/>
      <c r="S394" s="474"/>
      <c r="T394" s="474"/>
    </row>
    <row r="395" spans="1:20" s="472" customFormat="1" ht="19.5" customHeight="1">
      <c r="A395" s="471"/>
      <c r="B395" s="474"/>
      <c r="C395" s="474"/>
      <c r="D395" s="474"/>
      <c r="E395" s="474"/>
      <c r="F395" s="474"/>
      <c r="G395" s="474"/>
      <c r="H395" s="474"/>
      <c r="I395" s="474"/>
      <c r="J395" s="474"/>
      <c r="K395" s="474"/>
      <c r="L395" s="474"/>
      <c r="M395" s="474"/>
      <c r="N395" s="474"/>
      <c r="O395" s="474"/>
      <c r="P395" s="474"/>
      <c r="Q395" s="474"/>
      <c r="R395" s="474"/>
      <c r="S395" s="474"/>
      <c r="T395" s="474"/>
    </row>
    <row r="396" spans="1:20" s="472" customFormat="1" ht="19.5" customHeight="1">
      <c r="A396" s="471"/>
      <c r="B396" s="474"/>
      <c r="C396" s="474"/>
      <c r="D396" s="474"/>
      <c r="E396" s="474"/>
      <c r="F396" s="474"/>
      <c r="G396" s="474"/>
      <c r="H396" s="474"/>
      <c r="I396" s="474"/>
      <c r="J396" s="474"/>
      <c r="K396" s="474"/>
      <c r="L396" s="474"/>
      <c r="M396" s="474"/>
      <c r="N396" s="474"/>
      <c r="O396" s="474"/>
      <c r="P396" s="474"/>
      <c r="Q396" s="474"/>
      <c r="R396" s="474"/>
      <c r="S396" s="474"/>
      <c r="T396" s="474"/>
    </row>
    <row r="397" spans="1:20" s="472" customFormat="1" ht="19.5" customHeight="1">
      <c r="A397" s="471"/>
      <c r="B397" s="474"/>
      <c r="C397" s="474"/>
      <c r="D397" s="474"/>
      <c r="E397" s="474"/>
      <c r="F397" s="474"/>
      <c r="G397" s="474"/>
      <c r="H397" s="474"/>
      <c r="I397" s="474"/>
      <c r="J397" s="474"/>
      <c r="K397" s="474"/>
      <c r="L397" s="474"/>
      <c r="M397" s="474"/>
      <c r="N397" s="474"/>
      <c r="O397" s="474"/>
      <c r="P397" s="474"/>
      <c r="Q397" s="474"/>
      <c r="R397" s="474"/>
      <c r="S397" s="474"/>
      <c r="T397" s="474"/>
    </row>
    <row r="398" spans="1:20" s="472" customFormat="1" ht="19.5" customHeight="1">
      <c r="A398" s="471"/>
      <c r="B398" s="474"/>
      <c r="C398" s="474"/>
      <c r="D398" s="474"/>
      <c r="E398" s="474"/>
      <c r="F398" s="474"/>
      <c r="G398" s="474"/>
      <c r="H398" s="474"/>
      <c r="I398" s="474"/>
      <c r="J398" s="474"/>
      <c r="K398" s="474"/>
      <c r="L398" s="474"/>
      <c r="M398" s="474"/>
      <c r="N398" s="474"/>
      <c r="O398" s="474"/>
      <c r="P398" s="474"/>
      <c r="Q398" s="474"/>
      <c r="R398" s="474"/>
      <c r="S398" s="474"/>
      <c r="T398" s="474"/>
    </row>
    <row r="399" spans="1:20" s="472" customFormat="1" ht="19.5" customHeight="1">
      <c r="A399" s="471"/>
      <c r="B399" s="474"/>
      <c r="C399" s="474"/>
      <c r="D399" s="474"/>
      <c r="E399" s="474"/>
      <c r="F399" s="474"/>
      <c r="G399" s="474"/>
      <c r="H399" s="474"/>
      <c r="I399" s="474"/>
      <c r="J399" s="474"/>
      <c r="K399" s="474"/>
      <c r="L399" s="474"/>
      <c r="M399" s="474"/>
      <c r="N399" s="474"/>
      <c r="O399" s="474"/>
      <c r="P399" s="474"/>
      <c r="Q399" s="474"/>
      <c r="R399" s="474"/>
      <c r="S399" s="474"/>
      <c r="T399" s="474"/>
    </row>
    <row r="400" spans="1:20" s="472" customFormat="1" ht="19.5" customHeight="1">
      <c r="A400" s="471"/>
      <c r="B400" s="474"/>
      <c r="C400" s="474"/>
      <c r="D400" s="474"/>
      <c r="E400" s="474"/>
      <c r="F400" s="474"/>
      <c r="G400" s="474"/>
      <c r="H400" s="474"/>
      <c r="I400" s="474"/>
      <c r="J400" s="474"/>
      <c r="K400" s="474"/>
      <c r="L400" s="474"/>
      <c r="M400" s="474"/>
      <c r="N400" s="474"/>
      <c r="O400" s="474"/>
      <c r="P400" s="474"/>
      <c r="Q400" s="474"/>
      <c r="R400" s="474"/>
      <c r="S400" s="474"/>
      <c r="T400" s="474"/>
    </row>
    <row r="401" spans="1:20" s="472" customFormat="1" ht="19.5" customHeight="1">
      <c r="A401" s="471"/>
      <c r="B401" s="474"/>
      <c r="C401" s="474"/>
      <c r="D401" s="474"/>
      <c r="E401" s="474"/>
      <c r="F401" s="474"/>
      <c r="G401" s="474"/>
      <c r="H401" s="474"/>
      <c r="I401" s="474"/>
      <c r="J401" s="474"/>
      <c r="K401" s="474"/>
      <c r="L401" s="474"/>
      <c r="M401" s="474"/>
      <c r="N401" s="474"/>
      <c r="O401" s="474"/>
      <c r="P401" s="474"/>
      <c r="Q401" s="474"/>
      <c r="R401" s="474"/>
      <c r="S401" s="474"/>
      <c r="T401" s="474"/>
    </row>
    <row r="402" spans="1:20" s="472" customFormat="1" ht="19.5" customHeight="1">
      <c r="A402" s="471"/>
      <c r="B402" s="474"/>
      <c r="C402" s="474"/>
      <c r="D402" s="474"/>
      <c r="E402" s="474"/>
      <c r="F402" s="474"/>
      <c r="G402" s="474"/>
      <c r="H402" s="474"/>
      <c r="I402" s="474"/>
      <c r="J402" s="474"/>
      <c r="K402" s="474"/>
      <c r="L402" s="474"/>
      <c r="M402" s="474"/>
      <c r="N402" s="474"/>
      <c r="O402" s="474"/>
      <c r="P402" s="474"/>
      <c r="Q402" s="474"/>
      <c r="R402" s="474"/>
      <c r="S402" s="474"/>
      <c r="T402" s="474"/>
    </row>
    <row r="403" spans="1:20" s="472" customFormat="1" ht="19.5" customHeight="1">
      <c r="A403" s="471"/>
      <c r="B403" s="474"/>
      <c r="C403" s="474"/>
      <c r="D403" s="474"/>
      <c r="E403" s="474"/>
      <c r="F403" s="474"/>
      <c r="G403" s="474"/>
      <c r="H403" s="474"/>
      <c r="I403" s="474"/>
      <c r="J403" s="474"/>
      <c r="K403" s="474"/>
      <c r="L403" s="474"/>
      <c r="M403" s="474"/>
      <c r="N403" s="474"/>
      <c r="O403" s="474"/>
      <c r="P403" s="474"/>
      <c r="Q403" s="474"/>
      <c r="R403" s="474"/>
      <c r="S403" s="474"/>
      <c r="T403" s="474"/>
    </row>
    <row r="404" spans="1:20" s="472" customFormat="1" ht="19.5" customHeight="1">
      <c r="A404" s="471"/>
      <c r="B404" s="474"/>
      <c r="C404" s="474"/>
      <c r="D404" s="474"/>
      <c r="E404" s="474"/>
      <c r="F404" s="474"/>
      <c r="G404" s="474"/>
      <c r="H404" s="474"/>
      <c r="I404" s="474"/>
      <c r="J404" s="474"/>
      <c r="K404" s="474"/>
      <c r="L404" s="474"/>
      <c r="M404" s="474"/>
      <c r="N404" s="474"/>
      <c r="O404" s="474"/>
      <c r="P404" s="474"/>
      <c r="Q404" s="474"/>
      <c r="R404" s="474"/>
      <c r="S404" s="474"/>
      <c r="T404" s="474"/>
    </row>
    <row r="405" spans="1:20" s="472" customFormat="1" ht="19.5" customHeight="1">
      <c r="A405" s="471"/>
      <c r="B405" s="474"/>
      <c r="C405" s="474"/>
      <c r="D405" s="474"/>
      <c r="E405" s="474"/>
      <c r="F405" s="474"/>
      <c r="G405" s="474"/>
      <c r="H405" s="474"/>
      <c r="I405" s="474"/>
      <c r="J405" s="474"/>
      <c r="K405" s="474"/>
      <c r="L405" s="474"/>
      <c r="M405" s="474"/>
      <c r="N405" s="474"/>
      <c r="O405" s="474"/>
      <c r="P405" s="474"/>
      <c r="Q405" s="474"/>
      <c r="R405" s="474"/>
      <c r="S405" s="474"/>
      <c r="T405" s="474"/>
    </row>
    <row r="406" ht="19.5" customHeight="1"/>
    <row r="407" ht="9.75" customHeight="1"/>
    <row r="408" ht="19.5" customHeight="1"/>
    <row r="409" ht="19.5" customHeight="1"/>
    <row r="410" ht="19.5" customHeight="1"/>
    <row r="411" spans="1:20" s="472" customFormat="1" ht="19.5" customHeight="1">
      <c r="A411" s="471"/>
      <c r="B411" s="474"/>
      <c r="C411" s="474"/>
      <c r="D411" s="474"/>
      <c r="E411" s="474"/>
      <c r="F411" s="474"/>
      <c r="G411" s="474"/>
      <c r="H411" s="474"/>
      <c r="I411" s="474"/>
      <c r="J411" s="474"/>
      <c r="K411" s="474"/>
      <c r="L411" s="474"/>
      <c r="M411" s="474"/>
      <c r="N411" s="474"/>
      <c r="O411" s="474"/>
      <c r="P411" s="474"/>
      <c r="Q411" s="474"/>
      <c r="R411" s="474"/>
      <c r="S411" s="474"/>
      <c r="T411" s="474"/>
    </row>
    <row r="412" spans="1:20" s="472" customFormat="1" ht="19.5" customHeight="1">
      <c r="A412" s="471"/>
      <c r="B412" s="474"/>
      <c r="C412" s="474"/>
      <c r="D412" s="474"/>
      <c r="E412" s="474"/>
      <c r="F412" s="474"/>
      <c r="G412" s="474"/>
      <c r="H412" s="474"/>
      <c r="I412" s="474"/>
      <c r="J412" s="474"/>
      <c r="K412" s="474"/>
      <c r="L412" s="474"/>
      <c r="M412" s="474"/>
      <c r="N412" s="474"/>
      <c r="O412" s="474"/>
      <c r="P412" s="474"/>
      <c r="Q412" s="474"/>
      <c r="R412" s="474"/>
      <c r="S412" s="474"/>
      <c r="T412" s="474"/>
    </row>
    <row r="413" spans="1:20" s="472" customFormat="1" ht="19.5" customHeight="1">
      <c r="A413" s="471"/>
      <c r="B413" s="474"/>
      <c r="C413" s="474"/>
      <c r="D413" s="474"/>
      <c r="E413" s="474"/>
      <c r="F413" s="474"/>
      <c r="G413" s="474"/>
      <c r="H413" s="474"/>
      <c r="I413" s="474"/>
      <c r="J413" s="474"/>
      <c r="K413" s="474"/>
      <c r="L413" s="474"/>
      <c r="M413" s="474"/>
      <c r="N413" s="474"/>
      <c r="O413" s="474"/>
      <c r="P413" s="474"/>
      <c r="Q413" s="474"/>
      <c r="R413" s="474"/>
      <c r="S413" s="474"/>
      <c r="T413" s="474"/>
    </row>
    <row r="414" spans="1:20" s="472" customFormat="1" ht="19.5" customHeight="1">
      <c r="A414" s="471"/>
      <c r="B414" s="474"/>
      <c r="C414" s="474"/>
      <c r="D414" s="474"/>
      <c r="E414" s="474"/>
      <c r="F414" s="474"/>
      <c r="G414" s="474"/>
      <c r="H414" s="474"/>
      <c r="I414" s="474"/>
      <c r="J414" s="474"/>
      <c r="K414" s="474"/>
      <c r="L414" s="474"/>
      <c r="M414" s="474"/>
      <c r="N414" s="474"/>
      <c r="O414" s="474"/>
      <c r="P414" s="474"/>
      <c r="Q414" s="474"/>
      <c r="R414" s="474"/>
      <c r="S414" s="474"/>
      <c r="T414" s="474"/>
    </row>
    <row r="415" spans="1:20" s="472" customFormat="1" ht="19.5" customHeight="1">
      <c r="A415" s="471"/>
      <c r="B415" s="474"/>
      <c r="C415" s="474"/>
      <c r="D415" s="474"/>
      <c r="E415" s="474"/>
      <c r="F415" s="474"/>
      <c r="G415" s="474"/>
      <c r="H415" s="474"/>
      <c r="I415" s="474"/>
      <c r="J415" s="474"/>
      <c r="K415" s="474"/>
      <c r="L415" s="474"/>
      <c r="M415" s="474"/>
      <c r="N415" s="474"/>
      <c r="O415" s="474"/>
      <c r="P415" s="474"/>
      <c r="Q415" s="474"/>
      <c r="R415" s="474"/>
      <c r="S415" s="474"/>
      <c r="T415" s="474"/>
    </row>
    <row r="416" spans="1:20" s="472" customFormat="1" ht="19.5" customHeight="1">
      <c r="A416" s="471"/>
      <c r="B416" s="474"/>
      <c r="C416" s="474"/>
      <c r="D416" s="474"/>
      <c r="E416" s="474"/>
      <c r="F416" s="474"/>
      <c r="G416" s="474"/>
      <c r="H416" s="474"/>
      <c r="I416" s="474"/>
      <c r="J416" s="474"/>
      <c r="K416" s="474"/>
      <c r="L416" s="474"/>
      <c r="M416" s="474"/>
      <c r="N416" s="474"/>
      <c r="O416" s="474"/>
      <c r="P416" s="474"/>
      <c r="Q416" s="474"/>
      <c r="R416" s="474"/>
      <c r="S416" s="474"/>
      <c r="T416" s="474"/>
    </row>
    <row r="417" spans="1:20" s="472" customFormat="1" ht="19.5" customHeight="1">
      <c r="A417" s="471"/>
      <c r="B417" s="474"/>
      <c r="C417" s="474"/>
      <c r="D417" s="474"/>
      <c r="E417" s="474"/>
      <c r="F417" s="474"/>
      <c r="G417" s="474"/>
      <c r="H417" s="474"/>
      <c r="I417" s="474"/>
      <c r="J417" s="474"/>
      <c r="K417" s="474"/>
      <c r="L417" s="474"/>
      <c r="M417" s="474"/>
      <c r="N417" s="474"/>
      <c r="O417" s="474"/>
      <c r="P417" s="474"/>
      <c r="Q417" s="474"/>
      <c r="R417" s="474"/>
      <c r="S417" s="474"/>
      <c r="T417" s="474"/>
    </row>
    <row r="418" spans="1:20" s="472" customFormat="1" ht="19.5" customHeight="1">
      <c r="A418" s="471"/>
      <c r="B418" s="474"/>
      <c r="C418" s="474"/>
      <c r="D418" s="474"/>
      <c r="E418" s="474"/>
      <c r="F418" s="474"/>
      <c r="G418" s="474"/>
      <c r="H418" s="474"/>
      <c r="I418" s="474"/>
      <c r="J418" s="474"/>
      <c r="K418" s="474"/>
      <c r="L418" s="474"/>
      <c r="M418" s="474"/>
      <c r="N418" s="474"/>
      <c r="O418" s="474"/>
      <c r="P418" s="474"/>
      <c r="Q418" s="474"/>
      <c r="R418" s="474"/>
      <c r="S418" s="474"/>
      <c r="T418" s="474"/>
    </row>
    <row r="419" spans="1:20" s="472" customFormat="1" ht="19.5" customHeight="1">
      <c r="A419" s="471"/>
      <c r="B419" s="474"/>
      <c r="C419" s="474"/>
      <c r="D419" s="474"/>
      <c r="E419" s="474"/>
      <c r="F419" s="474"/>
      <c r="G419" s="474"/>
      <c r="H419" s="474"/>
      <c r="I419" s="474"/>
      <c r="J419" s="474"/>
      <c r="K419" s="474"/>
      <c r="L419" s="474"/>
      <c r="M419" s="474"/>
      <c r="N419" s="474"/>
      <c r="O419" s="474"/>
      <c r="P419" s="474"/>
      <c r="Q419" s="474"/>
      <c r="R419" s="474"/>
      <c r="S419" s="474"/>
      <c r="T419" s="474"/>
    </row>
    <row r="420" spans="1:20" s="472" customFormat="1" ht="19.5" customHeight="1">
      <c r="A420" s="471"/>
      <c r="B420" s="474"/>
      <c r="C420" s="474"/>
      <c r="D420" s="474"/>
      <c r="E420" s="474"/>
      <c r="F420" s="474"/>
      <c r="G420" s="474"/>
      <c r="H420" s="474"/>
      <c r="I420" s="474"/>
      <c r="J420" s="474"/>
      <c r="K420" s="474"/>
      <c r="L420" s="474"/>
      <c r="M420" s="474"/>
      <c r="N420" s="474"/>
      <c r="O420" s="474"/>
      <c r="P420" s="474"/>
      <c r="Q420" s="474"/>
      <c r="R420" s="474"/>
      <c r="S420" s="474"/>
      <c r="T420" s="474"/>
    </row>
    <row r="421" spans="1:20" s="472" customFormat="1" ht="19.5" customHeight="1">
      <c r="A421" s="471"/>
      <c r="B421" s="474"/>
      <c r="C421" s="474"/>
      <c r="D421" s="474"/>
      <c r="E421" s="474"/>
      <c r="F421" s="474"/>
      <c r="G421" s="474"/>
      <c r="H421" s="474"/>
      <c r="I421" s="474"/>
      <c r="J421" s="474"/>
      <c r="K421" s="474"/>
      <c r="L421" s="474"/>
      <c r="M421" s="474"/>
      <c r="N421" s="474"/>
      <c r="O421" s="474"/>
      <c r="P421" s="474"/>
      <c r="Q421" s="474"/>
      <c r="R421" s="474"/>
      <c r="S421" s="474"/>
      <c r="T421" s="474"/>
    </row>
    <row r="422" spans="1:20" s="472" customFormat="1" ht="19.5" customHeight="1">
      <c r="A422" s="471"/>
      <c r="B422" s="474"/>
      <c r="C422" s="474"/>
      <c r="D422" s="474"/>
      <c r="E422" s="474"/>
      <c r="F422" s="474"/>
      <c r="G422" s="474"/>
      <c r="H422" s="474"/>
      <c r="I422" s="474"/>
      <c r="J422" s="474"/>
      <c r="K422" s="474"/>
      <c r="L422" s="474"/>
      <c r="M422" s="474"/>
      <c r="N422" s="474"/>
      <c r="O422" s="474"/>
      <c r="P422" s="474"/>
      <c r="Q422" s="474"/>
      <c r="R422" s="474"/>
      <c r="S422" s="474"/>
      <c r="T422" s="474"/>
    </row>
    <row r="423" spans="1:20" s="472" customFormat="1" ht="19.5" customHeight="1">
      <c r="A423" s="471"/>
      <c r="B423" s="474"/>
      <c r="C423" s="474"/>
      <c r="D423" s="474"/>
      <c r="E423" s="474"/>
      <c r="F423" s="474"/>
      <c r="G423" s="474"/>
      <c r="H423" s="474"/>
      <c r="I423" s="474"/>
      <c r="J423" s="474"/>
      <c r="K423" s="474"/>
      <c r="L423" s="474"/>
      <c r="M423" s="474"/>
      <c r="N423" s="474"/>
      <c r="O423" s="474"/>
      <c r="P423" s="474"/>
      <c r="Q423" s="474"/>
      <c r="R423" s="474"/>
      <c r="S423" s="474"/>
      <c r="T423" s="474"/>
    </row>
    <row r="424" spans="1:20" s="472" customFormat="1" ht="19.5" customHeight="1">
      <c r="A424" s="471"/>
      <c r="B424" s="474"/>
      <c r="C424" s="474"/>
      <c r="D424" s="474"/>
      <c r="E424" s="474"/>
      <c r="F424" s="474"/>
      <c r="G424" s="474"/>
      <c r="H424" s="474"/>
      <c r="I424" s="474"/>
      <c r="J424" s="474"/>
      <c r="K424" s="474"/>
      <c r="L424" s="474"/>
      <c r="M424" s="474"/>
      <c r="N424" s="474"/>
      <c r="O424" s="474"/>
      <c r="P424" s="474"/>
      <c r="Q424" s="474"/>
      <c r="R424" s="474"/>
      <c r="S424" s="474"/>
      <c r="T424" s="474"/>
    </row>
    <row r="425" spans="1:20" s="472" customFormat="1" ht="19.5" customHeight="1">
      <c r="A425" s="471"/>
      <c r="B425" s="474"/>
      <c r="C425" s="474"/>
      <c r="D425" s="474"/>
      <c r="E425" s="474"/>
      <c r="F425" s="474"/>
      <c r="G425" s="474"/>
      <c r="H425" s="474"/>
      <c r="I425" s="474"/>
      <c r="J425" s="474"/>
      <c r="K425" s="474"/>
      <c r="L425" s="474"/>
      <c r="M425" s="474"/>
      <c r="N425" s="474"/>
      <c r="O425" s="474"/>
      <c r="P425" s="474"/>
      <c r="Q425" s="474"/>
      <c r="R425" s="474"/>
      <c r="S425" s="474"/>
      <c r="T425" s="474"/>
    </row>
    <row r="426" spans="1:20" s="472" customFormat="1" ht="19.5" customHeight="1">
      <c r="A426" s="471"/>
      <c r="B426" s="474"/>
      <c r="C426" s="474"/>
      <c r="D426" s="474"/>
      <c r="E426" s="474"/>
      <c r="F426" s="474"/>
      <c r="G426" s="474"/>
      <c r="H426" s="474"/>
      <c r="I426" s="474"/>
      <c r="J426" s="474"/>
      <c r="K426" s="474"/>
      <c r="L426" s="474"/>
      <c r="M426" s="474"/>
      <c r="N426" s="474"/>
      <c r="O426" s="474"/>
      <c r="P426" s="474"/>
      <c r="Q426" s="474"/>
      <c r="R426" s="474"/>
      <c r="S426" s="474"/>
      <c r="T426" s="474"/>
    </row>
    <row r="427" spans="1:20" s="472" customFormat="1" ht="19.5" customHeight="1">
      <c r="A427" s="471"/>
      <c r="B427" s="474"/>
      <c r="C427" s="474"/>
      <c r="D427" s="474"/>
      <c r="E427" s="474"/>
      <c r="F427" s="474"/>
      <c r="G427" s="474"/>
      <c r="H427" s="474"/>
      <c r="I427" s="474"/>
      <c r="J427" s="474"/>
      <c r="K427" s="474"/>
      <c r="L427" s="474"/>
      <c r="M427" s="474"/>
      <c r="N427" s="474"/>
      <c r="O427" s="474"/>
      <c r="P427" s="474"/>
      <c r="Q427" s="474"/>
      <c r="R427" s="474"/>
      <c r="S427" s="474"/>
      <c r="T427" s="474"/>
    </row>
    <row r="428" spans="1:20" s="472" customFormat="1" ht="19.5" customHeight="1">
      <c r="A428" s="471"/>
      <c r="B428" s="474"/>
      <c r="C428" s="474"/>
      <c r="D428" s="474"/>
      <c r="E428" s="474"/>
      <c r="F428" s="474"/>
      <c r="G428" s="474"/>
      <c r="H428" s="474"/>
      <c r="I428" s="474"/>
      <c r="J428" s="474"/>
      <c r="K428" s="474"/>
      <c r="L428" s="474"/>
      <c r="M428" s="474"/>
      <c r="N428" s="474"/>
      <c r="O428" s="474"/>
      <c r="P428" s="474"/>
      <c r="Q428" s="474"/>
      <c r="R428" s="474"/>
      <c r="S428" s="474"/>
      <c r="T428" s="474"/>
    </row>
    <row r="429" spans="1:20" s="472" customFormat="1" ht="19.5" customHeight="1">
      <c r="A429" s="471"/>
      <c r="B429" s="474"/>
      <c r="C429" s="474"/>
      <c r="D429" s="474"/>
      <c r="E429" s="474"/>
      <c r="F429" s="474"/>
      <c r="G429" s="474"/>
      <c r="H429" s="474"/>
      <c r="I429" s="474"/>
      <c r="J429" s="474"/>
      <c r="K429" s="474"/>
      <c r="L429" s="474"/>
      <c r="M429" s="474"/>
      <c r="N429" s="474"/>
      <c r="O429" s="474"/>
      <c r="P429" s="474"/>
      <c r="Q429" s="474"/>
      <c r="R429" s="474"/>
      <c r="S429" s="474"/>
      <c r="T429" s="474"/>
    </row>
    <row r="430" spans="1:20" s="472" customFormat="1" ht="19.5" customHeight="1">
      <c r="A430" s="471"/>
      <c r="B430" s="474"/>
      <c r="C430" s="474"/>
      <c r="D430" s="474"/>
      <c r="E430" s="474"/>
      <c r="F430" s="474"/>
      <c r="G430" s="474"/>
      <c r="H430" s="474"/>
      <c r="I430" s="474"/>
      <c r="J430" s="474"/>
      <c r="K430" s="474"/>
      <c r="L430" s="474"/>
      <c r="M430" s="474"/>
      <c r="N430" s="474"/>
      <c r="O430" s="474"/>
      <c r="P430" s="474"/>
      <c r="Q430" s="474"/>
      <c r="R430" s="474"/>
      <c r="S430" s="474"/>
      <c r="T430" s="474"/>
    </row>
    <row r="431" spans="1:20" s="472" customFormat="1" ht="19.5" customHeight="1">
      <c r="A431" s="471"/>
      <c r="B431" s="474"/>
      <c r="C431" s="474"/>
      <c r="D431" s="474"/>
      <c r="E431" s="474"/>
      <c r="F431" s="474"/>
      <c r="G431" s="474"/>
      <c r="H431" s="474"/>
      <c r="I431" s="474"/>
      <c r="J431" s="474"/>
      <c r="K431" s="474"/>
      <c r="L431" s="474"/>
      <c r="M431" s="474"/>
      <c r="N431" s="474"/>
      <c r="O431" s="474"/>
      <c r="P431" s="474"/>
      <c r="Q431" s="474"/>
      <c r="R431" s="474"/>
      <c r="S431" s="474"/>
      <c r="T431" s="474"/>
    </row>
    <row r="432" spans="1:20" s="472" customFormat="1" ht="19.5" customHeight="1">
      <c r="A432" s="471"/>
      <c r="B432" s="474"/>
      <c r="C432" s="474"/>
      <c r="D432" s="474"/>
      <c r="E432" s="474"/>
      <c r="F432" s="474"/>
      <c r="G432" s="474"/>
      <c r="H432" s="474"/>
      <c r="I432" s="474"/>
      <c r="J432" s="474"/>
      <c r="K432" s="474"/>
      <c r="L432" s="474"/>
      <c r="M432" s="474"/>
      <c r="N432" s="474"/>
      <c r="O432" s="474"/>
      <c r="P432" s="474"/>
      <c r="Q432" s="474"/>
      <c r="R432" s="474"/>
      <c r="S432" s="474"/>
      <c r="T432" s="474"/>
    </row>
    <row r="433" spans="1:20" s="472" customFormat="1" ht="19.5" customHeight="1">
      <c r="A433" s="471"/>
      <c r="B433" s="474"/>
      <c r="C433" s="474"/>
      <c r="D433" s="474"/>
      <c r="E433" s="474"/>
      <c r="F433" s="474"/>
      <c r="G433" s="474"/>
      <c r="H433" s="474"/>
      <c r="I433" s="474"/>
      <c r="J433" s="474"/>
      <c r="K433" s="474"/>
      <c r="L433" s="474"/>
      <c r="M433" s="474"/>
      <c r="N433" s="474"/>
      <c r="O433" s="474"/>
      <c r="P433" s="474"/>
      <c r="Q433" s="474"/>
      <c r="R433" s="474"/>
      <c r="S433" s="474"/>
      <c r="T433" s="474"/>
    </row>
    <row r="434" spans="1:20" s="472" customFormat="1" ht="19.5" customHeight="1">
      <c r="A434" s="471"/>
      <c r="B434" s="474"/>
      <c r="C434" s="474"/>
      <c r="D434" s="474"/>
      <c r="E434" s="474"/>
      <c r="F434" s="474"/>
      <c r="G434" s="474"/>
      <c r="H434" s="474"/>
      <c r="I434" s="474"/>
      <c r="J434" s="474"/>
      <c r="K434" s="474"/>
      <c r="L434" s="474"/>
      <c r="M434" s="474"/>
      <c r="N434" s="474"/>
      <c r="O434" s="474"/>
      <c r="P434" s="474"/>
      <c r="Q434" s="474"/>
      <c r="R434" s="474"/>
      <c r="S434" s="474"/>
      <c r="T434" s="474"/>
    </row>
    <row r="435" spans="1:20" s="472" customFormat="1" ht="19.5" customHeight="1">
      <c r="A435" s="471"/>
      <c r="B435" s="474"/>
      <c r="C435" s="474"/>
      <c r="D435" s="474"/>
      <c r="E435" s="474"/>
      <c r="F435" s="474"/>
      <c r="G435" s="474"/>
      <c r="H435" s="474"/>
      <c r="I435" s="474"/>
      <c r="J435" s="474"/>
      <c r="K435" s="474"/>
      <c r="L435" s="474"/>
      <c r="M435" s="474"/>
      <c r="N435" s="474"/>
      <c r="O435" s="474"/>
      <c r="P435" s="474"/>
      <c r="Q435" s="474"/>
      <c r="R435" s="474"/>
      <c r="S435" s="474"/>
      <c r="T435" s="474"/>
    </row>
    <row r="436" spans="1:20" s="472" customFormat="1" ht="19.5" customHeight="1">
      <c r="A436" s="471"/>
      <c r="B436" s="474"/>
      <c r="C436" s="474"/>
      <c r="D436" s="474"/>
      <c r="E436" s="474"/>
      <c r="F436" s="474"/>
      <c r="G436" s="474"/>
      <c r="H436" s="474"/>
      <c r="I436" s="474"/>
      <c r="J436" s="474"/>
      <c r="K436" s="474"/>
      <c r="L436" s="474"/>
      <c r="M436" s="474"/>
      <c r="N436" s="474"/>
      <c r="O436" s="474"/>
      <c r="P436" s="474"/>
      <c r="Q436" s="474"/>
      <c r="R436" s="474"/>
      <c r="S436" s="474"/>
      <c r="T436" s="474"/>
    </row>
    <row r="437" spans="1:20" s="472" customFormat="1" ht="19.5" customHeight="1">
      <c r="A437" s="471"/>
      <c r="B437" s="474"/>
      <c r="C437" s="474"/>
      <c r="D437" s="474"/>
      <c r="E437" s="474"/>
      <c r="F437" s="474"/>
      <c r="G437" s="474"/>
      <c r="H437" s="474"/>
      <c r="I437" s="474"/>
      <c r="J437" s="474"/>
      <c r="K437" s="474"/>
      <c r="L437" s="474"/>
      <c r="M437" s="474"/>
      <c r="N437" s="474"/>
      <c r="O437" s="474"/>
      <c r="P437" s="474"/>
      <c r="Q437" s="474"/>
      <c r="R437" s="474"/>
      <c r="S437" s="474"/>
      <c r="T437" s="474"/>
    </row>
    <row r="438" spans="1:20" s="472" customFormat="1" ht="19.5" customHeight="1">
      <c r="A438" s="471"/>
      <c r="B438" s="474"/>
      <c r="C438" s="474"/>
      <c r="D438" s="474"/>
      <c r="E438" s="474"/>
      <c r="F438" s="474"/>
      <c r="G438" s="474"/>
      <c r="H438" s="474"/>
      <c r="I438" s="474"/>
      <c r="J438" s="474"/>
      <c r="K438" s="474"/>
      <c r="L438" s="474"/>
      <c r="M438" s="474"/>
      <c r="N438" s="474"/>
      <c r="O438" s="474"/>
      <c r="P438" s="474"/>
      <c r="Q438" s="474"/>
      <c r="R438" s="474"/>
      <c r="S438" s="474"/>
      <c r="T438" s="474"/>
    </row>
    <row r="439" spans="1:20" s="472" customFormat="1" ht="19.5" customHeight="1">
      <c r="A439" s="471"/>
      <c r="B439" s="474"/>
      <c r="C439" s="474"/>
      <c r="D439" s="474"/>
      <c r="E439" s="474"/>
      <c r="F439" s="474"/>
      <c r="G439" s="474"/>
      <c r="H439" s="474"/>
      <c r="I439" s="474"/>
      <c r="J439" s="474"/>
      <c r="K439" s="474"/>
      <c r="L439" s="474"/>
      <c r="M439" s="474"/>
      <c r="N439" s="474"/>
      <c r="O439" s="474"/>
      <c r="P439" s="474"/>
      <c r="Q439" s="474"/>
      <c r="R439" s="474"/>
      <c r="S439" s="474"/>
      <c r="T439" s="474"/>
    </row>
    <row r="440" spans="1:20" s="472" customFormat="1" ht="19.5" customHeight="1">
      <c r="A440" s="471"/>
      <c r="B440" s="474"/>
      <c r="C440" s="474"/>
      <c r="D440" s="474"/>
      <c r="E440" s="474"/>
      <c r="F440" s="474"/>
      <c r="G440" s="474"/>
      <c r="H440" s="474"/>
      <c r="I440" s="474"/>
      <c r="J440" s="474"/>
      <c r="K440" s="474"/>
      <c r="L440" s="474"/>
      <c r="M440" s="474"/>
      <c r="N440" s="474"/>
      <c r="O440" s="474"/>
      <c r="P440" s="474"/>
      <c r="Q440" s="474"/>
      <c r="R440" s="474"/>
      <c r="S440" s="474"/>
      <c r="T440" s="474"/>
    </row>
    <row r="441" spans="1:20" s="472" customFormat="1" ht="19.5" customHeight="1">
      <c r="A441" s="471"/>
      <c r="B441" s="474"/>
      <c r="C441" s="474"/>
      <c r="D441" s="474"/>
      <c r="E441" s="474"/>
      <c r="F441" s="474"/>
      <c r="G441" s="474"/>
      <c r="H441" s="474"/>
      <c r="I441" s="474"/>
      <c r="J441" s="474"/>
      <c r="K441" s="474"/>
      <c r="L441" s="474"/>
      <c r="M441" s="474"/>
      <c r="N441" s="474"/>
      <c r="O441" s="474"/>
      <c r="P441" s="474"/>
      <c r="Q441" s="474"/>
      <c r="R441" s="474"/>
      <c r="S441" s="474"/>
      <c r="T441" s="474"/>
    </row>
    <row r="442" spans="1:20" s="472" customFormat="1" ht="19.5" customHeight="1">
      <c r="A442" s="471"/>
      <c r="B442" s="474"/>
      <c r="C442" s="474"/>
      <c r="D442" s="474"/>
      <c r="E442" s="474"/>
      <c r="F442" s="474"/>
      <c r="G442" s="474"/>
      <c r="H442" s="474"/>
      <c r="I442" s="474"/>
      <c r="J442" s="474"/>
      <c r="K442" s="474"/>
      <c r="L442" s="474"/>
      <c r="M442" s="474"/>
      <c r="N442" s="474"/>
      <c r="O442" s="474"/>
      <c r="P442" s="474"/>
      <c r="Q442" s="474"/>
      <c r="R442" s="474"/>
      <c r="S442" s="474"/>
      <c r="T442" s="474"/>
    </row>
    <row r="443" spans="1:20" s="472" customFormat="1" ht="19.5" customHeight="1">
      <c r="A443" s="471"/>
      <c r="B443" s="474"/>
      <c r="C443" s="474"/>
      <c r="D443" s="474"/>
      <c r="E443" s="474"/>
      <c r="F443" s="474"/>
      <c r="G443" s="474"/>
      <c r="H443" s="474"/>
      <c r="I443" s="474"/>
      <c r="J443" s="474"/>
      <c r="K443" s="474"/>
      <c r="L443" s="474"/>
      <c r="M443" s="474"/>
      <c r="N443" s="474"/>
      <c r="O443" s="474"/>
      <c r="P443" s="474"/>
      <c r="Q443" s="474"/>
      <c r="R443" s="474"/>
      <c r="S443" s="474"/>
      <c r="T443" s="474"/>
    </row>
    <row r="444" spans="1:20" s="472" customFormat="1" ht="19.5" customHeight="1">
      <c r="A444" s="471"/>
      <c r="B444" s="474"/>
      <c r="C444" s="474"/>
      <c r="D444" s="474"/>
      <c r="E444" s="474"/>
      <c r="F444" s="474"/>
      <c r="G444" s="474"/>
      <c r="H444" s="474"/>
      <c r="I444" s="474"/>
      <c r="J444" s="474"/>
      <c r="K444" s="474"/>
      <c r="L444" s="474"/>
      <c r="M444" s="474"/>
      <c r="N444" s="474"/>
      <c r="O444" s="474"/>
      <c r="P444" s="474"/>
      <c r="Q444" s="474"/>
      <c r="R444" s="474"/>
      <c r="S444" s="474"/>
      <c r="T444" s="474"/>
    </row>
    <row r="445" spans="1:20" s="472" customFormat="1" ht="19.5" customHeight="1">
      <c r="A445" s="471"/>
      <c r="B445" s="474"/>
      <c r="C445" s="474"/>
      <c r="D445" s="474"/>
      <c r="E445" s="474"/>
      <c r="F445" s="474"/>
      <c r="G445" s="474"/>
      <c r="H445" s="474"/>
      <c r="I445" s="474"/>
      <c r="J445" s="474"/>
      <c r="K445" s="474"/>
      <c r="L445" s="474"/>
      <c r="M445" s="474"/>
      <c r="N445" s="474"/>
      <c r="O445" s="474"/>
      <c r="P445" s="474"/>
      <c r="Q445" s="474"/>
      <c r="R445" s="474"/>
      <c r="S445" s="474"/>
      <c r="T445" s="474"/>
    </row>
    <row r="446" spans="1:20" s="472" customFormat="1" ht="19.5" customHeight="1">
      <c r="A446" s="471"/>
      <c r="B446" s="474"/>
      <c r="C446" s="474"/>
      <c r="D446" s="474"/>
      <c r="E446" s="474"/>
      <c r="F446" s="474"/>
      <c r="G446" s="474"/>
      <c r="H446" s="474"/>
      <c r="I446" s="474"/>
      <c r="J446" s="474"/>
      <c r="K446" s="474"/>
      <c r="L446" s="474"/>
      <c r="M446" s="474"/>
      <c r="N446" s="474"/>
      <c r="O446" s="474"/>
      <c r="P446" s="474"/>
      <c r="Q446" s="474"/>
      <c r="R446" s="474"/>
      <c r="S446" s="474"/>
      <c r="T446" s="474"/>
    </row>
    <row r="447" spans="1:20" s="472" customFormat="1" ht="19.5" customHeight="1">
      <c r="A447" s="471"/>
      <c r="B447" s="474"/>
      <c r="C447" s="474"/>
      <c r="D447" s="474"/>
      <c r="E447" s="474"/>
      <c r="F447" s="474"/>
      <c r="G447" s="474"/>
      <c r="H447" s="474"/>
      <c r="I447" s="474"/>
      <c r="J447" s="474"/>
      <c r="K447" s="474"/>
      <c r="L447" s="474"/>
      <c r="M447" s="474"/>
      <c r="N447" s="474"/>
      <c r="O447" s="474"/>
      <c r="P447" s="474"/>
      <c r="Q447" s="474"/>
      <c r="R447" s="474"/>
      <c r="S447" s="474"/>
      <c r="T447" s="474"/>
    </row>
    <row r="448" ht="19.5" customHeight="1"/>
    <row r="449" ht="9.75" customHeight="1"/>
  </sheetData>
  <sheetProtection/>
  <mergeCells count="17">
    <mergeCell ref="A2:T2"/>
    <mergeCell ref="A3:T3"/>
    <mergeCell ref="A4:T4"/>
    <mergeCell ref="A6:T6"/>
    <mergeCell ref="A7:T7"/>
    <mergeCell ref="A8:B9"/>
    <mergeCell ref="H8:I8"/>
    <mergeCell ref="J8:M8"/>
    <mergeCell ref="N8:O8"/>
    <mergeCell ref="P8:T8"/>
    <mergeCell ref="A33:B33"/>
    <mergeCell ref="E8:G8"/>
    <mergeCell ref="C8:C10"/>
    <mergeCell ref="D8:D10"/>
    <mergeCell ref="A12:T12"/>
    <mergeCell ref="A10:A11"/>
    <mergeCell ref="B10:B11"/>
  </mergeCells>
  <conditionalFormatting sqref="P10:S10 B25:B32 E10:F10 L10:M10 E13:O32 B13:D24">
    <cfRule type="cellIs" priority="75" dxfId="0" operator="equal">
      <formula>0</formula>
    </cfRule>
  </conditionalFormatting>
  <conditionalFormatting sqref="J10:K10">
    <cfRule type="cellIs" priority="74" dxfId="0" operator="equal">
      <formula>0</formula>
    </cfRule>
  </conditionalFormatting>
  <conditionalFormatting sqref="N10">
    <cfRule type="cellIs" priority="71" dxfId="0" operator="equal">
      <formula>0</formula>
    </cfRule>
  </conditionalFormatting>
  <conditionalFormatting sqref="A10:B10">
    <cfRule type="cellIs" priority="67" dxfId="0" operator="equal">
      <formula>0</formula>
    </cfRule>
  </conditionalFormatting>
  <conditionalFormatting sqref="P13:T32">
    <cfRule type="cellIs" priority="70" dxfId="0" operator="equal">
      <formula>0</formula>
    </cfRule>
  </conditionalFormatting>
  <conditionalFormatting sqref="I10">
    <cfRule type="cellIs" priority="69" dxfId="0" operator="equal">
      <formula>0</formula>
    </cfRule>
  </conditionalFormatting>
  <conditionalFormatting sqref="D25:D32">
    <cfRule type="cellIs" priority="51" dxfId="0" operator="equal">
      <formula>0</formula>
    </cfRule>
  </conditionalFormatting>
  <conditionalFormatting sqref="T10">
    <cfRule type="cellIs" priority="36" dxfId="0" operator="equal">
      <formula>0</formula>
    </cfRule>
  </conditionalFormatting>
  <conditionalFormatting sqref="H10">
    <cfRule type="cellIs" priority="35" dxfId="0" operator="equal">
      <formula>0</formula>
    </cfRule>
  </conditionalFormatting>
  <conditionalFormatting sqref="C25:C32">
    <cfRule type="cellIs" priority="13" dxfId="0" operator="equal">
      <formula>0</formula>
    </cfRule>
  </conditionalFormatting>
  <conditionalFormatting sqref="G10">
    <cfRule type="cellIs" priority="8" dxfId="0" operator="equal">
      <formula>0</formula>
    </cfRule>
  </conditionalFormatting>
  <conditionalFormatting sqref="O10">
    <cfRule type="cellIs" priority="5" dxfId="0" operator="equal">
      <formula>0</formula>
    </cfRule>
  </conditionalFormatting>
  <conditionalFormatting sqref="J11:O11 E11:G11">
    <cfRule type="cellIs" priority="4" dxfId="0" operator="equal">
      <formula>0</formula>
    </cfRule>
  </conditionalFormatting>
  <conditionalFormatting sqref="P11:T11">
    <cfRule type="cellIs" priority="3" dxfId="0" operator="equal">
      <formula>0</formula>
    </cfRule>
  </conditionalFormatting>
  <conditionalFormatting sqref="H11:I11">
    <cfRule type="cellIs" priority="2" dxfId="0" operator="equal">
      <formula>0</formula>
    </cfRule>
  </conditionalFormatting>
  <conditionalFormatting sqref="C11:D11">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2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Q28"/>
  <sheetViews>
    <sheetView tabSelected="1" view="pageBreakPreview" zoomScale="85" zoomScaleNormal="85" zoomScaleSheetLayoutView="85" zoomScalePageLayoutView="0" workbookViewId="0" topLeftCell="A11">
      <selection activeCell="P29" sqref="P29"/>
    </sheetView>
  </sheetViews>
  <sheetFormatPr defaultColWidth="12.00390625" defaultRowHeight="12.75"/>
  <cols>
    <col min="1" max="1" width="8.28125" style="58" customWidth="1"/>
    <col min="2" max="2" width="29.421875" style="58" customWidth="1"/>
    <col min="3" max="3" width="12.28125" style="58" bestFit="1" customWidth="1"/>
    <col min="4" max="4" width="14.7109375" style="58" customWidth="1"/>
    <col min="5" max="5" width="10.7109375" style="58" customWidth="1"/>
    <col min="6" max="6" width="11.00390625" style="58" bestFit="1" customWidth="1"/>
    <col min="7" max="7" width="10.7109375" style="58" customWidth="1"/>
    <col min="8" max="8" width="11.00390625" style="58" bestFit="1" customWidth="1"/>
    <col min="9" max="9" width="10.7109375" style="58" bestFit="1" customWidth="1"/>
    <col min="10" max="10" width="12.8515625" style="58" customWidth="1"/>
    <col min="11" max="11" width="10.7109375" style="58" bestFit="1" customWidth="1"/>
    <col min="12" max="12" width="14.7109375" style="58" customWidth="1"/>
    <col min="13" max="13" width="10.7109375" style="58" bestFit="1" customWidth="1"/>
    <col min="14" max="14" width="14.7109375" style="58" customWidth="1"/>
    <col min="15" max="15" width="10.7109375" style="58" bestFit="1" customWidth="1"/>
    <col min="16" max="16" width="14.7109375" style="58" customWidth="1"/>
    <col min="17" max="247" width="9.140625" style="58" customWidth="1"/>
    <col min="248" max="248" width="8.28125" style="58" customWidth="1"/>
    <col min="249" max="249" width="31.140625" style="58" customWidth="1"/>
    <col min="250" max="250" width="8.140625" style="58" customWidth="1"/>
    <col min="251" max="251" width="12.00390625" style="58" customWidth="1"/>
    <col min="252" max="16384" width="12.00390625" style="145" customWidth="1"/>
  </cols>
  <sheetData>
    <row r="1" spans="1:16" ht="12.75">
      <c r="A1" s="883" t="s">
        <v>24</v>
      </c>
      <c r="B1" s="884"/>
      <c r="C1" s="884"/>
      <c r="D1" s="884"/>
      <c r="E1" s="884"/>
      <c r="F1" s="884"/>
      <c r="G1" s="884"/>
      <c r="H1" s="884"/>
      <c r="I1" s="884"/>
      <c r="J1" s="884"/>
      <c r="K1" s="884"/>
      <c r="L1" s="884"/>
      <c r="M1" s="884"/>
      <c r="N1" s="884"/>
      <c r="O1" s="884"/>
      <c r="P1" s="885"/>
    </row>
    <row r="2" spans="1:16" ht="24.75" customHeight="1">
      <c r="A2" s="883"/>
      <c r="B2" s="884"/>
      <c r="C2" s="884"/>
      <c r="D2" s="884"/>
      <c r="E2" s="884"/>
      <c r="F2" s="884"/>
      <c r="G2" s="884"/>
      <c r="H2" s="884"/>
      <c r="I2" s="884"/>
      <c r="J2" s="884"/>
      <c r="K2" s="884"/>
      <c r="L2" s="884"/>
      <c r="M2" s="884"/>
      <c r="N2" s="884"/>
      <c r="O2" s="884"/>
      <c r="P2" s="885"/>
    </row>
    <row r="3" spans="1:251" ht="12.75">
      <c r="A3" s="883"/>
      <c r="B3" s="884"/>
      <c r="C3" s="884"/>
      <c r="D3" s="884"/>
      <c r="E3" s="884"/>
      <c r="F3" s="884"/>
      <c r="G3" s="884"/>
      <c r="H3" s="884"/>
      <c r="I3" s="884"/>
      <c r="J3" s="884"/>
      <c r="K3" s="884"/>
      <c r="L3" s="884"/>
      <c r="M3" s="884"/>
      <c r="N3" s="884"/>
      <c r="O3" s="884"/>
      <c r="P3" s="885"/>
      <c r="Q3" s="146"/>
      <c r="R3" s="146"/>
      <c r="S3" s="146"/>
      <c r="T3" s="146"/>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1:251" ht="12.75">
      <c r="A4" s="883"/>
      <c r="B4" s="884"/>
      <c r="C4" s="884"/>
      <c r="D4" s="884"/>
      <c r="E4" s="884"/>
      <c r="F4" s="884"/>
      <c r="G4" s="884"/>
      <c r="H4" s="884"/>
      <c r="I4" s="884"/>
      <c r="J4" s="884"/>
      <c r="K4" s="884"/>
      <c r="L4" s="884"/>
      <c r="M4" s="884"/>
      <c r="N4" s="884"/>
      <c r="O4" s="884"/>
      <c r="P4" s="885"/>
      <c r="Q4" s="146"/>
      <c r="R4" s="146"/>
      <c r="S4" s="146"/>
      <c r="T4" s="146"/>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row>
    <row r="5" spans="1:251" ht="13.5" thickBot="1">
      <c r="A5" s="886"/>
      <c r="B5" s="887"/>
      <c r="C5" s="887"/>
      <c r="D5" s="887"/>
      <c r="E5" s="887"/>
      <c r="F5" s="887"/>
      <c r="G5" s="887"/>
      <c r="H5" s="887"/>
      <c r="I5" s="887"/>
      <c r="J5" s="887"/>
      <c r="K5" s="887"/>
      <c r="L5" s="887"/>
      <c r="M5" s="887"/>
      <c r="N5" s="887"/>
      <c r="O5" s="887"/>
      <c r="P5" s="888"/>
      <c r="Q5" s="146"/>
      <c r="R5" s="146"/>
      <c r="S5" s="146"/>
      <c r="T5" s="146"/>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row>
    <row r="6" spans="1:251" ht="20.25" thickBot="1" thickTop="1">
      <c r="A6" s="889" t="s">
        <v>241</v>
      </c>
      <c r="B6" s="890"/>
      <c r="C6" s="890"/>
      <c r="D6" s="890"/>
      <c r="E6" s="890"/>
      <c r="F6" s="890"/>
      <c r="G6" s="890"/>
      <c r="H6" s="890"/>
      <c r="I6" s="890"/>
      <c r="J6" s="890"/>
      <c r="K6" s="890"/>
      <c r="L6" s="890"/>
      <c r="M6" s="890"/>
      <c r="N6" s="890"/>
      <c r="O6" s="890"/>
      <c r="P6" s="891"/>
      <c r="Q6" s="146"/>
      <c r="R6" s="146"/>
      <c r="S6" s="146"/>
      <c r="T6" s="146"/>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row>
    <row r="7" spans="1:20" ht="38.25" customHeight="1" thickBot="1" thickTop="1">
      <c r="A7" s="892" t="str">
        <f>'ORÇAMENTO GERAL'!C6</f>
        <v>EXECUÇÃO DOS SERVIÇOS DE DRENAGEM SUPERFICIAL E PROFUNDA E PAVIMENTAÇÃO DAS RUAS UNIÃO E JARDIM DOS ESPORTES NO BAIRRO DO ICUI- NO MUNICÍPIO DE ANANINDEUA - PA.</v>
      </c>
      <c r="B7" s="893"/>
      <c r="C7" s="893"/>
      <c r="D7" s="893"/>
      <c r="E7" s="893"/>
      <c r="F7" s="893"/>
      <c r="G7" s="893"/>
      <c r="H7" s="893"/>
      <c r="I7" s="893"/>
      <c r="J7" s="893"/>
      <c r="K7" s="893"/>
      <c r="L7" s="893"/>
      <c r="M7" s="893"/>
      <c r="N7" s="893"/>
      <c r="O7" s="893"/>
      <c r="P7" s="894"/>
      <c r="Q7" s="147"/>
      <c r="R7" s="147"/>
      <c r="S7" s="147"/>
      <c r="T7" s="147"/>
    </row>
    <row r="8" spans="1:20" ht="3" customHeight="1" thickBot="1">
      <c r="A8" s="166"/>
      <c r="B8" s="167"/>
      <c r="C8" s="167"/>
      <c r="D8" s="167"/>
      <c r="E8" s="167"/>
      <c r="F8" s="167"/>
      <c r="G8" s="167"/>
      <c r="H8" s="167"/>
      <c r="I8" s="167"/>
      <c r="J8" s="168"/>
      <c r="K8" s="167"/>
      <c r="L8" s="662"/>
      <c r="M8" s="663"/>
      <c r="N8" s="664"/>
      <c r="O8" s="665"/>
      <c r="P8" s="664"/>
      <c r="Q8" s="147"/>
      <c r="R8" s="147"/>
      <c r="S8" s="147"/>
      <c r="T8" s="147"/>
    </row>
    <row r="9" spans="1:16" ht="12.75">
      <c r="A9" s="876" t="s">
        <v>7</v>
      </c>
      <c r="B9" s="877" t="s">
        <v>242</v>
      </c>
      <c r="C9" s="877" t="s">
        <v>243</v>
      </c>
      <c r="D9" s="879" t="s">
        <v>244</v>
      </c>
      <c r="E9" s="895" t="s">
        <v>245</v>
      </c>
      <c r="F9" s="896"/>
      <c r="G9" s="896"/>
      <c r="H9" s="896"/>
      <c r="I9" s="896"/>
      <c r="J9" s="896"/>
      <c r="K9" s="896"/>
      <c r="L9" s="896"/>
      <c r="M9" s="897"/>
      <c r="N9" s="897"/>
      <c r="O9" s="896"/>
      <c r="P9" s="896"/>
    </row>
    <row r="10" spans="1:16" ht="12.75">
      <c r="A10" s="870"/>
      <c r="B10" s="878" t="s">
        <v>242</v>
      </c>
      <c r="C10" s="878" t="s">
        <v>246</v>
      </c>
      <c r="D10" s="880"/>
      <c r="E10" s="881">
        <v>1</v>
      </c>
      <c r="F10" s="875"/>
      <c r="G10" s="874">
        <v>2</v>
      </c>
      <c r="H10" s="875"/>
      <c r="I10" s="874">
        <v>3</v>
      </c>
      <c r="J10" s="875"/>
      <c r="K10" s="874">
        <v>4</v>
      </c>
      <c r="L10" s="882"/>
      <c r="M10" s="881">
        <v>5</v>
      </c>
      <c r="N10" s="875"/>
      <c r="O10" s="874">
        <v>6</v>
      </c>
      <c r="P10" s="875"/>
    </row>
    <row r="11" spans="1:16" ht="12.75">
      <c r="A11" s="870"/>
      <c r="B11" s="878"/>
      <c r="C11" s="878"/>
      <c r="D11" s="880"/>
      <c r="E11" s="148" t="s">
        <v>246</v>
      </c>
      <c r="F11" s="149" t="s">
        <v>247</v>
      </c>
      <c r="G11" s="150" t="s">
        <v>246</v>
      </c>
      <c r="H11" s="149" t="s">
        <v>247</v>
      </c>
      <c r="I11" s="150" t="s">
        <v>246</v>
      </c>
      <c r="J11" s="149" t="s">
        <v>247</v>
      </c>
      <c r="K11" s="150" t="s">
        <v>246</v>
      </c>
      <c r="L11" s="666" t="s">
        <v>247</v>
      </c>
      <c r="M11" s="148" t="s">
        <v>246</v>
      </c>
      <c r="N11" s="149" t="s">
        <v>247</v>
      </c>
      <c r="O11" s="150" t="s">
        <v>246</v>
      </c>
      <c r="P11" s="149" t="s">
        <v>247</v>
      </c>
    </row>
    <row r="12" spans="1:16" ht="30" customHeight="1">
      <c r="A12" s="870">
        <f>'ORÇAMENTO GERAL'!C9</f>
        <v>1</v>
      </c>
      <c r="B12" s="871" t="str">
        <f>'ORÇAMENTO GERAL'!F9</f>
        <v>SERVIÇOS PRELIMINARES</v>
      </c>
      <c r="C12" s="872">
        <f>D12/$D$27</f>
        <v>0.018724563769781502</v>
      </c>
      <c r="D12" s="873">
        <f>'ORÇAMENTO GERAL'!K14</f>
        <v>42937.2</v>
      </c>
      <c r="E12" s="151">
        <v>1</v>
      </c>
      <c r="F12" s="152">
        <f>ROUND($D12*E12,2)</f>
        <v>42937.2</v>
      </c>
      <c r="G12" s="153">
        <v>0</v>
      </c>
      <c r="H12" s="152">
        <v>0</v>
      </c>
      <c r="I12" s="153">
        <v>0</v>
      </c>
      <c r="J12" s="152">
        <f>ROUND($D12*I12,2)</f>
        <v>0</v>
      </c>
      <c r="K12" s="153">
        <v>0</v>
      </c>
      <c r="L12" s="152">
        <f>ROUND($D12*K12,2)</f>
        <v>0</v>
      </c>
      <c r="M12" s="667">
        <v>0</v>
      </c>
      <c r="N12" s="668">
        <f>ROUND($D12*M12,2)</f>
        <v>0</v>
      </c>
      <c r="O12" s="153">
        <v>0</v>
      </c>
      <c r="P12" s="152">
        <f>ROUND($D12*O12,2)</f>
        <v>0</v>
      </c>
    </row>
    <row r="13" spans="1:16" ht="6" customHeight="1">
      <c r="A13" s="870"/>
      <c r="B13" s="871"/>
      <c r="C13" s="872"/>
      <c r="D13" s="873"/>
      <c r="E13" s="209"/>
      <c r="F13" s="210"/>
      <c r="G13" s="211"/>
      <c r="H13" s="210"/>
      <c r="I13" s="212"/>
      <c r="J13" s="210"/>
      <c r="K13" s="212"/>
      <c r="L13" s="210"/>
      <c r="M13" s="212"/>
      <c r="N13" s="210"/>
      <c r="O13" s="212"/>
      <c r="P13" s="210"/>
    </row>
    <row r="14" spans="1:16" ht="30" customHeight="1">
      <c r="A14" s="870">
        <f>'ORÇAMENTO GERAL'!C15</f>
        <v>2</v>
      </c>
      <c r="B14" s="871" t="str">
        <f>'ORÇAMENTO GERAL'!F15</f>
        <v>DISPOSITIVOS DE DRENAGEM SUPERFICIAL</v>
      </c>
      <c r="C14" s="872">
        <f>D14/$D$27</f>
        <v>0.10312871886880247</v>
      </c>
      <c r="D14" s="873">
        <f>'ORÇAMENTO GERAL'!K21</f>
        <v>236483.93000000002</v>
      </c>
      <c r="E14" s="151">
        <v>0</v>
      </c>
      <c r="F14" s="152">
        <f>ROUND($D14*E14,2)</f>
        <v>0</v>
      </c>
      <c r="G14" s="154">
        <v>0.2</v>
      </c>
      <c r="H14" s="152">
        <f>ROUND($D14*G14,2)</f>
        <v>47296.79</v>
      </c>
      <c r="I14" s="154">
        <v>0.2</v>
      </c>
      <c r="J14" s="152">
        <f>ROUND($D14*I14,2)</f>
        <v>47296.79</v>
      </c>
      <c r="K14" s="154">
        <v>0.2</v>
      </c>
      <c r="L14" s="152">
        <f>ROUND($D14*K14,2)</f>
        <v>47296.79</v>
      </c>
      <c r="M14" s="154">
        <v>0.2</v>
      </c>
      <c r="N14" s="152">
        <f>ROUND($D14*M14,2)</f>
        <v>47296.79</v>
      </c>
      <c r="O14" s="154">
        <v>0.2</v>
      </c>
      <c r="P14" s="152">
        <f>ROUND($D14*O14,2)</f>
        <v>47296.79</v>
      </c>
    </row>
    <row r="15" spans="1:16" ht="6" customHeight="1">
      <c r="A15" s="870"/>
      <c r="B15" s="871"/>
      <c r="C15" s="872"/>
      <c r="D15" s="873"/>
      <c r="E15" s="521"/>
      <c r="F15" s="522"/>
      <c r="G15" s="523"/>
      <c r="H15" s="522"/>
      <c r="I15" s="523"/>
      <c r="J15" s="522"/>
      <c r="K15" s="523"/>
      <c r="L15" s="522"/>
      <c r="M15" s="523"/>
      <c r="N15" s="522"/>
      <c r="O15" s="523"/>
      <c r="P15" s="522"/>
    </row>
    <row r="16" spans="1:16" ht="30" customHeight="1">
      <c r="A16" s="870">
        <f>'ORÇAMENTO GERAL'!C22</f>
        <v>3</v>
      </c>
      <c r="B16" s="871" t="str">
        <f>'ORÇAMENTO GERAL'!F22</f>
        <v>DISPOSITIVOS DE DRENAGEM PROFUNDA</v>
      </c>
      <c r="C16" s="872">
        <f>D16/$D$27</f>
        <v>0.35572829193224675</v>
      </c>
      <c r="D16" s="873">
        <f>'ORÇAMENTO GERAL'!K59</f>
        <v>815718.7</v>
      </c>
      <c r="E16" s="151">
        <v>0.2</v>
      </c>
      <c r="F16" s="152">
        <f>ROUND($D16*E16,2)</f>
        <v>163143.74</v>
      </c>
      <c r="G16" s="154">
        <v>0.2</v>
      </c>
      <c r="H16" s="152">
        <f>ROUND($D16*G16,2)</f>
        <v>163143.74</v>
      </c>
      <c r="I16" s="154">
        <v>0.2</v>
      </c>
      <c r="J16" s="152">
        <f>ROUND($D16*I16,2)</f>
        <v>163143.74</v>
      </c>
      <c r="K16" s="154">
        <v>0.2</v>
      </c>
      <c r="L16" s="152">
        <f>ROUND($D16*K16,2)</f>
        <v>163143.74</v>
      </c>
      <c r="M16" s="154">
        <v>0.2</v>
      </c>
      <c r="N16" s="152">
        <f>ROUND($D16*M16,2)</f>
        <v>163143.74</v>
      </c>
      <c r="O16" s="154">
        <v>0</v>
      </c>
      <c r="P16" s="152">
        <f>ROUND($D16*O16,2)</f>
        <v>0</v>
      </c>
    </row>
    <row r="17" spans="1:16" ht="6" customHeight="1">
      <c r="A17" s="870"/>
      <c r="B17" s="871"/>
      <c r="C17" s="872"/>
      <c r="D17" s="873"/>
      <c r="E17" s="524"/>
      <c r="F17" s="524"/>
      <c r="G17" s="524"/>
      <c r="H17" s="525"/>
      <c r="I17" s="524"/>
      <c r="J17" s="525"/>
      <c r="K17" s="524"/>
      <c r="L17" s="525"/>
      <c r="M17" s="524"/>
      <c r="N17" s="525"/>
      <c r="O17" s="669"/>
      <c r="P17" s="670"/>
    </row>
    <row r="18" spans="1:16" ht="30" customHeight="1">
      <c r="A18" s="870">
        <f>'ORÇAMENTO GERAL'!C60</f>
        <v>4</v>
      </c>
      <c r="B18" s="871" t="str">
        <f>'ORÇAMENTO GERAL'!F60</f>
        <v>SERVIÇOS DE TERRAPLENAGEM</v>
      </c>
      <c r="C18" s="872">
        <f>D18/$D$27</f>
        <v>0.01893009822825424</v>
      </c>
      <c r="D18" s="873">
        <f>'ORÇAMENTO GERAL'!K65</f>
        <v>43408.509999999995</v>
      </c>
      <c r="E18" s="151">
        <v>0.2</v>
      </c>
      <c r="F18" s="152">
        <f>ROUND($D18*E18,2)</f>
        <v>8681.7</v>
      </c>
      <c r="G18" s="153">
        <v>0.2</v>
      </c>
      <c r="H18" s="152">
        <f>ROUND($D18*G18,2)</f>
        <v>8681.7</v>
      </c>
      <c r="I18" s="153">
        <v>0.2</v>
      </c>
      <c r="J18" s="152">
        <f>ROUND($D18*I18,2)</f>
        <v>8681.7</v>
      </c>
      <c r="K18" s="153">
        <v>0.2</v>
      </c>
      <c r="L18" s="152">
        <f>ROUND($D18*K18,2)</f>
        <v>8681.7</v>
      </c>
      <c r="M18" s="153">
        <v>0.2</v>
      </c>
      <c r="N18" s="152">
        <f>ROUND($D18*M18,2)</f>
        <v>8681.7</v>
      </c>
      <c r="O18" s="153">
        <v>0</v>
      </c>
      <c r="P18" s="152">
        <f>ROUND($D18*O18,2)</f>
        <v>0</v>
      </c>
    </row>
    <row r="19" spans="1:16" ht="6" customHeight="1">
      <c r="A19" s="870"/>
      <c r="B19" s="871"/>
      <c r="C19" s="872"/>
      <c r="D19" s="873"/>
      <c r="E19" s="526"/>
      <c r="F19" s="526"/>
      <c r="G19" s="526"/>
      <c r="H19" s="527"/>
      <c r="I19" s="528"/>
      <c r="J19" s="527"/>
      <c r="K19" s="528"/>
      <c r="L19" s="527"/>
      <c r="M19" s="528"/>
      <c r="N19" s="527"/>
      <c r="O19" s="671"/>
      <c r="P19" s="672"/>
    </row>
    <row r="20" spans="1:16" ht="30" customHeight="1">
      <c r="A20" s="870">
        <f>'ORÇAMENTO GERAL'!C66</f>
        <v>5</v>
      </c>
      <c r="B20" s="871" t="str">
        <f>'ORÇAMENTO GERAL'!F66</f>
        <v>SERVIÇOS DE CAIXA PRIMÁRIA</v>
      </c>
      <c r="C20" s="872">
        <f>D20/$D$27</f>
        <v>0.13503696343022115</v>
      </c>
      <c r="D20" s="873">
        <f>'ORÇAMENTO GERAL'!K70</f>
        <v>309652.55999999994</v>
      </c>
      <c r="E20" s="151"/>
      <c r="F20" s="152">
        <f>ROUND($D20*E20,2)</f>
        <v>0</v>
      </c>
      <c r="G20" s="154">
        <v>0.2</v>
      </c>
      <c r="H20" s="152">
        <f>ROUND($D20*G20,2)</f>
        <v>61930.51</v>
      </c>
      <c r="I20" s="154">
        <v>0.4</v>
      </c>
      <c r="J20" s="152">
        <f>ROUND($D20*I20,2)</f>
        <v>123861.02</v>
      </c>
      <c r="K20" s="154">
        <v>0.2</v>
      </c>
      <c r="L20" s="152">
        <f>ROUND($D20*K20,2)</f>
        <v>61930.51</v>
      </c>
      <c r="M20" s="154">
        <v>0.2</v>
      </c>
      <c r="N20" s="152">
        <f>ROUND($D20*M20,2)</f>
        <v>61930.51</v>
      </c>
      <c r="O20" s="154">
        <v>0</v>
      </c>
      <c r="P20" s="152">
        <f>ROUND($D20*O20,2)</f>
        <v>0</v>
      </c>
    </row>
    <row r="21" spans="1:16" ht="6" customHeight="1">
      <c r="A21" s="870"/>
      <c r="B21" s="871"/>
      <c r="C21" s="872"/>
      <c r="D21" s="873"/>
      <c r="E21" s="673"/>
      <c r="F21" s="674"/>
      <c r="G21" s="523"/>
      <c r="H21" s="523"/>
      <c r="I21" s="523"/>
      <c r="J21" s="522"/>
      <c r="K21" s="523"/>
      <c r="L21" s="522"/>
      <c r="M21" s="523"/>
      <c r="N21" s="522"/>
      <c r="O21" s="675"/>
      <c r="P21" s="674"/>
    </row>
    <row r="22" spans="1:16" ht="30" customHeight="1">
      <c r="A22" s="870">
        <f>'ORÇAMENTO GERAL'!C71</f>
        <v>6</v>
      </c>
      <c r="B22" s="871" t="str">
        <f>'ORÇAMENTO GERAL'!F71</f>
        <v>SERVIÇOS DE REVESTIMENTO</v>
      </c>
      <c r="C22" s="872">
        <f>D22/$D$27</f>
        <v>0.3584009027520323</v>
      </c>
      <c r="D22" s="873">
        <f>'ORÇAMENTO GERAL'!K76</f>
        <v>821847.25</v>
      </c>
      <c r="E22" s="151">
        <v>0</v>
      </c>
      <c r="F22" s="152">
        <f>ROUND($D22*E22,2)</f>
        <v>0</v>
      </c>
      <c r="G22" s="154">
        <v>0</v>
      </c>
      <c r="H22" s="152">
        <f>ROUND($D22*G22,2)</f>
        <v>0</v>
      </c>
      <c r="I22" s="154">
        <v>0</v>
      </c>
      <c r="J22" s="152">
        <f>ROUND($D22*I22,2)</f>
        <v>0</v>
      </c>
      <c r="K22" s="154">
        <v>0.25</v>
      </c>
      <c r="L22" s="152">
        <f>ROUND($D22*K22,2)</f>
        <v>205461.81</v>
      </c>
      <c r="M22" s="154">
        <v>0.5</v>
      </c>
      <c r="N22" s="152">
        <f>ROUND($D22*M22,2)</f>
        <v>410923.63</v>
      </c>
      <c r="O22" s="154">
        <v>0.25</v>
      </c>
      <c r="P22" s="152">
        <f>ROUND($D22*O22,2)</f>
        <v>205461.81</v>
      </c>
    </row>
    <row r="23" spans="1:16" ht="6" customHeight="1">
      <c r="A23" s="870"/>
      <c r="B23" s="871"/>
      <c r="C23" s="872"/>
      <c r="D23" s="873"/>
      <c r="E23" s="155"/>
      <c r="F23" s="156"/>
      <c r="G23" s="669"/>
      <c r="H23" s="670"/>
      <c r="I23" s="669"/>
      <c r="J23" s="670"/>
      <c r="K23" s="524"/>
      <c r="L23" s="525"/>
      <c r="M23" s="524"/>
      <c r="N23" s="525"/>
      <c r="O23" s="524"/>
      <c r="P23" s="525"/>
    </row>
    <row r="24" spans="1:16" ht="30" customHeight="1">
      <c r="A24" s="870">
        <f>'ORÇAMENTO GERAL'!C77</f>
        <v>7</v>
      </c>
      <c r="B24" s="871" t="str">
        <f>'ORÇAMENTO GERAL'!F77</f>
        <v>LIMPEZA FINAL</v>
      </c>
      <c r="C24" s="872">
        <f>D24/$D$27</f>
        <v>0.0100504610186615</v>
      </c>
      <c r="D24" s="873">
        <f>'ORÇAMENTO GERAL'!K79</f>
        <v>23046.66</v>
      </c>
      <c r="E24" s="151">
        <v>0</v>
      </c>
      <c r="F24" s="152">
        <f>ROUND($D24*E24,2)</f>
        <v>0</v>
      </c>
      <c r="G24" s="154">
        <v>0</v>
      </c>
      <c r="H24" s="152">
        <f>ROUND($D24*G24,2)</f>
        <v>0</v>
      </c>
      <c r="I24" s="154">
        <v>0</v>
      </c>
      <c r="J24" s="152">
        <f>ROUND($D24*I24,2)</f>
        <v>0</v>
      </c>
      <c r="K24" s="154">
        <v>0</v>
      </c>
      <c r="L24" s="152">
        <f>ROUND($D24*K24,2)</f>
        <v>0</v>
      </c>
      <c r="M24" s="154">
        <v>0</v>
      </c>
      <c r="N24" s="152">
        <f>ROUND($D24*M24,2)</f>
        <v>0</v>
      </c>
      <c r="O24" s="154">
        <v>1</v>
      </c>
      <c r="P24" s="152">
        <f>ROUND($D24*O24,2)</f>
        <v>23046.66</v>
      </c>
    </row>
    <row r="25" spans="1:16" ht="6" customHeight="1">
      <c r="A25" s="870"/>
      <c r="B25" s="871"/>
      <c r="C25" s="872"/>
      <c r="D25" s="873"/>
      <c r="E25" s="155"/>
      <c r="F25" s="156"/>
      <c r="G25" s="157"/>
      <c r="H25" s="156"/>
      <c r="I25" s="156"/>
      <c r="J25" s="156"/>
      <c r="K25" s="156"/>
      <c r="L25" s="156"/>
      <c r="M25" s="156"/>
      <c r="N25" s="156"/>
      <c r="O25" s="213"/>
      <c r="P25" s="214"/>
    </row>
    <row r="26" spans="1:16" ht="12.75">
      <c r="A26" s="158"/>
      <c r="B26" s="159"/>
      <c r="C26" s="160"/>
      <c r="D26" s="161"/>
      <c r="E26" s="3"/>
      <c r="F26" s="162"/>
      <c r="G26" s="163"/>
      <c r="H26" s="162"/>
      <c r="I26" s="163"/>
      <c r="J26" s="162"/>
      <c r="K26" s="163"/>
      <c r="L26" s="162"/>
      <c r="M26" s="661"/>
      <c r="N26" s="162"/>
      <c r="O26" s="661"/>
      <c r="P26" s="162"/>
    </row>
    <row r="27" spans="1:16" ht="24.75" customHeight="1">
      <c r="A27" s="870" t="s">
        <v>29</v>
      </c>
      <c r="B27" s="173" t="s">
        <v>248</v>
      </c>
      <c r="C27" s="872">
        <f>ROUND(SUM(C12:C25),2)</f>
        <v>1</v>
      </c>
      <c r="D27" s="873">
        <f>SUM(D12:D25)</f>
        <v>2293094.81</v>
      </c>
      <c r="E27" s="164">
        <f>F27/$D$27</f>
        <v>0.09365624092969797</v>
      </c>
      <c r="F27" s="174">
        <f>F12+F14+F16+F18+F20+F22+F24</f>
        <v>214762.64</v>
      </c>
      <c r="G27" s="165">
        <f>H27/D27</f>
        <v>0.12256481449190493</v>
      </c>
      <c r="H27" s="174">
        <f>H12+H14+H16+H18+H20+H22+H24</f>
        <v>281052.74</v>
      </c>
      <c r="I27" s="165">
        <f>J27/D27</f>
        <v>0.14957220630576543</v>
      </c>
      <c r="J27" s="193">
        <f>J12+J14+J16+J18+J20+J22+J24</f>
        <v>342983.25</v>
      </c>
      <c r="K27" s="165">
        <f>L27/D27</f>
        <v>0.21216503908968334</v>
      </c>
      <c r="L27" s="174">
        <f>L12+L14+L16+L18+L20+L22+L24</f>
        <v>486514.55</v>
      </c>
      <c r="M27" s="165">
        <f>N27/F27</f>
        <v>3.2220518894720236</v>
      </c>
      <c r="N27" s="659">
        <f>N12+N14+N16+N18+N20+N22+N24</f>
        <v>691976.37</v>
      </c>
      <c r="O27" s="165">
        <f>P27/H27</f>
        <v>0.98132919821383</v>
      </c>
      <c r="P27" s="659">
        <f>P12+P14+P16+P18+P20+P22+P24</f>
        <v>275805.26</v>
      </c>
    </row>
    <row r="28" spans="1:16" ht="24.75" customHeight="1" thickBot="1">
      <c r="A28" s="898"/>
      <c r="B28" s="175" t="s">
        <v>249</v>
      </c>
      <c r="C28" s="899">
        <v>1</v>
      </c>
      <c r="D28" s="900">
        <v>528609.19</v>
      </c>
      <c r="E28" s="176">
        <f>F28/$D$27</f>
        <v>0.09365624092969797</v>
      </c>
      <c r="F28" s="177">
        <f>F27</f>
        <v>214762.64</v>
      </c>
      <c r="G28" s="178">
        <f>H28/$D$27</f>
        <v>0.21622105542160291</v>
      </c>
      <c r="H28" s="177">
        <f>F28+H27</f>
        <v>495815.38</v>
      </c>
      <c r="I28" s="178">
        <f>J28/$D$27</f>
        <v>0.36579326172736837</v>
      </c>
      <c r="J28" s="194">
        <f>H28+J27</f>
        <v>838798.63</v>
      </c>
      <c r="K28" s="178">
        <f>L28/$D$27</f>
        <v>0.577958296456133</v>
      </c>
      <c r="L28" s="177">
        <f>J28+L27-0.01</f>
        <v>1325313.17</v>
      </c>
      <c r="M28" s="178">
        <f>N28/$D$27</f>
        <v>0.8797235601435948</v>
      </c>
      <c r="N28" s="660">
        <f>L28+N27-0.01</f>
        <v>2017289.53</v>
      </c>
      <c r="O28" s="178">
        <f>P28/$D$27</f>
        <v>1.0000000174436747</v>
      </c>
      <c r="P28" s="660">
        <f>N28+P27+0.06</f>
        <v>2293094.85</v>
      </c>
    </row>
  </sheetData>
  <sheetProtection/>
  <mergeCells count="45">
    <mergeCell ref="A1:P5"/>
    <mergeCell ref="A6:P6"/>
    <mergeCell ref="A7:P7"/>
    <mergeCell ref="E9:P9"/>
    <mergeCell ref="A27:A28"/>
    <mergeCell ref="C27:C28"/>
    <mergeCell ref="D27:D28"/>
    <mergeCell ref="D24:D25"/>
    <mergeCell ref="O10:P10"/>
    <mergeCell ref="M10:N10"/>
    <mergeCell ref="A18:A19"/>
    <mergeCell ref="B18:B19"/>
    <mergeCell ref="C18:C19"/>
    <mergeCell ref="B22:B23"/>
    <mergeCell ref="C22:C23"/>
    <mergeCell ref="D22:D23"/>
    <mergeCell ref="D18:D19"/>
    <mergeCell ref="A20:A21"/>
    <mergeCell ref="B20:B21"/>
    <mergeCell ref="C20:C21"/>
    <mergeCell ref="D20:D21"/>
    <mergeCell ref="A22:A23"/>
    <mergeCell ref="A24:A25"/>
    <mergeCell ref="B24:B25"/>
    <mergeCell ref="C24:C25"/>
    <mergeCell ref="A14:A15"/>
    <mergeCell ref="B14:B15"/>
    <mergeCell ref="C14:C15"/>
    <mergeCell ref="D14:D15"/>
    <mergeCell ref="A16:A17"/>
    <mergeCell ref="B16:B17"/>
    <mergeCell ref="C16:C17"/>
    <mergeCell ref="D16:D17"/>
    <mergeCell ref="E10:F10"/>
    <mergeCell ref="G10:H10"/>
    <mergeCell ref="K10:L10"/>
    <mergeCell ref="A12:A13"/>
    <mergeCell ref="B12:B13"/>
    <mergeCell ref="C12:C13"/>
    <mergeCell ref="D12:D13"/>
    <mergeCell ref="I10:J10"/>
    <mergeCell ref="A9:A11"/>
    <mergeCell ref="B9:B11"/>
    <mergeCell ref="C9:C11"/>
    <mergeCell ref="D9:D11"/>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6" r:id="rId2"/>
  <ignoredErrors>
    <ignoredError sqref="E27" evalError="1"/>
  </ignoredErrors>
  <drawing r:id="rId1"/>
</worksheet>
</file>

<file path=xl/worksheets/sheet6.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23">
      <selection activeCell="A7" sqref="A7:H7"/>
    </sheetView>
  </sheetViews>
  <sheetFormatPr defaultColWidth="9.140625" defaultRowHeight="12.75"/>
  <cols>
    <col min="1" max="1" width="5.7109375" style="58" bestFit="1" customWidth="1"/>
    <col min="2" max="2" width="9.7109375" style="58" bestFit="1" customWidth="1"/>
    <col min="3" max="4" width="13.7109375" style="58" customWidth="1"/>
    <col min="5" max="8" width="11.7109375" style="58" customWidth="1"/>
    <col min="9" max="16384" width="9.140625" style="58" customWidth="1"/>
  </cols>
  <sheetData>
    <row r="1" spans="1:8" ht="12.75">
      <c r="A1" s="54"/>
      <c r="B1" s="55"/>
      <c r="C1" s="55"/>
      <c r="D1" s="55"/>
      <c r="E1" s="55"/>
      <c r="F1" s="55"/>
      <c r="G1" s="55"/>
      <c r="H1" s="56"/>
    </row>
    <row r="2" spans="1:8" ht="12.75">
      <c r="A2" s="937" t="s">
        <v>24</v>
      </c>
      <c r="B2" s="938"/>
      <c r="C2" s="938"/>
      <c r="D2" s="938"/>
      <c r="E2" s="938"/>
      <c r="F2" s="938"/>
      <c r="G2" s="938"/>
      <c r="H2" s="939"/>
    </row>
    <row r="3" spans="1:8" ht="12.75">
      <c r="A3" s="940" t="s">
        <v>213</v>
      </c>
      <c r="B3" s="941"/>
      <c r="C3" s="941"/>
      <c r="D3" s="941"/>
      <c r="E3" s="941"/>
      <c r="F3" s="941"/>
      <c r="G3" s="941"/>
      <c r="H3" s="942"/>
    </row>
    <row r="4" spans="1:8" ht="12.75">
      <c r="A4" s="943" t="s">
        <v>23</v>
      </c>
      <c r="B4" s="944"/>
      <c r="C4" s="944"/>
      <c r="D4" s="944"/>
      <c r="E4" s="944"/>
      <c r="F4" s="944"/>
      <c r="G4" s="944"/>
      <c r="H4" s="945"/>
    </row>
    <row r="5" spans="1:8" ht="13.5" thickBot="1">
      <c r="A5" s="946"/>
      <c r="B5" s="947"/>
      <c r="C5" s="947"/>
      <c r="D5" s="947"/>
      <c r="E5" s="947"/>
      <c r="F5" s="947"/>
      <c r="G5" s="947"/>
      <c r="H5" s="948"/>
    </row>
    <row r="6" spans="1:8" ht="27" thickBot="1" thickTop="1">
      <c r="A6" s="169" t="s">
        <v>648</v>
      </c>
      <c r="B6" s="217" t="s">
        <v>638</v>
      </c>
      <c r="C6" s="949" t="s">
        <v>46</v>
      </c>
      <c r="D6" s="949"/>
      <c r="E6" s="949"/>
      <c r="F6" s="949"/>
      <c r="G6" s="949"/>
      <c r="H6" s="171" t="s">
        <v>302</v>
      </c>
    </row>
    <row r="7" spans="1:8" ht="29.25" customHeight="1" thickTop="1">
      <c r="A7" s="950" t="str">
        <f>'ORÇAMENTO GERAL'!C6</f>
        <v>EXECUÇÃO DOS SERVIÇOS DE DRENAGEM SUPERFICIAL E PROFUNDA E PAVIMENTAÇÃO DAS RUAS UNIÃO E JARDIM DOS ESPORTES NO BAIRRO DO ICUI- NO MUNICÍPIO DE ANANINDEUA - PA.</v>
      </c>
      <c r="B7" s="951"/>
      <c r="C7" s="951"/>
      <c r="D7" s="951"/>
      <c r="E7" s="951"/>
      <c r="F7" s="951"/>
      <c r="G7" s="951"/>
      <c r="H7" s="952"/>
    </row>
    <row r="8" spans="1:8" s="60" customFormat="1" ht="19.5" customHeight="1">
      <c r="A8" s="932" t="s">
        <v>47</v>
      </c>
      <c r="B8" s="933"/>
      <c r="C8" s="933"/>
      <c r="D8" s="933"/>
      <c r="E8" s="933"/>
      <c r="F8" s="933"/>
      <c r="G8" s="933"/>
      <c r="H8" s="934"/>
    </row>
    <row r="9" spans="1:8" s="60" customFormat="1" ht="19.5" customHeight="1">
      <c r="A9" s="23" t="s">
        <v>48</v>
      </c>
      <c r="B9" s="44"/>
      <c r="C9" s="921" t="s">
        <v>49</v>
      </c>
      <c r="D9" s="922"/>
      <c r="E9" s="44" t="s">
        <v>50</v>
      </c>
      <c r="F9" s="5" t="s">
        <v>175</v>
      </c>
      <c r="G9" s="6" t="s">
        <v>51</v>
      </c>
      <c r="H9" s="24" t="s">
        <v>52</v>
      </c>
    </row>
    <row r="10" spans="1:8" s="60" customFormat="1" ht="19.5" customHeight="1">
      <c r="A10" s="25">
        <v>1</v>
      </c>
      <c r="B10" s="7" t="s">
        <v>53</v>
      </c>
      <c r="C10" s="935" t="s">
        <v>54</v>
      </c>
      <c r="D10" s="936"/>
      <c r="E10" s="45" t="s">
        <v>55</v>
      </c>
      <c r="F10" s="8">
        <f>H37</f>
        <v>240</v>
      </c>
      <c r="G10" s="9">
        <v>17.85</v>
      </c>
      <c r="H10" s="26">
        <f>ROUND(F10*G10,2)</f>
        <v>4284</v>
      </c>
    </row>
    <row r="11" spans="1:8" s="60" customFormat="1" ht="19.5" customHeight="1">
      <c r="A11" s="25">
        <v>2</v>
      </c>
      <c r="B11" s="7" t="s">
        <v>303</v>
      </c>
      <c r="C11" s="935" t="s">
        <v>304</v>
      </c>
      <c r="D11" s="936"/>
      <c r="E11" s="45" t="s">
        <v>55</v>
      </c>
      <c r="F11" s="8">
        <f>H38</f>
        <v>240</v>
      </c>
      <c r="G11" s="9">
        <v>8.19</v>
      </c>
      <c r="H11" s="26">
        <f>ROUND(F11*G11,2)</f>
        <v>1965.6</v>
      </c>
    </row>
    <row r="12" spans="1:8" s="60" customFormat="1" ht="19.5" customHeight="1" hidden="1">
      <c r="A12" s="25">
        <v>3</v>
      </c>
      <c r="B12" s="10"/>
      <c r="C12" s="11"/>
      <c r="D12" s="11"/>
      <c r="E12" s="45"/>
      <c r="F12" s="8"/>
      <c r="G12" s="9"/>
      <c r="H12" s="26"/>
    </row>
    <row r="13" spans="1:8" s="60" customFormat="1" ht="19.5" customHeight="1" hidden="1">
      <c r="A13" s="25">
        <v>4</v>
      </c>
      <c r="B13" s="10"/>
      <c r="C13" s="11"/>
      <c r="D13" s="11"/>
      <c r="E13" s="45"/>
      <c r="F13" s="8"/>
      <c r="G13" s="9"/>
      <c r="H13" s="26"/>
    </row>
    <row r="14" spans="1:8" s="60" customFormat="1" ht="19.5" customHeight="1">
      <c r="A14" s="930" t="s">
        <v>57</v>
      </c>
      <c r="B14" s="931"/>
      <c r="C14" s="931"/>
      <c r="D14" s="931"/>
      <c r="E14" s="931"/>
      <c r="F14" s="928">
        <f>SUM(H10:H13)</f>
        <v>6249.6</v>
      </c>
      <c r="G14" s="928"/>
      <c r="H14" s="929"/>
    </row>
    <row r="15" spans="1:8" s="60" customFormat="1" ht="19.5" customHeight="1">
      <c r="A15" s="918" t="s">
        <v>58</v>
      </c>
      <c r="B15" s="919"/>
      <c r="C15" s="919"/>
      <c r="D15" s="919"/>
      <c r="E15" s="919"/>
      <c r="F15" s="919"/>
      <c r="G15" s="919"/>
      <c r="H15" s="920"/>
    </row>
    <row r="16" spans="1:8" s="60" customFormat="1" ht="19.5" customHeight="1">
      <c r="A16" s="27" t="s">
        <v>48</v>
      </c>
      <c r="B16" s="45"/>
      <c r="C16" s="921" t="s">
        <v>49</v>
      </c>
      <c r="D16" s="922"/>
      <c r="E16" s="45" t="s">
        <v>50</v>
      </c>
      <c r="F16" s="5" t="s">
        <v>175</v>
      </c>
      <c r="G16" s="12" t="s">
        <v>51</v>
      </c>
      <c r="H16" s="28" t="s">
        <v>52</v>
      </c>
    </row>
    <row r="17" spans="1:8" s="60" customFormat="1" ht="19.5" customHeight="1">
      <c r="A17" s="25">
        <v>1</v>
      </c>
      <c r="B17" s="10"/>
      <c r="C17" s="923"/>
      <c r="D17" s="924"/>
      <c r="E17" s="45"/>
      <c r="F17" s="8"/>
      <c r="G17" s="9"/>
      <c r="H17" s="26">
        <f>ROUND(F17*G17,2)</f>
        <v>0</v>
      </c>
    </row>
    <row r="18" spans="1:8" s="60" customFormat="1" ht="19.5" customHeight="1">
      <c r="A18" s="25">
        <v>2</v>
      </c>
      <c r="B18" s="10"/>
      <c r="C18" s="923"/>
      <c r="D18" s="924"/>
      <c r="E18" s="45"/>
      <c r="F18" s="8"/>
      <c r="G18" s="9"/>
      <c r="H18" s="26"/>
    </row>
    <row r="19" spans="1:8" s="60" customFormat="1" ht="19.5" customHeight="1">
      <c r="A19" s="930" t="s">
        <v>59</v>
      </c>
      <c r="B19" s="931"/>
      <c r="C19" s="931"/>
      <c r="D19" s="931"/>
      <c r="E19" s="931"/>
      <c r="F19" s="928">
        <f>SUM(H17:H18)</f>
        <v>0</v>
      </c>
      <c r="G19" s="928"/>
      <c r="H19" s="929"/>
    </row>
    <row r="20" spans="1:8" s="60" customFormat="1" ht="19.5" customHeight="1">
      <c r="A20" s="918" t="s">
        <v>60</v>
      </c>
      <c r="B20" s="919"/>
      <c r="C20" s="919"/>
      <c r="D20" s="919"/>
      <c r="E20" s="919"/>
      <c r="F20" s="919"/>
      <c r="G20" s="919"/>
      <c r="H20" s="920"/>
    </row>
    <row r="21" spans="1:8" s="60" customFormat="1" ht="19.5" customHeight="1">
      <c r="A21" s="23" t="s">
        <v>48</v>
      </c>
      <c r="B21" s="44"/>
      <c r="C21" s="921" t="s">
        <v>49</v>
      </c>
      <c r="D21" s="922"/>
      <c r="E21" s="44" t="s">
        <v>50</v>
      </c>
      <c r="F21" s="5" t="s">
        <v>175</v>
      </c>
      <c r="G21" s="6" t="s">
        <v>51</v>
      </c>
      <c r="H21" s="24" t="s">
        <v>52</v>
      </c>
    </row>
    <row r="22" spans="1:8" s="60" customFormat="1" ht="19.5" customHeight="1">
      <c r="A22" s="29">
        <v>1</v>
      </c>
      <c r="B22" s="13"/>
      <c r="C22" s="923"/>
      <c r="D22" s="924"/>
      <c r="E22" s="44"/>
      <c r="F22" s="14"/>
      <c r="G22" s="15"/>
      <c r="H22" s="26"/>
    </row>
    <row r="23" spans="1:8" s="60" customFormat="1" ht="19.5" customHeight="1">
      <c r="A23" s="29">
        <v>2</v>
      </c>
      <c r="B23" s="13"/>
      <c r="C23" s="923"/>
      <c r="D23" s="924"/>
      <c r="E23" s="44"/>
      <c r="F23" s="14"/>
      <c r="G23" s="15"/>
      <c r="H23" s="26"/>
    </row>
    <row r="24" spans="1:8" s="60" customFormat="1" ht="19.5" customHeight="1">
      <c r="A24" s="925" t="s">
        <v>61</v>
      </c>
      <c r="B24" s="926"/>
      <c r="C24" s="926"/>
      <c r="D24" s="926"/>
      <c r="E24" s="927"/>
      <c r="F24" s="928">
        <f>SUM(H22:H23)</f>
        <v>0</v>
      </c>
      <c r="G24" s="928"/>
      <c r="H24" s="929"/>
    </row>
    <row r="25" spans="1:8" s="60" customFormat="1" ht="19.5" customHeight="1">
      <c r="A25" s="912" t="s">
        <v>62</v>
      </c>
      <c r="B25" s="913"/>
      <c r="C25" s="913"/>
      <c r="D25" s="913"/>
      <c r="E25" s="913"/>
      <c r="F25" s="913"/>
      <c r="G25" s="913"/>
      <c r="H25" s="914"/>
    </row>
    <row r="26" spans="1:8" s="60" customFormat="1" ht="19.5" customHeight="1">
      <c r="A26" s="23" t="s">
        <v>48</v>
      </c>
      <c r="B26" s="44"/>
      <c r="C26" s="44" t="s">
        <v>63</v>
      </c>
      <c r="D26" s="44"/>
      <c r="E26" s="44" t="s">
        <v>52</v>
      </c>
      <c r="F26" s="44"/>
      <c r="G26" s="16"/>
      <c r="H26" s="24"/>
    </row>
    <row r="27" spans="1:8" s="60" customFormat="1" ht="19.5" customHeight="1">
      <c r="A27" s="23" t="s">
        <v>64</v>
      </c>
      <c r="B27" s="44"/>
      <c r="C27" s="45" t="s">
        <v>65</v>
      </c>
      <c r="D27" s="45"/>
      <c r="E27" s="915" t="s">
        <v>66</v>
      </c>
      <c r="F27" s="915"/>
      <c r="G27" s="915"/>
      <c r="H27" s="24">
        <f>F14</f>
        <v>6249.6</v>
      </c>
    </row>
    <row r="28" spans="1:8" s="60" customFormat="1" ht="19.5" customHeight="1">
      <c r="A28" s="23" t="s">
        <v>67</v>
      </c>
      <c r="B28" s="44"/>
      <c r="C28" s="45" t="s">
        <v>68</v>
      </c>
      <c r="D28" s="45"/>
      <c r="E28" s="915" t="s">
        <v>69</v>
      </c>
      <c r="F28" s="915"/>
      <c r="G28" s="915"/>
      <c r="H28" s="24">
        <f>F19</f>
        <v>0</v>
      </c>
    </row>
    <row r="29" spans="1:8" s="60" customFormat="1" ht="19.5" customHeight="1">
      <c r="A29" s="23" t="s">
        <v>20</v>
      </c>
      <c r="B29" s="44"/>
      <c r="C29" s="45" t="s">
        <v>70</v>
      </c>
      <c r="D29" s="45"/>
      <c r="E29" s="915" t="s">
        <v>71</v>
      </c>
      <c r="F29" s="915"/>
      <c r="G29" s="915"/>
      <c r="H29" s="24">
        <f>F24</f>
        <v>0</v>
      </c>
    </row>
    <row r="30" spans="1:8" s="60" customFormat="1" ht="19.5" customHeight="1">
      <c r="A30" s="23" t="s">
        <v>12</v>
      </c>
      <c r="B30" s="44"/>
      <c r="C30" s="17" t="s">
        <v>72</v>
      </c>
      <c r="D30" s="17"/>
      <c r="E30" s="916" t="s">
        <v>73</v>
      </c>
      <c r="F30" s="916"/>
      <c r="G30" s="916"/>
      <c r="H30" s="46">
        <f>H27+H28+H29</f>
        <v>6249.6</v>
      </c>
    </row>
    <row r="31" spans="1:8" s="60" customFormat="1" ht="19.5" customHeight="1">
      <c r="A31" s="23" t="s">
        <v>74</v>
      </c>
      <c r="B31" s="44"/>
      <c r="C31" s="17" t="s">
        <v>75</v>
      </c>
      <c r="D31" s="218"/>
      <c r="E31" s="18" t="s">
        <v>229</v>
      </c>
      <c r="F31" s="19"/>
      <c r="G31" s="383">
        <v>0.2746</v>
      </c>
      <c r="H31" s="30">
        <f>G31*H30</f>
        <v>1716.1401600000002</v>
      </c>
    </row>
    <row r="32" spans="1:8" s="60" customFormat="1" ht="19.5" customHeight="1">
      <c r="A32" s="223"/>
      <c r="B32" s="50"/>
      <c r="C32" s="50"/>
      <c r="D32" s="50"/>
      <c r="E32" s="917" t="s">
        <v>76</v>
      </c>
      <c r="F32" s="917"/>
      <c r="G32" s="917"/>
      <c r="H32" s="224">
        <f>H30+H31</f>
        <v>7965.74016</v>
      </c>
    </row>
    <row r="33" spans="1:8" ht="12.75">
      <c r="A33" s="225"/>
      <c r="B33" s="20"/>
      <c r="C33" s="20"/>
      <c r="D33" s="20"/>
      <c r="E33" s="21"/>
      <c r="F33" s="21"/>
      <c r="G33" s="21"/>
      <c r="H33" s="226"/>
    </row>
    <row r="34" spans="1:8" ht="12.75">
      <c r="A34" s="227"/>
      <c r="B34" s="147"/>
      <c r="C34" s="147"/>
      <c r="D34" s="147"/>
      <c r="E34" s="147"/>
      <c r="F34" s="147"/>
      <c r="G34" s="147"/>
      <c r="H34" s="228"/>
    </row>
    <row r="35" spans="1:8" ht="12.75">
      <c r="A35" s="901" t="s">
        <v>305</v>
      </c>
      <c r="B35" s="902"/>
      <c r="C35" s="902"/>
      <c r="D35" s="902"/>
      <c r="E35" s="902"/>
      <c r="F35" s="902"/>
      <c r="G35" s="902"/>
      <c r="H35" s="903"/>
    </row>
    <row r="36" spans="1:8" ht="12.75">
      <c r="A36" s="904" t="s">
        <v>306</v>
      </c>
      <c r="B36" s="905"/>
      <c r="C36" s="219" t="s">
        <v>307</v>
      </c>
      <c r="D36" s="219" t="s">
        <v>308</v>
      </c>
      <c r="E36" s="220" t="s">
        <v>309</v>
      </c>
      <c r="F36" s="906" t="s">
        <v>310</v>
      </c>
      <c r="G36" s="907"/>
      <c r="H36" s="229"/>
    </row>
    <row r="37" spans="1:8" ht="12.75">
      <c r="A37" s="908" t="s">
        <v>311</v>
      </c>
      <c r="B37" s="909"/>
      <c r="C37" s="221">
        <v>1</v>
      </c>
      <c r="D37" s="221">
        <v>4</v>
      </c>
      <c r="E37" s="220">
        <v>20</v>
      </c>
      <c r="F37" s="220">
        <v>3</v>
      </c>
      <c r="G37" s="222" t="s">
        <v>261</v>
      </c>
      <c r="H37" s="230">
        <f>ROUND((C37*D37*E37*F37),2)</f>
        <v>240</v>
      </c>
    </row>
    <row r="38" spans="1:8" ht="27.75" customHeight="1" thickBot="1">
      <c r="A38" s="910" t="s">
        <v>312</v>
      </c>
      <c r="B38" s="911"/>
      <c r="C38" s="231">
        <v>1</v>
      </c>
      <c r="D38" s="231">
        <v>4</v>
      </c>
      <c r="E38" s="232">
        <v>20</v>
      </c>
      <c r="F38" s="232">
        <v>3</v>
      </c>
      <c r="G38" s="233" t="s">
        <v>261</v>
      </c>
      <c r="H38" s="234">
        <f>ROUND((C38*D38*E38*F38),2)</f>
        <v>240</v>
      </c>
    </row>
  </sheetData>
  <sheetProtection/>
  <mergeCells count="35">
    <mergeCell ref="A2:H2"/>
    <mergeCell ref="A3:H3"/>
    <mergeCell ref="A4:H4"/>
    <mergeCell ref="A5:H5"/>
    <mergeCell ref="C6:G6"/>
    <mergeCell ref="A7:H7"/>
    <mergeCell ref="A8:H8"/>
    <mergeCell ref="C9:D9"/>
    <mergeCell ref="C10:D10"/>
    <mergeCell ref="C11:D11"/>
    <mergeCell ref="A14:E14"/>
    <mergeCell ref="F14:H14"/>
    <mergeCell ref="A15:H15"/>
    <mergeCell ref="C16:D16"/>
    <mergeCell ref="C17:D17"/>
    <mergeCell ref="C18:D18"/>
    <mergeCell ref="A19:E19"/>
    <mergeCell ref="F19:H19"/>
    <mergeCell ref="E32:G32"/>
    <mergeCell ref="A20:H20"/>
    <mergeCell ref="C21:D21"/>
    <mergeCell ref="C22:D22"/>
    <mergeCell ref="C23:D23"/>
    <mergeCell ref="A24:E24"/>
    <mergeCell ref="F24:H24"/>
    <mergeCell ref="A35:H35"/>
    <mergeCell ref="A36:B36"/>
    <mergeCell ref="F36:G36"/>
    <mergeCell ref="A37:B37"/>
    <mergeCell ref="A38:B38"/>
    <mergeCell ref="A25:H25"/>
    <mergeCell ref="E27:G27"/>
    <mergeCell ref="E28:G28"/>
    <mergeCell ref="E29:G29"/>
    <mergeCell ref="E30:G30"/>
  </mergeCells>
  <printOptions horizontalCentered="1"/>
  <pageMargins left="0.5118110236220472" right="0.5118110236220472" top="0.7874015748031497" bottom="0.787401574803149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30"/>
  <sheetViews>
    <sheetView view="pageBreakPreview" zoomScale="85" zoomScaleSheetLayoutView="85" zoomScalePageLayoutView="0" workbookViewId="0" topLeftCell="A22">
      <selection activeCell="A7" sqref="A7:G7"/>
    </sheetView>
  </sheetViews>
  <sheetFormatPr defaultColWidth="9.140625" defaultRowHeight="12.75"/>
  <cols>
    <col min="1" max="1" width="9.28125" style="2" bestFit="1" customWidth="1"/>
    <col min="2" max="2" width="47.140625" style="2" customWidth="1"/>
    <col min="3" max="3" width="9.140625" style="2" customWidth="1"/>
    <col min="4" max="4" width="16.28125" style="2" customWidth="1"/>
    <col min="5" max="5" width="11.421875" style="2" bestFit="1" customWidth="1"/>
    <col min="6" max="6" width="9.140625" style="2" customWidth="1"/>
    <col min="7" max="7" width="11.57421875" style="2" bestFit="1" customWidth="1"/>
    <col min="8" max="16384" width="9.140625" style="2" customWidth="1"/>
  </cols>
  <sheetData>
    <row r="1" spans="1:7" s="104" customFormat="1" ht="12.75">
      <c r="A1" s="956"/>
      <c r="B1" s="957"/>
      <c r="C1" s="957"/>
      <c r="D1" s="957"/>
      <c r="E1" s="957"/>
      <c r="F1" s="957"/>
      <c r="G1" s="958"/>
    </row>
    <row r="2" spans="1:7" s="104" customFormat="1" ht="19.5" customHeight="1">
      <c r="A2" s="959" t="s">
        <v>24</v>
      </c>
      <c r="B2" s="960"/>
      <c r="C2" s="960"/>
      <c r="D2" s="960"/>
      <c r="E2" s="960"/>
      <c r="F2" s="960"/>
      <c r="G2" s="961"/>
    </row>
    <row r="3" spans="1:7" s="104" customFormat="1" ht="19.5" customHeight="1">
      <c r="A3" s="959" t="s">
        <v>213</v>
      </c>
      <c r="B3" s="960"/>
      <c r="C3" s="960"/>
      <c r="D3" s="960"/>
      <c r="E3" s="960"/>
      <c r="F3" s="960"/>
      <c r="G3" s="961"/>
    </row>
    <row r="4" spans="1:7" s="104" customFormat="1" ht="19.5" customHeight="1">
      <c r="A4" s="959" t="s">
        <v>23</v>
      </c>
      <c r="B4" s="960"/>
      <c r="C4" s="960"/>
      <c r="D4" s="960"/>
      <c r="E4" s="960"/>
      <c r="F4" s="960"/>
      <c r="G4" s="961"/>
    </row>
    <row r="5" spans="1:7" s="104" customFormat="1" ht="13.5" thickBot="1">
      <c r="A5" s="962"/>
      <c r="B5" s="963"/>
      <c r="C5" s="963"/>
      <c r="D5" s="963"/>
      <c r="E5" s="963"/>
      <c r="F5" s="963"/>
      <c r="G5" s="964"/>
    </row>
    <row r="6" spans="1:7" s="105" customFormat="1" ht="24.75" customHeight="1" thickBot="1" thickTop="1">
      <c r="A6" s="172" t="s">
        <v>649</v>
      </c>
      <c r="B6" s="965" t="s">
        <v>293</v>
      </c>
      <c r="C6" s="966"/>
      <c r="D6" s="966"/>
      <c r="E6" s="967"/>
      <c r="F6" s="968" t="s">
        <v>357</v>
      </c>
      <c r="G6" s="969"/>
    </row>
    <row r="7" spans="1:7" s="105" customFormat="1" ht="29.25" customHeight="1" thickTop="1">
      <c r="A7" s="970" t="str">
        <f>'ORÇAMENTO GERAL'!C6</f>
        <v>EXECUÇÃO DOS SERVIÇOS DE DRENAGEM SUPERFICIAL E PROFUNDA E PAVIMENTAÇÃO DAS RUAS UNIÃO E JARDIM DOS ESPORTES NO BAIRRO DO ICUI- NO MUNICÍPIO DE ANANINDEUA - PA.</v>
      </c>
      <c r="B7" s="971"/>
      <c r="C7" s="971"/>
      <c r="D7" s="971"/>
      <c r="E7" s="971"/>
      <c r="F7" s="971"/>
      <c r="G7" s="972"/>
    </row>
    <row r="8" spans="1:7" s="105" customFormat="1" ht="25.5">
      <c r="A8" s="204" t="s">
        <v>639</v>
      </c>
      <c r="B8" s="197" t="s">
        <v>214</v>
      </c>
      <c r="C8" s="106" t="s">
        <v>28</v>
      </c>
      <c r="D8" s="106" t="s">
        <v>215</v>
      </c>
      <c r="E8" s="106" t="s">
        <v>216</v>
      </c>
      <c r="F8" s="107" t="s">
        <v>217</v>
      </c>
      <c r="G8" s="205"/>
    </row>
    <row r="9" spans="1:7" s="105" customFormat="1" ht="24.75" customHeight="1" thickBot="1">
      <c r="A9" s="108" t="s">
        <v>56</v>
      </c>
      <c r="B9" s="198" t="s">
        <v>218</v>
      </c>
      <c r="C9" s="109" t="s">
        <v>294</v>
      </c>
      <c r="D9" s="367" t="s">
        <v>545</v>
      </c>
      <c r="E9" s="110">
        <v>17.09</v>
      </c>
      <c r="F9" s="111"/>
      <c r="G9" s="112">
        <f>ROUND(D9*E9,2)</f>
        <v>2.73</v>
      </c>
    </row>
    <row r="10" spans="1:7" s="105" customFormat="1" ht="19.5" customHeight="1" thickBot="1">
      <c r="A10" s="113"/>
      <c r="B10" s="111"/>
      <c r="C10" s="114"/>
      <c r="D10" s="115" t="s">
        <v>219</v>
      </c>
      <c r="E10" s="116"/>
      <c r="F10" s="117"/>
      <c r="G10" s="118">
        <f>SUM(G9:G9)</f>
        <v>2.73</v>
      </c>
    </row>
    <row r="11" spans="1:7" s="105" customFormat="1" ht="19.5" customHeight="1">
      <c r="A11" s="119"/>
      <c r="B11" s="195" t="s">
        <v>220</v>
      </c>
      <c r="C11" s="120" t="s">
        <v>28</v>
      </c>
      <c r="D11" s="121" t="s">
        <v>221</v>
      </c>
      <c r="E11" s="120" t="s">
        <v>222</v>
      </c>
      <c r="F11" s="122" t="s">
        <v>217</v>
      </c>
      <c r="G11" s="123"/>
    </row>
    <row r="12" spans="1:7" s="105" customFormat="1" ht="24.75" customHeight="1" thickBot="1">
      <c r="A12" s="124">
        <v>4734</v>
      </c>
      <c r="B12" s="125" t="s">
        <v>295</v>
      </c>
      <c r="C12" s="127" t="s">
        <v>226</v>
      </c>
      <c r="D12" s="368" t="s">
        <v>546</v>
      </c>
      <c r="E12" s="207">
        <v>330.73</v>
      </c>
      <c r="F12" s="126"/>
      <c r="G12" s="112">
        <f>ROUND(D12*E12,2)</f>
        <v>227.54</v>
      </c>
    </row>
    <row r="13" spans="1:7" s="105" customFormat="1" ht="19.5" customHeight="1" thickBot="1">
      <c r="A13" s="113" t="s">
        <v>223</v>
      </c>
      <c r="B13" s="111"/>
      <c r="C13" s="114"/>
      <c r="D13" s="115" t="s">
        <v>224</v>
      </c>
      <c r="E13" s="128"/>
      <c r="F13" s="129"/>
      <c r="G13" s="118">
        <f>SUM(G12:G12)</f>
        <v>227.54</v>
      </c>
    </row>
    <row r="14" spans="1:7" s="105" customFormat="1" ht="19.5" customHeight="1">
      <c r="A14" s="119"/>
      <c r="B14" s="196" t="s">
        <v>225</v>
      </c>
      <c r="C14" s="120" t="s">
        <v>28</v>
      </c>
      <c r="D14" s="121" t="s">
        <v>221</v>
      </c>
      <c r="E14" s="120" t="s">
        <v>222</v>
      </c>
      <c r="F14" s="122" t="s">
        <v>217</v>
      </c>
      <c r="G14" s="123"/>
    </row>
    <row r="15" spans="1:7" s="105" customFormat="1" ht="24.75" customHeight="1">
      <c r="A15" s="124" t="s">
        <v>296</v>
      </c>
      <c r="B15" s="208" t="s">
        <v>297</v>
      </c>
      <c r="C15" s="127" t="s">
        <v>198</v>
      </c>
      <c r="D15" s="368" t="s">
        <v>547</v>
      </c>
      <c r="E15" s="207">
        <v>158.58</v>
      </c>
      <c r="F15" s="126"/>
      <c r="G15" s="112">
        <f aca="true" t="shared" si="0" ref="G15:G26">ROUND(D15*E15,2)</f>
        <v>1.9</v>
      </c>
    </row>
    <row r="16" spans="1:7" s="105" customFormat="1" ht="24.75" customHeight="1">
      <c r="A16" s="124" t="s">
        <v>298</v>
      </c>
      <c r="B16" s="208" t="s">
        <v>299</v>
      </c>
      <c r="C16" s="127" t="s">
        <v>200</v>
      </c>
      <c r="D16" s="368" t="s">
        <v>362</v>
      </c>
      <c r="E16" s="207">
        <v>55.43</v>
      </c>
      <c r="F16" s="126"/>
      <c r="G16" s="112">
        <f t="shared" si="0"/>
        <v>1.55</v>
      </c>
    </row>
    <row r="17" spans="1:7" s="105" customFormat="1" ht="24.75" customHeight="1">
      <c r="A17" s="124" t="s">
        <v>358</v>
      </c>
      <c r="B17" s="208" t="s">
        <v>359</v>
      </c>
      <c r="C17" s="127" t="s">
        <v>198</v>
      </c>
      <c r="D17" s="368" t="s">
        <v>300</v>
      </c>
      <c r="E17" s="207">
        <v>304.82</v>
      </c>
      <c r="F17" s="126"/>
      <c r="G17" s="112">
        <f t="shared" si="0"/>
        <v>1.22</v>
      </c>
    </row>
    <row r="18" spans="1:7" s="105" customFormat="1" ht="24.75" customHeight="1">
      <c r="A18" s="124" t="s">
        <v>360</v>
      </c>
      <c r="B18" s="208" t="s">
        <v>361</v>
      </c>
      <c r="C18" s="127" t="s">
        <v>200</v>
      </c>
      <c r="D18" s="368" t="s">
        <v>548</v>
      </c>
      <c r="E18" s="207">
        <v>50.57</v>
      </c>
      <c r="F18" s="126"/>
      <c r="G18" s="112">
        <f t="shared" si="0"/>
        <v>1.82</v>
      </c>
    </row>
    <row r="19" spans="1:7" s="105" customFormat="1" ht="24.75" customHeight="1">
      <c r="A19" s="124" t="s">
        <v>552</v>
      </c>
      <c r="B19" s="208" t="s">
        <v>553</v>
      </c>
      <c r="C19" s="127" t="s">
        <v>198</v>
      </c>
      <c r="D19" s="368" t="s">
        <v>365</v>
      </c>
      <c r="E19" s="207">
        <v>5.79</v>
      </c>
      <c r="F19" s="126"/>
      <c r="G19" s="112">
        <f>ROUND(D19*E19,2)</f>
        <v>0.05</v>
      </c>
    </row>
    <row r="20" spans="1:7" s="105" customFormat="1" ht="24.75" customHeight="1">
      <c r="A20" s="124" t="s">
        <v>554</v>
      </c>
      <c r="B20" s="208" t="s">
        <v>555</v>
      </c>
      <c r="C20" s="127" t="s">
        <v>200</v>
      </c>
      <c r="D20" s="368" t="s">
        <v>549</v>
      </c>
      <c r="E20" s="207">
        <v>3.6</v>
      </c>
      <c r="F20" s="126"/>
      <c r="G20" s="112">
        <f>ROUND(D20*E20,2)</f>
        <v>0.12</v>
      </c>
    </row>
    <row r="21" spans="1:7" s="105" customFormat="1" ht="24.75" customHeight="1">
      <c r="A21" s="124" t="s">
        <v>363</v>
      </c>
      <c r="B21" s="208" t="s">
        <v>364</v>
      </c>
      <c r="C21" s="127" t="s">
        <v>198</v>
      </c>
      <c r="D21" s="368" t="s">
        <v>365</v>
      </c>
      <c r="E21" s="207">
        <v>255.92</v>
      </c>
      <c r="F21" s="126"/>
      <c r="G21" s="112">
        <f t="shared" si="0"/>
        <v>2.05</v>
      </c>
    </row>
    <row r="22" spans="1:7" s="105" customFormat="1" ht="24.75" customHeight="1">
      <c r="A22" s="124" t="s">
        <v>366</v>
      </c>
      <c r="B22" s="208" t="s">
        <v>367</v>
      </c>
      <c r="C22" s="127" t="s">
        <v>200</v>
      </c>
      <c r="D22" s="368" t="s">
        <v>549</v>
      </c>
      <c r="E22" s="207">
        <v>82.94</v>
      </c>
      <c r="F22" s="126"/>
      <c r="G22" s="112">
        <f t="shared" si="0"/>
        <v>2.65</v>
      </c>
    </row>
    <row r="23" spans="1:7" s="105" customFormat="1" ht="24.75" customHeight="1">
      <c r="A23" s="124" t="s">
        <v>556</v>
      </c>
      <c r="B23" s="208" t="s">
        <v>345</v>
      </c>
      <c r="C23" s="127" t="s">
        <v>198</v>
      </c>
      <c r="D23" s="368" t="s">
        <v>365</v>
      </c>
      <c r="E23" s="207">
        <v>123.4</v>
      </c>
      <c r="F23" s="126"/>
      <c r="G23" s="112">
        <f>ROUND(D23*E23,2)</f>
        <v>0.99</v>
      </c>
    </row>
    <row r="24" spans="1:7" s="105" customFormat="1" ht="24.75" customHeight="1">
      <c r="A24" s="124" t="s">
        <v>557</v>
      </c>
      <c r="B24" s="208" t="s">
        <v>346</v>
      </c>
      <c r="C24" s="127" t="s">
        <v>200</v>
      </c>
      <c r="D24" s="368" t="s">
        <v>549</v>
      </c>
      <c r="E24" s="207">
        <v>34.29</v>
      </c>
      <c r="F24" s="126"/>
      <c r="G24" s="112">
        <f>ROUND(D24*E24,2)</f>
        <v>1.1</v>
      </c>
    </row>
    <row r="25" spans="1:7" s="105" customFormat="1" ht="24.75" customHeight="1">
      <c r="A25" s="124" t="s">
        <v>368</v>
      </c>
      <c r="B25" s="208" t="s">
        <v>369</v>
      </c>
      <c r="C25" s="127" t="s">
        <v>198</v>
      </c>
      <c r="D25" s="368" t="s">
        <v>550</v>
      </c>
      <c r="E25" s="207">
        <v>216.26</v>
      </c>
      <c r="F25" s="126"/>
      <c r="G25" s="112">
        <f t="shared" si="0"/>
        <v>1.08</v>
      </c>
    </row>
    <row r="26" spans="1:7" s="105" customFormat="1" ht="24.75" customHeight="1" thickBot="1">
      <c r="A26" s="124" t="s">
        <v>370</v>
      </c>
      <c r="B26" s="208" t="s">
        <v>371</v>
      </c>
      <c r="C26" s="127" t="s">
        <v>200</v>
      </c>
      <c r="D26" s="368" t="s">
        <v>551</v>
      </c>
      <c r="E26" s="207">
        <v>79.38</v>
      </c>
      <c r="F26" s="126"/>
      <c r="G26" s="112">
        <f t="shared" si="0"/>
        <v>2.78</v>
      </c>
    </row>
    <row r="27" spans="1:7" s="105" customFormat="1" ht="19.5" customHeight="1" thickBot="1">
      <c r="A27" s="130" t="s">
        <v>223</v>
      </c>
      <c r="B27" s="111"/>
      <c r="C27" s="114"/>
      <c r="D27" s="115" t="s">
        <v>227</v>
      </c>
      <c r="E27" s="128"/>
      <c r="F27" s="129"/>
      <c r="G27" s="118">
        <f>SUM(G15:G26)</f>
        <v>17.310000000000002</v>
      </c>
    </row>
    <row r="28" spans="1:7" s="105" customFormat="1" ht="19.5" customHeight="1">
      <c r="A28" s="953" t="s">
        <v>228</v>
      </c>
      <c r="B28" s="954"/>
      <c r="C28" s="954"/>
      <c r="D28" s="954"/>
      <c r="E28" s="954"/>
      <c r="F28" s="955"/>
      <c r="G28" s="131">
        <f>SUM(G10+G13+G27)</f>
        <v>247.57999999999998</v>
      </c>
    </row>
    <row r="29" spans="1:7" s="105" customFormat="1" ht="19.5" customHeight="1" thickBot="1">
      <c r="A29" s="132"/>
      <c r="B29" s="133"/>
      <c r="C29" s="114"/>
      <c r="D29" s="134" t="s">
        <v>229</v>
      </c>
      <c r="E29" s="135">
        <v>0.2746</v>
      </c>
      <c r="F29" s="111"/>
      <c r="G29" s="136">
        <f>E29*G28</f>
        <v>67.985468</v>
      </c>
    </row>
    <row r="30" spans="1:7" s="105" customFormat="1" ht="19.5" customHeight="1" thickBot="1">
      <c r="A30" s="137" t="s">
        <v>230</v>
      </c>
      <c r="B30" s="138"/>
      <c r="C30" s="139"/>
      <c r="D30" s="138"/>
      <c r="E30" s="138"/>
      <c r="F30" s="140"/>
      <c r="G30" s="141">
        <f>SUM(G28:G29)</f>
        <v>315.565468</v>
      </c>
    </row>
  </sheetData>
  <sheetProtection/>
  <mergeCells count="9">
    <mergeCell ref="A28:F28"/>
    <mergeCell ref="A1:G1"/>
    <mergeCell ref="A2:G2"/>
    <mergeCell ref="A3:G3"/>
    <mergeCell ref="A4:G4"/>
    <mergeCell ref="A5:G5"/>
    <mergeCell ref="B6:E6"/>
    <mergeCell ref="F6:G6"/>
    <mergeCell ref="A7:G7"/>
  </mergeCells>
  <printOptions/>
  <pageMargins left="0.511811024" right="0.511811024" top="0.787401575" bottom="0.787401575" header="0.31496062" footer="0.31496062"/>
  <pageSetup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dimension ref="A1:H55"/>
  <sheetViews>
    <sheetView view="pageBreakPreview" zoomScaleSheetLayoutView="100" zoomScalePageLayoutView="0" workbookViewId="0" topLeftCell="A43">
      <selection activeCell="A1" sqref="A1:IV16384"/>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11.28125" style="2" customWidth="1"/>
    <col min="8" max="8" width="11.57421875" style="2" bestFit="1" customWidth="1"/>
    <col min="9" max="16384" width="9.140625" style="2" customWidth="1"/>
  </cols>
  <sheetData>
    <row r="1" spans="1:8" s="104" customFormat="1" ht="15" customHeight="1">
      <c r="A1" s="362"/>
      <c r="B1" s="957"/>
      <c r="C1" s="957"/>
      <c r="D1" s="957"/>
      <c r="E1" s="957"/>
      <c r="F1" s="957"/>
      <c r="G1" s="957"/>
      <c r="H1" s="958"/>
    </row>
    <row r="2" spans="1:8" s="104" customFormat="1" ht="15" customHeight="1">
      <c r="A2" s="959" t="s">
        <v>24</v>
      </c>
      <c r="B2" s="960"/>
      <c r="C2" s="960"/>
      <c r="D2" s="960"/>
      <c r="E2" s="960"/>
      <c r="F2" s="960"/>
      <c r="G2" s="960"/>
      <c r="H2" s="961"/>
    </row>
    <row r="3" spans="1:8" s="104" customFormat="1" ht="15" customHeight="1">
      <c r="A3" s="973" t="s">
        <v>213</v>
      </c>
      <c r="B3" s="974"/>
      <c r="C3" s="974"/>
      <c r="D3" s="974"/>
      <c r="E3" s="974"/>
      <c r="F3" s="974"/>
      <c r="G3" s="974"/>
      <c r="H3" s="975"/>
    </row>
    <row r="4" spans="1:8" s="104" customFormat="1" ht="15" customHeight="1">
      <c r="A4" s="973" t="s">
        <v>23</v>
      </c>
      <c r="B4" s="974"/>
      <c r="C4" s="974"/>
      <c r="D4" s="974"/>
      <c r="E4" s="974"/>
      <c r="F4" s="974"/>
      <c r="G4" s="974"/>
      <c r="H4" s="975"/>
    </row>
    <row r="5" spans="1:8" s="104" customFormat="1" ht="15" customHeight="1" thickBot="1">
      <c r="A5" s="363"/>
      <c r="B5" s="976"/>
      <c r="C5" s="976"/>
      <c r="D5" s="976"/>
      <c r="E5" s="976"/>
      <c r="F5" s="976"/>
      <c r="G5" s="976"/>
      <c r="H5" s="977"/>
    </row>
    <row r="6" spans="1:8" s="105" customFormat="1" ht="24.75" customHeight="1" thickBot="1" thickTop="1">
      <c r="A6" s="169" t="s">
        <v>650</v>
      </c>
      <c r="B6" s="369" t="s">
        <v>646</v>
      </c>
      <c r="C6" s="949" t="s">
        <v>354</v>
      </c>
      <c r="D6" s="949"/>
      <c r="E6" s="949"/>
      <c r="F6" s="949"/>
      <c r="G6" s="978" t="s">
        <v>353</v>
      </c>
      <c r="H6" s="979"/>
    </row>
    <row r="7" spans="1:8" s="105" customFormat="1" ht="40.5" customHeight="1" thickTop="1">
      <c r="A7" s="980" t="str">
        <f>'ORÇAMENTO GERAL'!C6</f>
        <v>EXECUÇÃO DOS SERVIÇOS DE DRENAGEM SUPERFICIAL E PROFUNDA E PAVIMENTAÇÃO DAS RUAS UNIÃO E JARDIM DOS ESPORTES NO BAIRRO DO ICUI- NO MUNICÍPIO DE ANANINDEUA - PA.</v>
      </c>
      <c r="B7" s="981"/>
      <c r="C7" s="981"/>
      <c r="D7" s="981"/>
      <c r="E7" s="981"/>
      <c r="F7" s="981"/>
      <c r="G7" s="981"/>
      <c r="H7" s="982"/>
    </row>
    <row r="8" spans="1:8" s="105" customFormat="1" ht="19.5" customHeight="1">
      <c r="A8" s="983" t="s">
        <v>214</v>
      </c>
      <c r="B8" s="984"/>
      <c r="C8" s="984"/>
      <c r="D8" s="984"/>
      <c r="E8" s="984"/>
      <c r="F8" s="984"/>
      <c r="G8" s="984"/>
      <c r="H8" s="985"/>
    </row>
    <row r="9" spans="1:8" s="105" customFormat="1" ht="19.5" customHeight="1">
      <c r="A9" s="349" t="s">
        <v>48</v>
      </c>
      <c r="B9" s="350" t="s">
        <v>355</v>
      </c>
      <c r="C9" s="351" t="s">
        <v>49</v>
      </c>
      <c r="D9" s="350" t="s">
        <v>50</v>
      </c>
      <c r="E9" s="351" t="s">
        <v>175</v>
      </c>
      <c r="F9" s="352" t="s">
        <v>51</v>
      </c>
      <c r="G9" s="986" t="s">
        <v>52</v>
      </c>
      <c r="H9" s="987"/>
    </row>
    <row r="10" spans="1:8" s="105" customFormat="1" ht="19.5" customHeight="1" thickBot="1">
      <c r="A10" s="364">
        <v>1</v>
      </c>
      <c r="B10" s="353" t="s">
        <v>56</v>
      </c>
      <c r="C10" s="198" t="s">
        <v>218</v>
      </c>
      <c r="D10" s="109" t="s">
        <v>294</v>
      </c>
      <c r="E10" s="241">
        <v>0.0058</v>
      </c>
      <c r="F10" s="110">
        <v>17.09</v>
      </c>
      <c r="G10" s="111"/>
      <c r="H10" s="112">
        <f>ROUND(E10*F10,2)</f>
        <v>0.1</v>
      </c>
    </row>
    <row r="11" spans="1:8" s="105" customFormat="1" ht="19.5" customHeight="1" thickBot="1">
      <c r="A11" s="365"/>
      <c r="B11" s="114"/>
      <c r="C11" s="111"/>
      <c r="D11" s="114"/>
      <c r="E11" s="115" t="s">
        <v>219</v>
      </c>
      <c r="F11" s="116"/>
      <c r="G11" s="117"/>
      <c r="H11" s="118">
        <f>SUM(H10:H10)</f>
        <v>0.1</v>
      </c>
    </row>
    <row r="12" spans="1:8" s="105" customFormat="1" ht="19.5" customHeight="1">
      <c r="A12" s="988" t="s">
        <v>220</v>
      </c>
      <c r="B12" s="989"/>
      <c r="C12" s="989"/>
      <c r="D12" s="989"/>
      <c r="E12" s="989"/>
      <c r="F12" s="989"/>
      <c r="G12" s="989"/>
      <c r="H12" s="990"/>
    </row>
    <row r="13" spans="1:8" s="105" customFormat="1" ht="19.5" customHeight="1">
      <c r="A13" s="349" t="s">
        <v>48</v>
      </c>
      <c r="B13" s="350" t="s">
        <v>355</v>
      </c>
      <c r="C13" s="351" t="s">
        <v>49</v>
      </c>
      <c r="D13" s="350" t="s">
        <v>50</v>
      </c>
      <c r="E13" s="351" t="s">
        <v>175</v>
      </c>
      <c r="F13" s="352" t="s">
        <v>51</v>
      </c>
      <c r="G13" s="991" t="s">
        <v>52</v>
      </c>
      <c r="H13" s="992"/>
    </row>
    <row r="14" spans="1:8" s="105" customFormat="1" ht="19.5" customHeight="1" thickBot="1">
      <c r="A14" s="364">
        <v>1</v>
      </c>
      <c r="B14" s="354" t="s">
        <v>384</v>
      </c>
      <c r="C14" s="242" t="s">
        <v>385</v>
      </c>
      <c r="D14" s="127" t="s">
        <v>199</v>
      </c>
      <c r="E14" s="206">
        <v>1.2</v>
      </c>
      <c r="F14" s="207">
        <v>3.94</v>
      </c>
      <c r="G14" s="126"/>
      <c r="H14" s="112">
        <f>ROUND(E14*F14,2)</f>
        <v>4.73</v>
      </c>
    </row>
    <row r="15" spans="1:8" s="105" customFormat="1" ht="19.5" customHeight="1" thickBot="1">
      <c r="A15" s="365"/>
      <c r="B15" s="114" t="s">
        <v>223</v>
      </c>
      <c r="C15" s="111"/>
      <c r="D15" s="114"/>
      <c r="E15" s="115" t="s">
        <v>224</v>
      </c>
      <c r="F15" s="128"/>
      <c r="G15" s="129"/>
      <c r="H15" s="118">
        <f>SUM(H14:H14)</f>
        <v>4.73</v>
      </c>
    </row>
    <row r="16" spans="1:8" s="105" customFormat="1" ht="19.5" customHeight="1">
      <c r="A16" s="993" t="s">
        <v>225</v>
      </c>
      <c r="B16" s="994"/>
      <c r="C16" s="994"/>
      <c r="D16" s="994"/>
      <c r="E16" s="994"/>
      <c r="F16" s="994"/>
      <c r="G16" s="994"/>
      <c r="H16" s="995"/>
    </row>
    <row r="17" spans="1:8" s="105" customFormat="1" ht="19.5" customHeight="1">
      <c r="A17" s="349" t="s">
        <v>48</v>
      </c>
      <c r="B17" s="350" t="s">
        <v>355</v>
      </c>
      <c r="C17" s="351" t="s">
        <v>49</v>
      </c>
      <c r="D17" s="350" t="s">
        <v>50</v>
      </c>
      <c r="E17" s="351" t="s">
        <v>175</v>
      </c>
      <c r="F17" s="352" t="s">
        <v>51</v>
      </c>
      <c r="G17" s="991" t="s">
        <v>52</v>
      </c>
      <c r="H17" s="992"/>
    </row>
    <row r="18" spans="1:8" s="105" customFormat="1" ht="19.5" customHeight="1">
      <c r="A18" s="364">
        <v>1</v>
      </c>
      <c r="B18" s="354">
        <v>5839</v>
      </c>
      <c r="C18" s="208" t="s">
        <v>343</v>
      </c>
      <c r="D18" s="127" t="s">
        <v>198</v>
      </c>
      <c r="E18" s="243" t="s">
        <v>386</v>
      </c>
      <c r="F18" s="207">
        <v>11.1</v>
      </c>
      <c r="G18" s="126"/>
      <c r="H18" s="112">
        <f aca="true" t="shared" si="0" ref="H18:H23">ROUND(E18*F18,2)</f>
        <v>0.02</v>
      </c>
    </row>
    <row r="19" spans="1:8" s="105" customFormat="1" ht="19.5" customHeight="1">
      <c r="A19" s="364">
        <v>2</v>
      </c>
      <c r="B19" s="354" t="s">
        <v>387</v>
      </c>
      <c r="C19" s="208" t="s">
        <v>344</v>
      </c>
      <c r="D19" s="127" t="s">
        <v>200</v>
      </c>
      <c r="E19" s="243" t="s">
        <v>388</v>
      </c>
      <c r="F19" s="207">
        <v>5.28</v>
      </c>
      <c r="G19" s="126"/>
      <c r="H19" s="112">
        <f t="shared" si="0"/>
        <v>0.02</v>
      </c>
    </row>
    <row r="20" spans="1:8" s="105" customFormat="1" ht="19.5" customHeight="1">
      <c r="A20" s="364">
        <v>3</v>
      </c>
      <c r="B20" s="354">
        <v>83362</v>
      </c>
      <c r="C20" s="208" t="s">
        <v>389</v>
      </c>
      <c r="D20" s="127" t="s">
        <v>198</v>
      </c>
      <c r="E20" s="243" t="s">
        <v>390</v>
      </c>
      <c r="F20" s="207">
        <v>257.91</v>
      </c>
      <c r="G20" s="126"/>
      <c r="H20" s="112">
        <f t="shared" si="0"/>
        <v>0.26</v>
      </c>
    </row>
    <row r="21" spans="1:8" s="105" customFormat="1" ht="19.5" customHeight="1">
      <c r="A21" s="364">
        <v>4</v>
      </c>
      <c r="B21" s="354" t="s">
        <v>391</v>
      </c>
      <c r="C21" s="208" t="s">
        <v>345</v>
      </c>
      <c r="D21" s="127" t="s">
        <v>198</v>
      </c>
      <c r="E21" s="243" t="s">
        <v>392</v>
      </c>
      <c r="F21" s="207">
        <v>123.4</v>
      </c>
      <c r="G21" s="126"/>
      <c r="H21" s="112">
        <f t="shared" si="0"/>
        <v>0.21</v>
      </c>
    </row>
    <row r="22" spans="1:8" s="105" customFormat="1" ht="19.5" customHeight="1">
      <c r="A22" s="364">
        <v>5</v>
      </c>
      <c r="B22" s="354" t="s">
        <v>393</v>
      </c>
      <c r="C22" s="208" t="s">
        <v>346</v>
      </c>
      <c r="D22" s="127" t="s">
        <v>200</v>
      </c>
      <c r="E22" s="243" t="s">
        <v>394</v>
      </c>
      <c r="F22" s="207">
        <v>34.29</v>
      </c>
      <c r="G22" s="126"/>
      <c r="H22" s="112">
        <f t="shared" si="0"/>
        <v>0.14</v>
      </c>
    </row>
    <row r="23" spans="1:8" s="105" customFormat="1" ht="19.5" customHeight="1" thickBot="1">
      <c r="A23" s="364">
        <v>6</v>
      </c>
      <c r="B23" s="354">
        <v>91486</v>
      </c>
      <c r="C23" s="208" t="s">
        <v>395</v>
      </c>
      <c r="D23" s="127" t="s">
        <v>200</v>
      </c>
      <c r="E23" s="243" t="s">
        <v>396</v>
      </c>
      <c r="F23" s="207">
        <v>49.12</v>
      </c>
      <c r="G23" s="126"/>
      <c r="H23" s="112">
        <f t="shared" si="0"/>
        <v>0.24</v>
      </c>
    </row>
    <row r="24" spans="1:8" s="105" customFormat="1" ht="19.5" customHeight="1" thickBot="1">
      <c r="A24" s="365"/>
      <c r="B24" s="111" t="s">
        <v>223</v>
      </c>
      <c r="C24" s="111"/>
      <c r="D24" s="114"/>
      <c r="E24" s="115" t="s">
        <v>227</v>
      </c>
      <c r="F24" s="128"/>
      <c r="G24" s="129"/>
      <c r="H24" s="118">
        <f>SUM(H18:H23)</f>
        <v>0.89</v>
      </c>
    </row>
    <row r="25" spans="1:8" s="105" customFormat="1" ht="19.5" customHeight="1">
      <c r="A25" s="365"/>
      <c r="B25" s="954" t="s">
        <v>228</v>
      </c>
      <c r="C25" s="954"/>
      <c r="D25" s="954"/>
      <c r="E25" s="954"/>
      <c r="F25" s="954"/>
      <c r="G25" s="955"/>
      <c r="H25" s="131">
        <f>SUM(H11+H15+H24)</f>
        <v>5.72</v>
      </c>
    </row>
    <row r="26" spans="1:8" s="105" customFormat="1" ht="19.5" customHeight="1" thickBot="1">
      <c r="A26" s="366"/>
      <c r="B26" s="1002" t="s">
        <v>229</v>
      </c>
      <c r="C26" s="1002"/>
      <c r="D26" s="1002"/>
      <c r="E26" s="1002"/>
      <c r="F26" s="1002"/>
      <c r="G26" s="355">
        <v>0.2746</v>
      </c>
      <c r="H26" s="356">
        <f>H25*G26</f>
        <v>1.5707119999999999</v>
      </c>
    </row>
    <row r="27" spans="1:8" s="105" customFormat="1" ht="19.5" customHeight="1" thickBot="1">
      <c r="A27" s="357"/>
      <c r="B27" s="358" t="s">
        <v>230</v>
      </c>
      <c r="C27" s="358"/>
      <c r="D27" s="359"/>
      <c r="E27" s="358"/>
      <c r="F27" s="358"/>
      <c r="G27" s="360"/>
      <c r="H27" s="361">
        <f>SUM(H25:H26)</f>
        <v>7.290711999999999</v>
      </c>
    </row>
    <row r="29" ht="13.5" thickBot="1"/>
    <row r="30" spans="1:8" ht="15">
      <c r="A30" s="1003" t="s">
        <v>640</v>
      </c>
      <c r="B30" s="1004"/>
      <c r="C30" s="1004"/>
      <c r="D30" s="1004"/>
      <c r="E30" s="1004"/>
      <c r="F30" s="1004"/>
      <c r="G30" s="1004"/>
      <c r="H30" s="1005"/>
    </row>
    <row r="31" spans="1:8" ht="15">
      <c r="A31" s="1000" t="s">
        <v>641</v>
      </c>
      <c r="B31" s="1001"/>
      <c r="C31" s="1001"/>
      <c r="D31" s="1001"/>
      <c r="E31" s="1001"/>
      <c r="F31" s="1001"/>
      <c r="G31" s="1001"/>
      <c r="H31" s="1006"/>
    </row>
    <row r="32" spans="1:8" ht="60">
      <c r="A32" s="1000" t="s">
        <v>642</v>
      </c>
      <c r="B32" s="1001"/>
      <c r="C32" s="1001"/>
      <c r="D32" s="1001"/>
      <c r="E32" s="1001"/>
      <c r="F32" s="635" t="s">
        <v>643</v>
      </c>
      <c r="G32" s="635" t="s">
        <v>644</v>
      </c>
      <c r="H32" s="636" t="s">
        <v>645</v>
      </c>
    </row>
    <row r="33" spans="1:8" ht="30">
      <c r="A33" s="996" t="s">
        <v>397</v>
      </c>
      <c r="B33" s="997"/>
      <c r="C33" s="997"/>
      <c r="D33" s="997" t="s">
        <v>398</v>
      </c>
      <c r="E33" s="997"/>
      <c r="F33" s="637"/>
      <c r="G33" s="638"/>
      <c r="H33" s="639" t="s">
        <v>399</v>
      </c>
    </row>
    <row r="34" spans="1:8" ht="12.75">
      <c r="A34" s="998" t="s">
        <v>400</v>
      </c>
      <c r="B34" s="999"/>
      <c r="C34" s="999"/>
      <c r="D34" s="999"/>
      <c r="E34" s="999"/>
      <c r="F34" s="640"/>
      <c r="G34" s="638"/>
      <c r="H34" s="641"/>
    </row>
    <row r="35" spans="1:8" ht="12.75">
      <c r="A35" s="1007" t="s">
        <v>401</v>
      </c>
      <c r="B35" s="1008"/>
      <c r="C35" s="1008"/>
      <c r="D35" s="1008"/>
      <c r="E35" s="1008"/>
      <c r="F35" s="642"/>
      <c r="G35" s="638"/>
      <c r="H35" s="643"/>
    </row>
    <row r="36" spans="1:8" ht="12.75">
      <c r="A36" s="1007" t="s">
        <v>402</v>
      </c>
      <c r="B36" s="1008"/>
      <c r="C36" s="1008"/>
      <c r="D36" s="1008"/>
      <c r="E36" s="1008"/>
      <c r="F36" s="642"/>
      <c r="G36" s="638"/>
      <c r="H36" s="643"/>
    </row>
    <row r="37" spans="1:8" ht="15">
      <c r="A37" s="1009" t="s">
        <v>403</v>
      </c>
      <c r="B37" s="1010"/>
      <c r="C37" s="1010"/>
      <c r="D37" s="1010"/>
      <c r="E37" s="1010"/>
      <c r="F37" s="644"/>
      <c r="G37" s="638"/>
      <c r="H37" s="645"/>
    </row>
    <row r="38" spans="1:8" ht="15">
      <c r="A38" s="1007" t="s">
        <v>404</v>
      </c>
      <c r="B38" s="1008"/>
      <c r="C38" s="1008"/>
      <c r="D38" s="1008"/>
      <c r="E38" s="1008"/>
      <c r="F38" s="646">
        <v>7035</v>
      </c>
      <c r="G38" s="646">
        <v>7035</v>
      </c>
      <c r="H38" s="647"/>
    </row>
    <row r="39" spans="1:8" ht="15">
      <c r="A39" s="1007" t="s">
        <v>405</v>
      </c>
      <c r="B39" s="1008"/>
      <c r="C39" s="1008"/>
      <c r="D39" s="999" t="s">
        <v>413</v>
      </c>
      <c r="E39" s="999"/>
      <c r="F39" s="648">
        <v>6516</v>
      </c>
      <c r="G39" s="648">
        <v>6383</v>
      </c>
      <c r="H39" s="647"/>
    </row>
    <row r="40" spans="1:8" ht="15">
      <c r="A40" s="1007" t="s">
        <v>406</v>
      </c>
      <c r="B40" s="1008"/>
      <c r="C40" s="1008"/>
      <c r="D40" s="1008"/>
      <c r="E40" s="1008"/>
      <c r="F40" s="649"/>
      <c r="G40" s="649"/>
      <c r="H40" s="647"/>
    </row>
    <row r="41" spans="1:8" ht="15">
      <c r="A41" s="1007" t="s">
        <v>407</v>
      </c>
      <c r="B41" s="1008"/>
      <c r="C41" s="1008"/>
      <c r="D41" s="999" t="s">
        <v>413</v>
      </c>
      <c r="E41" s="999"/>
      <c r="F41" s="648">
        <v>6960</v>
      </c>
      <c r="G41" s="648">
        <v>7064</v>
      </c>
      <c r="H41" s="647"/>
    </row>
    <row r="42" spans="1:8" ht="15">
      <c r="A42" s="1007" t="s">
        <v>408</v>
      </c>
      <c r="B42" s="1008"/>
      <c r="C42" s="1008"/>
      <c r="D42" s="1008"/>
      <c r="E42" s="1008"/>
      <c r="F42" s="649"/>
      <c r="G42" s="649"/>
      <c r="H42" s="647"/>
    </row>
    <row r="43" spans="1:8" ht="15">
      <c r="A43" s="1009" t="s">
        <v>409</v>
      </c>
      <c r="B43" s="1010"/>
      <c r="C43" s="1010"/>
      <c r="D43" s="1008"/>
      <c r="E43" s="1008"/>
      <c r="F43" s="650"/>
      <c r="G43" s="650"/>
      <c r="H43" s="651"/>
    </row>
    <row r="44" spans="1:8" ht="15">
      <c r="A44" s="1007" t="s">
        <v>410</v>
      </c>
      <c r="B44" s="1008"/>
      <c r="C44" s="1008"/>
      <c r="D44" s="999" t="s">
        <v>413</v>
      </c>
      <c r="E44" s="999"/>
      <c r="F44" s="649">
        <v>7182</v>
      </c>
      <c r="G44" s="649">
        <v>7064</v>
      </c>
      <c r="H44" s="647">
        <f>F44/1000</f>
        <v>7.182</v>
      </c>
    </row>
    <row r="45" spans="1:8" ht="15">
      <c r="A45" s="1007" t="s">
        <v>411</v>
      </c>
      <c r="B45" s="1008"/>
      <c r="C45" s="1008"/>
      <c r="D45" s="1008"/>
      <c r="E45" s="1008"/>
      <c r="F45" s="648"/>
      <c r="G45" s="648"/>
      <c r="H45" s="647"/>
    </row>
    <row r="46" spans="1:8" ht="15">
      <c r="A46" s="1007" t="s">
        <v>412</v>
      </c>
      <c r="B46" s="1008"/>
      <c r="C46" s="1008"/>
      <c r="D46" s="999" t="s">
        <v>413</v>
      </c>
      <c r="E46" s="999"/>
      <c r="F46" s="649">
        <v>3938</v>
      </c>
      <c r="G46" s="649">
        <v>3820</v>
      </c>
      <c r="H46" s="652">
        <f>F46/1000</f>
        <v>3.938</v>
      </c>
    </row>
    <row r="47" spans="1:8" ht="15">
      <c r="A47" s="1007" t="s">
        <v>414</v>
      </c>
      <c r="B47" s="1008"/>
      <c r="C47" s="1008"/>
      <c r="D47" s="1008"/>
      <c r="E47" s="1008"/>
      <c r="F47" s="648"/>
      <c r="G47" s="648"/>
      <c r="H47" s="647"/>
    </row>
    <row r="48" spans="1:8" ht="15">
      <c r="A48" s="1007" t="s">
        <v>415</v>
      </c>
      <c r="B48" s="1008"/>
      <c r="C48" s="1008"/>
      <c r="D48" s="999" t="s">
        <v>413</v>
      </c>
      <c r="E48" s="999"/>
      <c r="F48" s="649">
        <v>8733</v>
      </c>
      <c r="G48" s="649">
        <v>8141</v>
      </c>
      <c r="H48" s="647">
        <f>F48/1000</f>
        <v>8.733</v>
      </c>
    </row>
    <row r="49" spans="1:8" ht="15">
      <c r="A49" s="1007" t="s">
        <v>416</v>
      </c>
      <c r="B49" s="1008"/>
      <c r="C49" s="1008"/>
      <c r="D49" s="1008"/>
      <c r="E49" s="1008"/>
      <c r="F49" s="648"/>
      <c r="G49" s="648"/>
      <c r="H49" s="647"/>
    </row>
    <row r="50" spans="1:8" ht="15">
      <c r="A50" s="1007" t="s">
        <v>417</v>
      </c>
      <c r="B50" s="1008"/>
      <c r="C50" s="1008"/>
      <c r="D50" s="1008"/>
      <c r="E50" s="1008"/>
      <c r="F50" s="649"/>
      <c r="G50" s="649"/>
      <c r="H50" s="647"/>
    </row>
    <row r="51" spans="1:8" ht="15">
      <c r="A51" s="1007" t="s">
        <v>418</v>
      </c>
      <c r="B51" s="1008"/>
      <c r="C51" s="1008"/>
      <c r="D51" s="1008"/>
      <c r="E51" s="1008"/>
      <c r="F51" s="648"/>
      <c r="G51" s="653"/>
      <c r="H51" s="654"/>
    </row>
    <row r="52" spans="1:8" ht="15">
      <c r="A52" s="1009" t="s">
        <v>419</v>
      </c>
      <c r="B52" s="1010"/>
      <c r="C52" s="1010"/>
      <c r="D52" s="1008"/>
      <c r="E52" s="1008"/>
      <c r="F52" s="655"/>
      <c r="G52" s="638"/>
      <c r="H52" s="651"/>
    </row>
    <row r="53" spans="1:8" ht="15">
      <c r="A53" s="1007" t="s">
        <v>420</v>
      </c>
      <c r="B53" s="1008"/>
      <c r="C53" s="1008"/>
      <c r="D53" s="999" t="s">
        <v>413</v>
      </c>
      <c r="E53" s="999"/>
      <c r="F53" s="649">
        <v>4183</v>
      </c>
      <c r="G53" s="649">
        <v>4065</v>
      </c>
      <c r="H53" s="647"/>
    </row>
    <row r="54" spans="1:8" ht="15">
      <c r="A54" s="1007" t="s">
        <v>421</v>
      </c>
      <c r="B54" s="1008"/>
      <c r="C54" s="1008"/>
      <c r="D54" s="999" t="s">
        <v>413</v>
      </c>
      <c r="E54" s="999"/>
      <c r="F54" s="656">
        <v>4534</v>
      </c>
      <c r="G54" s="656">
        <v>4417</v>
      </c>
      <c r="H54" s="647"/>
    </row>
    <row r="55" spans="1:8" ht="15.75" thickBot="1">
      <c r="A55" s="1011" t="s">
        <v>422</v>
      </c>
      <c r="B55" s="1012"/>
      <c r="C55" s="1012"/>
      <c r="D55" s="1013" t="s">
        <v>413</v>
      </c>
      <c r="E55" s="1013"/>
      <c r="F55" s="657">
        <v>4237</v>
      </c>
      <c r="G55" s="657">
        <v>4208</v>
      </c>
      <c r="H55" s="658"/>
    </row>
  </sheetData>
  <sheetProtection/>
  <mergeCells count="65">
    <mergeCell ref="A54:C54"/>
    <mergeCell ref="D54:E54"/>
    <mergeCell ref="A55:C55"/>
    <mergeCell ref="D55:E55"/>
    <mergeCell ref="A53:C53"/>
    <mergeCell ref="D53:E53"/>
    <mergeCell ref="A50:C50"/>
    <mergeCell ref="D50:E50"/>
    <mergeCell ref="A51:C51"/>
    <mergeCell ref="D51:E51"/>
    <mergeCell ref="A52:C52"/>
    <mergeCell ref="D52:E52"/>
    <mergeCell ref="A47:C47"/>
    <mergeCell ref="D47:E47"/>
    <mergeCell ref="A48:C48"/>
    <mergeCell ref="D48:E48"/>
    <mergeCell ref="A49:C49"/>
    <mergeCell ref="D49:E49"/>
    <mergeCell ref="A44:C44"/>
    <mergeCell ref="D44:E44"/>
    <mergeCell ref="A45:C45"/>
    <mergeCell ref="D45:E45"/>
    <mergeCell ref="A46:C46"/>
    <mergeCell ref="D46:E46"/>
    <mergeCell ref="A41:C41"/>
    <mergeCell ref="D41:E41"/>
    <mergeCell ref="A42:C42"/>
    <mergeCell ref="D42:E42"/>
    <mergeCell ref="A43:C43"/>
    <mergeCell ref="D43:E43"/>
    <mergeCell ref="A38:C38"/>
    <mergeCell ref="D38:E38"/>
    <mergeCell ref="A39:C39"/>
    <mergeCell ref="D39:E39"/>
    <mergeCell ref="A40:C40"/>
    <mergeCell ref="D40:E40"/>
    <mergeCell ref="A35:C35"/>
    <mergeCell ref="D35:E35"/>
    <mergeCell ref="A36:C36"/>
    <mergeCell ref="D36:E36"/>
    <mergeCell ref="A37:C37"/>
    <mergeCell ref="D37:E37"/>
    <mergeCell ref="A33:C33"/>
    <mergeCell ref="D33:E33"/>
    <mergeCell ref="A34:C34"/>
    <mergeCell ref="D34:E34"/>
    <mergeCell ref="A32:E32"/>
    <mergeCell ref="G17:H17"/>
    <mergeCell ref="B25:G25"/>
    <mergeCell ref="B26:F26"/>
    <mergeCell ref="A30:H30"/>
    <mergeCell ref="A31:H31"/>
    <mergeCell ref="A7:H7"/>
    <mergeCell ref="A8:H8"/>
    <mergeCell ref="G9:H9"/>
    <mergeCell ref="A12:H12"/>
    <mergeCell ref="G13:H13"/>
    <mergeCell ref="A16:H16"/>
    <mergeCell ref="B1:H1"/>
    <mergeCell ref="A2:H2"/>
    <mergeCell ref="A3:H3"/>
    <mergeCell ref="A4:H4"/>
    <mergeCell ref="B5:H5"/>
    <mergeCell ref="C6:F6"/>
    <mergeCell ref="G6:H6"/>
  </mergeCells>
  <printOptions/>
  <pageMargins left="0.511811024" right="0.511811024" top="0.787401575" bottom="0.787401575" header="0.31496062" footer="0.31496062"/>
  <pageSetup horizontalDpi="600" verticalDpi="600" orientation="portrait" paperSize="9" scale="70"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47"/>
  <sheetViews>
    <sheetView view="pageBreakPreview" zoomScaleNormal="115" zoomScaleSheetLayoutView="100" zoomScalePageLayoutView="0" workbookViewId="0" topLeftCell="A37">
      <selection activeCell="A6" sqref="A6"/>
    </sheetView>
  </sheetViews>
  <sheetFormatPr defaultColWidth="9.140625" defaultRowHeight="12.75"/>
  <cols>
    <col min="1" max="1" width="7.7109375" style="58" customWidth="1"/>
    <col min="2" max="2" width="10.7109375" style="58" customWidth="1"/>
    <col min="3" max="3" width="36.421875" style="58" bestFit="1" customWidth="1"/>
    <col min="4" max="7" width="11.7109375" style="58" customWidth="1"/>
    <col min="8" max="8" width="11.7109375" style="57" customWidth="1"/>
    <col min="9" max="9" width="9.140625" style="57" customWidth="1"/>
    <col min="10" max="16384" width="9.140625" style="58" customWidth="1"/>
  </cols>
  <sheetData>
    <row r="1" spans="1:8" ht="12.75">
      <c r="A1" s="54"/>
      <c r="B1" s="55"/>
      <c r="C1" s="55"/>
      <c r="D1" s="55"/>
      <c r="E1" s="55"/>
      <c r="F1" s="55"/>
      <c r="G1" s="56"/>
      <c r="H1" s="144"/>
    </row>
    <row r="2" spans="1:8" ht="12.75">
      <c r="A2" s="937" t="s">
        <v>24</v>
      </c>
      <c r="B2" s="938"/>
      <c r="C2" s="938"/>
      <c r="D2" s="938"/>
      <c r="E2" s="938"/>
      <c r="F2" s="938"/>
      <c r="G2" s="939"/>
      <c r="H2" s="86"/>
    </row>
    <row r="3" spans="1:8" ht="12.75">
      <c r="A3" s="940" t="s">
        <v>213</v>
      </c>
      <c r="B3" s="941"/>
      <c r="C3" s="941"/>
      <c r="D3" s="941"/>
      <c r="E3" s="941"/>
      <c r="F3" s="941"/>
      <c r="G3" s="942"/>
      <c r="H3" s="86"/>
    </row>
    <row r="4" spans="1:8" ht="12.75">
      <c r="A4" s="943" t="s">
        <v>23</v>
      </c>
      <c r="B4" s="944"/>
      <c r="C4" s="944"/>
      <c r="D4" s="944"/>
      <c r="E4" s="944"/>
      <c r="F4" s="944"/>
      <c r="G4" s="945"/>
      <c r="H4" s="86"/>
    </row>
    <row r="5" spans="1:8" ht="13.5" thickBot="1">
      <c r="A5" s="946"/>
      <c r="B5" s="947"/>
      <c r="C5" s="947"/>
      <c r="D5" s="947"/>
      <c r="E5" s="947"/>
      <c r="F5" s="947"/>
      <c r="G5" s="948"/>
      <c r="H5" s="86"/>
    </row>
    <row r="6" spans="1:8" ht="27" thickBot="1" thickTop="1">
      <c r="A6" s="169" t="s">
        <v>651</v>
      </c>
      <c r="B6" s="170" t="s">
        <v>646</v>
      </c>
      <c r="C6" s="949" t="s">
        <v>44</v>
      </c>
      <c r="D6" s="949"/>
      <c r="E6" s="949"/>
      <c r="F6" s="949"/>
      <c r="G6" s="171" t="s">
        <v>174</v>
      </c>
      <c r="H6" s="34"/>
    </row>
    <row r="7" spans="1:8" ht="41.25" customHeight="1" thickTop="1">
      <c r="A7" s="1014" t="str">
        <f>'ORÇAMENTO GERAL'!C6</f>
        <v>EXECUÇÃO DOS SERVIÇOS DE DRENAGEM SUPERFICIAL E PROFUNDA E PAVIMENTAÇÃO DAS RUAS UNIÃO E JARDIM DOS ESPORTES NO BAIRRO DO ICUI- NO MUNICÍPIO DE ANANINDEUA - PA.</v>
      </c>
      <c r="B7" s="1015"/>
      <c r="C7" s="1015"/>
      <c r="D7" s="1015"/>
      <c r="E7" s="1015"/>
      <c r="F7" s="1015"/>
      <c r="G7" s="1016"/>
      <c r="H7" s="34"/>
    </row>
    <row r="8" spans="1:10" s="60" customFormat="1" ht="19.5" customHeight="1">
      <c r="A8" s="918" t="s">
        <v>47</v>
      </c>
      <c r="B8" s="919"/>
      <c r="C8" s="919"/>
      <c r="D8" s="919"/>
      <c r="E8" s="919"/>
      <c r="F8" s="919"/>
      <c r="G8" s="920"/>
      <c r="H8" s="35"/>
      <c r="I8" s="57">
        <v>1.28</v>
      </c>
      <c r="J8" s="59">
        <f>G44</f>
        <v>732.14</v>
      </c>
    </row>
    <row r="9" spans="1:9" s="60" customFormat="1" ht="19.5" customHeight="1">
      <c r="A9" s="23" t="s">
        <v>48</v>
      </c>
      <c r="B9" s="44" t="s">
        <v>355</v>
      </c>
      <c r="C9" s="5" t="s">
        <v>49</v>
      </c>
      <c r="D9" s="44" t="s">
        <v>50</v>
      </c>
      <c r="E9" s="5" t="s">
        <v>175</v>
      </c>
      <c r="F9" s="6" t="s">
        <v>51</v>
      </c>
      <c r="G9" s="24" t="s">
        <v>52</v>
      </c>
      <c r="H9" s="36"/>
      <c r="I9" s="57"/>
    </row>
    <row r="10" spans="1:9" s="60" customFormat="1" ht="19.5" customHeight="1">
      <c r="A10" s="25">
        <v>1</v>
      </c>
      <c r="B10" s="7" t="s">
        <v>203</v>
      </c>
      <c r="C10" s="33" t="s">
        <v>185</v>
      </c>
      <c r="D10" s="45" t="s">
        <v>55</v>
      </c>
      <c r="E10" s="8">
        <v>0.0134</v>
      </c>
      <c r="F10" s="9">
        <v>18.78</v>
      </c>
      <c r="G10" s="26">
        <f>ROUND(E10*F10,2)</f>
        <v>0.25</v>
      </c>
      <c r="H10" s="43">
        <v>0.0134</v>
      </c>
      <c r="I10" s="57">
        <f>$I$8</f>
        <v>1.28</v>
      </c>
    </row>
    <row r="11" spans="1:9" s="60" customFormat="1" ht="19.5" customHeight="1">
      <c r="A11" s="25">
        <v>2</v>
      </c>
      <c r="B11" s="7" t="s">
        <v>202</v>
      </c>
      <c r="C11" s="33" t="s">
        <v>186</v>
      </c>
      <c r="D11" s="45" t="s">
        <v>55</v>
      </c>
      <c r="E11" s="8">
        <v>0.035</v>
      </c>
      <c r="F11" s="9">
        <v>19.38</v>
      </c>
      <c r="G11" s="26">
        <f>ROUND(E11*F11,2)</f>
        <v>0.68</v>
      </c>
      <c r="H11" s="43">
        <v>0.035</v>
      </c>
      <c r="I11" s="57">
        <f aca="true" t="shared" si="0" ref="I11:I37">$I$8</f>
        <v>1.28</v>
      </c>
    </row>
    <row r="12" spans="1:9" s="60" customFormat="1" ht="19.5" customHeight="1">
      <c r="A12" s="25">
        <v>3</v>
      </c>
      <c r="B12" s="7" t="s">
        <v>56</v>
      </c>
      <c r="C12" s="33" t="s">
        <v>187</v>
      </c>
      <c r="D12" s="45" t="s">
        <v>55</v>
      </c>
      <c r="E12" s="8">
        <v>0.1067</v>
      </c>
      <c r="F12" s="9">
        <v>17.09</v>
      </c>
      <c r="G12" s="26">
        <f>ROUND(E12*F12,2)</f>
        <v>1.82</v>
      </c>
      <c r="H12" s="43">
        <v>0.1067</v>
      </c>
      <c r="I12" s="57">
        <f t="shared" si="0"/>
        <v>1.28</v>
      </c>
    </row>
    <row r="13" spans="1:9" s="60" customFormat="1" ht="19.5" customHeight="1" thickBot="1">
      <c r="A13" s="370">
        <v>4</v>
      </c>
      <c r="B13" s="371">
        <v>88314</v>
      </c>
      <c r="C13" s="372" t="s">
        <v>190</v>
      </c>
      <c r="D13" s="373" t="s">
        <v>55</v>
      </c>
      <c r="E13" s="374">
        <v>1.1301</v>
      </c>
      <c r="F13" s="375">
        <v>15.91</v>
      </c>
      <c r="G13" s="376">
        <f>ROUND(E13*F13,2)</f>
        <v>17.98</v>
      </c>
      <c r="H13" s="43">
        <v>1.1301</v>
      </c>
      <c r="I13" s="57">
        <f t="shared" si="0"/>
        <v>1.28</v>
      </c>
    </row>
    <row r="14" spans="1:9" s="60" customFormat="1" ht="19.5" customHeight="1" thickBot="1">
      <c r="A14" s="1017" t="s">
        <v>57</v>
      </c>
      <c r="B14" s="1018"/>
      <c r="C14" s="1018"/>
      <c r="D14" s="1018"/>
      <c r="E14" s="1019">
        <f>SUM(G10:G13)</f>
        <v>20.73</v>
      </c>
      <c r="F14" s="1019"/>
      <c r="G14" s="1020"/>
      <c r="H14" s="37"/>
      <c r="I14" s="57"/>
    </row>
    <row r="15" spans="1:9" s="60" customFormat="1" ht="19.5" customHeight="1">
      <c r="A15" s="918" t="s">
        <v>58</v>
      </c>
      <c r="B15" s="919"/>
      <c r="C15" s="919"/>
      <c r="D15" s="919"/>
      <c r="E15" s="919"/>
      <c r="F15" s="919"/>
      <c r="G15" s="920"/>
      <c r="H15" s="35"/>
      <c r="I15" s="57"/>
    </row>
    <row r="16" spans="1:9" s="60" customFormat="1" ht="19.5" customHeight="1">
      <c r="A16" s="27" t="s">
        <v>48</v>
      </c>
      <c r="B16" s="44" t="s">
        <v>355</v>
      </c>
      <c r="C16" s="11" t="s">
        <v>49</v>
      </c>
      <c r="D16" s="45" t="s">
        <v>50</v>
      </c>
      <c r="E16" s="5" t="s">
        <v>175</v>
      </c>
      <c r="F16" s="12" t="s">
        <v>51</v>
      </c>
      <c r="G16" s="28" t="s">
        <v>52</v>
      </c>
      <c r="H16" s="38"/>
      <c r="I16" s="57"/>
    </row>
    <row r="17" spans="1:9" s="60" customFormat="1" ht="19.5" customHeight="1">
      <c r="A17" s="25">
        <v>1</v>
      </c>
      <c r="B17" s="10">
        <v>5944</v>
      </c>
      <c r="C17" s="61" t="s">
        <v>178</v>
      </c>
      <c r="D17" s="45" t="s">
        <v>198</v>
      </c>
      <c r="E17" s="8">
        <v>0.035</v>
      </c>
      <c r="F17" s="9">
        <v>249.13</v>
      </c>
      <c r="G17" s="26">
        <f>ROUND(E17*F17,2)</f>
        <v>8.72</v>
      </c>
      <c r="H17" s="43">
        <v>0.035</v>
      </c>
      <c r="I17" s="57">
        <f t="shared" si="0"/>
        <v>1.28</v>
      </c>
    </row>
    <row r="18" spans="1:9" s="60" customFormat="1" ht="19.5" customHeight="1">
      <c r="A18" s="25">
        <v>2</v>
      </c>
      <c r="B18" s="10">
        <v>7030</v>
      </c>
      <c r="C18" s="61" t="s">
        <v>179</v>
      </c>
      <c r="D18" s="45" t="s">
        <v>198</v>
      </c>
      <c r="E18" s="8">
        <v>0.0134</v>
      </c>
      <c r="F18" s="9">
        <v>294.06</v>
      </c>
      <c r="G18" s="26">
        <f aca="true" t="shared" si="1" ref="G18:G29">ROUND(E18*F18,2)</f>
        <v>3.94</v>
      </c>
      <c r="H18" s="43">
        <v>0.0134</v>
      </c>
      <c r="I18" s="57">
        <f t="shared" si="0"/>
        <v>1.28</v>
      </c>
    </row>
    <row r="19" spans="1:9" s="60" customFormat="1" ht="19.5" customHeight="1">
      <c r="A19" s="25">
        <v>3</v>
      </c>
      <c r="B19" s="10">
        <v>93433</v>
      </c>
      <c r="C19" s="61" t="s">
        <v>181</v>
      </c>
      <c r="D19" s="45" t="s">
        <v>198</v>
      </c>
      <c r="E19" s="8">
        <v>0.0134</v>
      </c>
      <c r="F19" s="9">
        <v>3566.34</v>
      </c>
      <c r="G19" s="26">
        <f t="shared" si="1"/>
        <v>47.79</v>
      </c>
      <c r="H19" s="43">
        <v>0.0134</v>
      </c>
      <c r="I19" s="57">
        <f t="shared" si="0"/>
        <v>1.28</v>
      </c>
    </row>
    <row r="20" spans="1:9" s="60" customFormat="1" ht="19.5" customHeight="1">
      <c r="A20" s="25">
        <v>4</v>
      </c>
      <c r="B20" s="10">
        <v>95872</v>
      </c>
      <c r="C20" s="61" t="s">
        <v>182</v>
      </c>
      <c r="D20" s="45" t="s">
        <v>198</v>
      </c>
      <c r="E20" s="8">
        <v>0.0134</v>
      </c>
      <c r="F20" s="9">
        <v>318.48</v>
      </c>
      <c r="G20" s="26">
        <f t="shared" si="1"/>
        <v>4.27</v>
      </c>
      <c r="H20" s="43">
        <v>0.0134</v>
      </c>
      <c r="I20" s="57">
        <f t="shared" si="0"/>
        <v>1.28</v>
      </c>
    </row>
    <row r="21" spans="1:9" s="60" customFormat="1" ht="19.5" customHeight="1">
      <c r="A21" s="25">
        <v>5</v>
      </c>
      <c r="B21" s="10">
        <v>5835</v>
      </c>
      <c r="C21" s="61" t="s">
        <v>188</v>
      </c>
      <c r="D21" s="45" t="s">
        <v>198</v>
      </c>
      <c r="E21" s="8">
        <v>0.0464</v>
      </c>
      <c r="F21" s="9">
        <v>392.09</v>
      </c>
      <c r="G21" s="26">
        <f t="shared" si="1"/>
        <v>18.19</v>
      </c>
      <c r="H21" s="43">
        <v>0.0464</v>
      </c>
      <c r="I21" s="57">
        <f t="shared" si="0"/>
        <v>1.28</v>
      </c>
    </row>
    <row r="22" spans="1:9" s="60" customFormat="1" ht="19.5" customHeight="1">
      <c r="A22" s="25">
        <v>6</v>
      </c>
      <c r="B22" s="10">
        <v>5837</v>
      </c>
      <c r="C22" s="61" t="s">
        <v>189</v>
      </c>
      <c r="D22" s="45" t="s">
        <v>200</v>
      </c>
      <c r="E22" s="8">
        <v>0.0949</v>
      </c>
      <c r="F22" s="9">
        <v>136.39</v>
      </c>
      <c r="G22" s="26">
        <f t="shared" si="1"/>
        <v>12.94</v>
      </c>
      <c r="H22" s="43">
        <v>0.0949</v>
      </c>
      <c r="I22" s="57">
        <f t="shared" si="0"/>
        <v>1.28</v>
      </c>
    </row>
    <row r="23" spans="1:9" s="60" customFormat="1" ht="19.5" customHeight="1">
      <c r="A23" s="25">
        <v>7</v>
      </c>
      <c r="B23" s="10">
        <v>91386</v>
      </c>
      <c r="C23" s="61" t="s">
        <v>191</v>
      </c>
      <c r="D23" s="45" t="s">
        <v>198</v>
      </c>
      <c r="E23" s="8">
        <v>0.0464</v>
      </c>
      <c r="F23" s="9">
        <v>247.81</v>
      </c>
      <c r="G23" s="26">
        <f t="shared" si="1"/>
        <v>11.5</v>
      </c>
      <c r="H23" s="43">
        <v>0.0464</v>
      </c>
      <c r="I23" s="57">
        <f t="shared" si="0"/>
        <v>1.28</v>
      </c>
    </row>
    <row r="24" spans="1:9" s="60" customFormat="1" ht="19.5" customHeight="1">
      <c r="A24" s="25">
        <v>8</v>
      </c>
      <c r="B24" s="10">
        <v>95631</v>
      </c>
      <c r="C24" s="61" t="s">
        <v>192</v>
      </c>
      <c r="D24" s="45" t="s">
        <v>198</v>
      </c>
      <c r="E24" s="8">
        <v>0.0805</v>
      </c>
      <c r="F24" s="9">
        <v>231.94</v>
      </c>
      <c r="G24" s="26">
        <f t="shared" si="1"/>
        <v>18.67</v>
      </c>
      <c r="H24" s="43">
        <v>0.0805</v>
      </c>
      <c r="I24" s="57">
        <f t="shared" si="0"/>
        <v>1.28</v>
      </c>
    </row>
    <row r="25" spans="1:9" s="60" customFormat="1" ht="19.5" customHeight="1">
      <c r="A25" s="25">
        <v>9</v>
      </c>
      <c r="B25" s="10">
        <v>95632</v>
      </c>
      <c r="C25" s="61" t="s">
        <v>193</v>
      </c>
      <c r="D25" s="45" t="s">
        <v>200</v>
      </c>
      <c r="E25" s="8">
        <v>0.0607</v>
      </c>
      <c r="F25" s="9">
        <v>73.44</v>
      </c>
      <c r="G25" s="26">
        <f t="shared" si="1"/>
        <v>4.46</v>
      </c>
      <c r="H25" s="43">
        <v>0.0607</v>
      </c>
      <c r="I25" s="57">
        <f t="shared" si="0"/>
        <v>1.28</v>
      </c>
    </row>
    <row r="26" spans="1:9" s="60" customFormat="1" ht="19.5" customHeight="1">
      <c r="A26" s="25">
        <v>10</v>
      </c>
      <c r="B26" s="10">
        <v>96155</v>
      </c>
      <c r="C26" s="61" t="s">
        <v>194</v>
      </c>
      <c r="D26" s="45" t="s">
        <v>200</v>
      </c>
      <c r="E26" s="8">
        <v>0.1071</v>
      </c>
      <c r="F26" s="9">
        <v>39.33</v>
      </c>
      <c r="G26" s="26">
        <f t="shared" si="1"/>
        <v>4.21</v>
      </c>
      <c r="H26" s="43">
        <v>0.1071</v>
      </c>
      <c r="I26" s="57">
        <f t="shared" si="0"/>
        <v>1.28</v>
      </c>
    </row>
    <row r="27" spans="1:9" s="60" customFormat="1" ht="19.5" customHeight="1">
      <c r="A27" s="25">
        <v>11</v>
      </c>
      <c r="B27" s="10">
        <v>96157</v>
      </c>
      <c r="C27" s="61" t="s">
        <v>195</v>
      </c>
      <c r="D27" s="45" t="s">
        <v>198</v>
      </c>
      <c r="E27" s="8">
        <v>0.0341</v>
      </c>
      <c r="F27" s="9">
        <v>133.28</v>
      </c>
      <c r="G27" s="26">
        <f t="shared" si="1"/>
        <v>4.54</v>
      </c>
      <c r="H27" s="43">
        <v>0.0341</v>
      </c>
      <c r="I27" s="57">
        <f t="shared" si="0"/>
        <v>1.28</v>
      </c>
    </row>
    <row r="28" spans="1:9" s="60" customFormat="1" ht="19.5" customHeight="1">
      <c r="A28" s="25">
        <v>12</v>
      </c>
      <c r="B28" s="10">
        <v>96463</v>
      </c>
      <c r="C28" s="61" t="s">
        <v>196</v>
      </c>
      <c r="D28" s="45" t="s">
        <v>198</v>
      </c>
      <c r="E28" s="8">
        <v>0.0419</v>
      </c>
      <c r="F28" s="9">
        <v>216.26</v>
      </c>
      <c r="G28" s="26">
        <f t="shared" si="1"/>
        <v>9.06</v>
      </c>
      <c r="H28" s="43">
        <v>0.0419</v>
      </c>
      <c r="I28" s="57">
        <f t="shared" si="0"/>
        <v>1.28</v>
      </c>
    </row>
    <row r="29" spans="1:9" s="60" customFormat="1" ht="19.5" customHeight="1" thickBot="1">
      <c r="A29" s="370">
        <v>13</v>
      </c>
      <c r="B29" s="371">
        <v>96464</v>
      </c>
      <c r="C29" s="377" t="s">
        <v>197</v>
      </c>
      <c r="D29" s="373" t="s">
        <v>200</v>
      </c>
      <c r="E29" s="374">
        <v>0.099</v>
      </c>
      <c r="F29" s="375">
        <v>79.38</v>
      </c>
      <c r="G29" s="376">
        <f t="shared" si="1"/>
        <v>7.86</v>
      </c>
      <c r="H29" s="43">
        <v>0.099</v>
      </c>
      <c r="I29" s="57">
        <f t="shared" si="0"/>
        <v>1.28</v>
      </c>
    </row>
    <row r="30" spans="1:9" s="60" customFormat="1" ht="19.5" customHeight="1" thickBot="1">
      <c r="A30" s="1017" t="s">
        <v>59</v>
      </c>
      <c r="B30" s="1018"/>
      <c r="C30" s="1018"/>
      <c r="D30" s="1018"/>
      <c r="E30" s="1019">
        <f>SUM(G17:G29)</f>
        <v>156.15</v>
      </c>
      <c r="F30" s="1019"/>
      <c r="G30" s="1020"/>
      <c r="H30" s="37"/>
      <c r="I30" s="57"/>
    </row>
    <row r="31" spans="1:9" s="60" customFormat="1" ht="19.5" customHeight="1">
      <c r="A31" s="918" t="s">
        <v>60</v>
      </c>
      <c r="B31" s="919"/>
      <c r="C31" s="919"/>
      <c r="D31" s="919"/>
      <c r="E31" s="919"/>
      <c r="F31" s="919"/>
      <c r="G31" s="920"/>
      <c r="H31" s="35"/>
      <c r="I31" s="57"/>
    </row>
    <row r="32" spans="1:9" s="60" customFormat="1" ht="19.5" customHeight="1">
      <c r="A32" s="23" t="s">
        <v>48</v>
      </c>
      <c r="B32" s="44" t="s">
        <v>355</v>
      </c>
      <c r="C32" s="5" t="s">
        <v>49</v>
      </c>
      <c r="D32" s="44" t="s">
        <v>50</v>
      </c>
      <c r="E32" s="5" t="s">
        <v>175</v>
      </c>
      <c r="F32" s="6" t="s">
        <v>51</v>
      </c>
      <c r="G32" s="24" t="s">
        <v>52</v>
      </c>
      <c r="H32" s="36"/>
      <c r="I32" s="57"/>
    </row>
    <row r="33" spans="1:9" s="60" customFormat="1" ht="19.5" customHeight="1">
      <c r="A33" s="29">
        <v>1</v>
      </c>
      <c r="B33" s="13">
        <v>370</v>
      </c>
      <c r="C33" s="31" t="s">
        <v>176</v>
      </c>
      <c r="D33" s="44" t="s">
        <v>0</v>
      </c>
      <c r="E33" s="8">
        <v>0.1875</v>
      </c>
      <c r="F33" s="15">
        <v>82.5</v>
      </c>
      <c r="G33" s="26">
        <f>ROUND(E33*F33,2)</f>
        <v>15.47</v>
      </c>
      <c r="H33" s="43">
        <v>0.1875</v>
      </c>
      <c r="I33" s="57">
        <f t="shared" si="0"/>
        <v>1.28</v>
      </c>
    </row>
    <row r="34" spans="1:9" s="60" customFormat="1" ht="19.5" customHeight="1">
      <c r="A34" s="29">
        <v>2</v>
      </c>
      <c r="B34" s="13">
        <v>4734</v>
      </c>
      <c r="C34" s="31" t="s">
        <v>177</v>
      </c>
      <c r="D34" s="44" t="s">
        <v>0</v>
      </c>
      <c r="E34" s="8">
        <v>0.252</v>
      </c>
      <c r="F34" s="15">
        <v>330.73</v>
      </c>
      <c r="G34" s="26">
        <f>ROUND(E34*F34,2)</f>
        <v>83.34</v>
      </c>
      <c r="H34" s="43">
        <v>0.252</v>
      </c>
      <c r="I34" s="57">
        <f t="shared" si="0"/>
        <v>1.28</v>
      </c>
    </row>
    <row r="35" spans="1:9" s="60" customFormat="1" ht="19.5" customHeight="1">
      <c r="A35" s="29">
        <v>3</v>
      </c>
      <c r="B35" s="13">
        <v>41899</v>
      </c>
      <c r="C35" s="32" t="s">
        <v>180</v>
      </c>
      <c r="D35" s="44" t="s">
        <v>36</v>
      </c>
      <c r="E35" s="8">
        <v>0.06</v>
      </c>
      <c r="F35" s="15">
        <v>5635.8</v>
      </c>
      <c r="G35" s="26">
        <f>ROUND(E35*F35,2)</f>
        <v>338.15</v>
      </c>
      <c r="H35" s="43">
        <v>0.06</v>
      </c>
      <c r="I35" s="57">
        <f t="shared" si="0"/>
        <v>1.28</v>
      </c>
    </row>
    <row r="36" spans="1:9" s="60" customFormat="1" ht="19.5" customHeight="1">
      <c r="A36" s="29">
        <v>4</v>
      </c>
      <c r="B36" s="13">
        <v>4221</v>
      </c>
      <c r="C36" s="31" t="s">
        <v>183</v>
      </c>
      <c r="D36" s="44" t="s">
        <v>199</v>
      </c>
      <c r="E36" s="8">
        <v>5</v>
      </c>
      <c r="F36" s="15">
        <v>6.62</v>
      </c>
      <c r="G36" s="26">
        <f>ROUND(E36*F36,2)</f>
        <v>33.1</v>
      </c>
      <c r="H36" s="43">
        <v>5</v>
      </c>
      <c r="I36" s="57">
        <f t="shared" si="0"/>
        <v>1.28</v>
      </c>
    </row>
    <row r="37" spans="1:9" s="60" customFormat="1" ht="19.5" customHeight="1" thickBot="1">
      <c r="A37" s="378">
        <v>5</v>
      </c>
      <c r="B37" s="379">
        <v>11138</v>
      </c>
      <c r="C37" s="380" t="s">
        <v>184</v>
      </c>
      <c r="D37" s="381" t="s">
        <v>199</v>
      </c>
      <c r="E37" s="374">
        <v>20</v>
      </c>
      <c r="F37" s="382">
        <v>4.26</v>
      </c>
      <c r="G37" s="376">
        <f>ROUND(E37*F37,2)</f>
        <v>85.2</v>
      </c>
      <c r="H37" s="43">
        <v>20</v>
      </c>
      <c r="I37" s="57">
        <f t="shared" si="0"/>
        <v>1.28</v>
      </c>
    </row>
    <row r="38" spans="1:9" s="60" customFormat="1" ht="19.5" customHeight="1" thickBot="1">
      <c r="A38" s="1017" t="s">
        <v>61</v>
      </c>
      <c r="B38" s="1018"/>
      <c r="C38" s="1018"/>
      <c r="D38" s="1018"/>
      <c r="E38" s="1019">
        <f>SUM(G33:G37)</f>
        <v>555.26</v>
      </c>
      <c r="F38" s="1019"/>
      <c r="G38" s="1020"/>
      <c r="H38" s="37"/>
      <c r="I38" s="57"/>
    </row>
    <row r="39" spans="1:9" s="60" customFormat="1" ht="19.5" customHeight="1">
      <c r="A39" s="1022" t="s">
        <v>62</v>
      </c>
      <c r="B39" s="1023"/>
      <c r="C39" s="1023"/>
      <c r="D39" s="1023"/>
      <c r="E39" s="1023"/>
      <c r="F39" s="1023"/>
      <c r="G39" s="1024"/>
      <c r="H39" s="39"/>
      <c r="I39" s="57"/>
    </row>
    <row r="40" spans="1:9" s="60" customFormat="1" ht="19.5" customHeight="1">
      <c r="A40" s="23" t="s">
        <v>48</v>
      </c>
      <c r="B40" s="44"/>
      <c r="C40" s="44" t="s">
        <v>63</v>
      </c>
      <c r="D40" s="44" t="s">
        <v>52</v>
      </c>
      <c r="E40" s="44"/>
      <c r="F40" s="16"/>
      <c r="G40" s="24"/>
      <c r="H40" s="36"/>
      <c r="I40" s="57"/>
    </row>
    <row r="41" spans="1:9" s="60" customFormat="1" ht="19.5" customHeight="1">
      <c r="A41" s="23" t="s">
        <v>64</v>
      </c>
      <c r="B41" s="44"/>
      <c r="C41" s="45" t="s">
        <v>65</v>
      </c>
      <c r="D41" s="915" t="s">
        <v>66</v>
      </c>
      <c r="E41" s="915"/>
      <c r="F41" s="915"/>
      <c r="G41" s="24">
        <f>E14</f>
        <v>20.73</v>
      </c>
      <c r="H41" s="36"/>
      <c r="I41" s="57"/>
    </row>
    <row r="42" spans="1:9" s="60" customFormat="1" ht="19.5" customHeight="1">
      <c r="A42" s="23" t="s">
        <v>67</v>
      </c>
      <c r="B42" s="44"/>
      <c r="C42" s="45" t="s">
        <v>68</v>
      </c>
      <c r="D42" s="915" t="s">
        <v>69</v>
      </c>
      <c r="E42" s="915"/>
      <c r="F42" s="915"/>
      <c r="G42" s="24">
        <f>E30</f>
        <v>156.15</v>
      </c>
      <c r="H42" s="36"/>
      <c r="I42" s="57"/>
    </row>
    <row r="43" spans="1:9" s="60" customFormat="1" ht="19.5" customHeight="1">
      <c r="A43" s="23" t="s">
        <v>20</v>
      </c>
      <c r="B43" s="44"/>
      <c r="C43" s="45" t="s">
        <v>70</v>
      </c>
      <c r="D43" s="915" t="s">
        <v>71</v>
      </c>
      <c r="E43" s="915"/>
      <c r="F43" s="915"/>
      <c r="G43" s="24">
        <f>E38</f>
        <v>555.26</v>
      </c>
      <c r="H43" s="36"/>
      <c r="I43" s="57"/>
    </row>
    <row r="44" spans="1:9" s="60" customFormat="1" ht="19.5" customHeight="1">
      <c r="A44" s="23" t="s">
        <v>12</v>
      </c>
      <c r="B44" s="44"/>
      <c r="C44" s="17" t="s">
        <v>72</v>
      </c>
      <c r="D44" s="916" t="s">
        <v>73</v>
      </c>
      <c r="E44" s="916"/>
      <c r="F44" s="916"/>
      <c r="G44" s="46">
        <f>G41+G42+G43</f>
        <v>732.14</v>
      </c>
      <c r="H44" s="40"/>
      <c r="I44" s="57"/>
    </row>
    <row r="45" spans="1:9" s="60" customFormat="1" ht="19.5" customHeight="1">
      <c r="A45" s="23" t="s">
        <v>74</v>
      </c>
      <c r="B45" s="44"/>
      <c r="C45" s="17" t="s">
        <v>75</v>
      </c>
      <c r="D45" s="18" t="s">
        <v>229</v>
      </c>
      <c r="E45" s="19"/>
      <c r="F45" s="383">
        <v>0.2746</v>
      </c>
      <c r="G45" s="30">
        <f>G44*F45</f>
        <v>201.045644</v>
      </c>
      <c r="H45" s="41"/>
      <c r="I45" s="57"/>
    </row>
    <row r="46" spans="1:9" s="60" customFormat="1" ht="19.5" customHeight="1" thickBot="1">
      <c r="A46" s="47"/>
      <c r="B46" s="48"/>
      <c r="C46" s="48"/>
      <c r="D46" s="1021" t="s">
        <v>76</v>
      </c>
      <c r="E46" s="1021"/>
      <c r="F46" s="1021"/>
      <c r="G46" s="49">
        <f>G44+G45</f>
        <v>933.185644</v>
      </c>
      <c r="H46" s="42"/>
      <c r="I46" s="57"/>
    </row>
    <row r="47" spans="1:8" ht="12.75">
      <c r="A47" s="20"/>
      <c r="B47" s="20"/>
      <c r="C47" s="20"/>
      <c r="D47" s="21"/>
      <c r="E47" s="21"/>
      <c r="F47" s="21"/>
      <c r="G47" s="22"/>
      <c r="H47" s="22"/>
    </row>
  </sheetData>
  <sheetProtection/>
  <mergeCells count="21">
    <mergeCell ref="D44:F44"/>
    <mergeCell ref="D46:F46"/>
    <mergeCell ref="A38:D38"/>
    <mergeCell ref="E38:G38"/>
    <mergeCell ref="A39:G39"/>
    <mergeCell ref="D41:F41"/>
    <mergeCell ref="D42:F42"/>
    <mergeCell ref="D43:F43"/>
    <mergeCell ref="A14:D14"/>
    <mergeCell ref="E14:G14"/>
    <mergeCell ref="A15:G15"/>
    <mergeCell ref="A30:D30"/>
    <mergeCell ref="E30:G30"/>
    <mergeCell ref="A31:G31"/>
    <mergeCell ref="A2:G2"/>
    <mergeCell ref="A3:G3"/>
    <mergeCell ref="A4:G4"/>
    <mergeCell ref="A5:G5"/>
    <mergeCell ref="C6:F6"/>
    <mergeCell ref="A8:G8"/>
    <mergeCell ref="A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Mira Mileo Yamada</cp:lastModifiedBy>
  <cp:lastPrinted>2022-06-30T17:34:58Z</cp:lastPrinted>
  <dcterms:created xsi:type="dcterms:W3CDTF">2005-01-22T11:41:57Z</dcterms:created>
  <dcterms:modified xsi:type="dcterms:W3CDTF">2022-08-04T13:11:36Z</dcterms:modified>
  <cp:category/>
  <cp:version/>
  <cp:contentType/>
  <cp:contentStatus/>
</cp:coreProperties>
</file>