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tabRatio="867" firstSheet="1" activeTab="1"/>
  </bookViews>
  <sheets>
    <sheet name="DADOS" sheetId="1" state="hidden" r:id="rId1"/>
    <sheet name="ORÇAMENTO GERAL" sheetId="2" r:id="rId2"/>
    <sheet name="MC-DRE" sheetId="3" r:id="rId3"/>
    <sheet name="MC-TER" sheetId="4" state="hidden" r:id="rId4"/>
    <sheet name="MC-PAV" sheetId="5" r:id="rId5"/>
    <sheet name="CRONOGRAMA" sheetId="6" r:id="rId6"/>
    <sheet name="CPU-I" sheetId="7" state="hidden" r:id="rId7"/>
    <sheet name="CPU-II" sheetId="8" r:id="rId8"/>
    <sheet name="CPU-III" sheetId="9" state="hidden" r:id="rId9"/>
    <sheet name="CPU-IV" sheetId="10" state="hidden" r:id="rId10"/>
    <sheet name="CPU-V" sheetId="11" state="hidden" r:id="rId11"/>
    <sheet name="CPU-VI" sheetId="12" state="hidden" r:id="rId12"/>
    <sheet name="CPU-VII" sheetId="13" state="hidden" r:id="rId13"/>
    <sheet name="ENCARGOS" sheetId="14" r:id="rId14"/>
    <sheet name="BDI" sheetId="15" r:id="rId15"/>
    <sheet name="PV PARA REDE 600" sheetId="16" state="hidden" r:id="rId16"/>
  </sheets>
  <externalReferences>
    <externalReference r:id="rId19"/>
    <externalReference r:id="rId20"/>
  </externalReferences>
  <definedNames>
    <definedName name="_xlnm.Print_Area" localSheetId="10">'CPU-V'!$A$1:$H$35</definedName>
    <definedName name="_xlnm.Print_Area" localSheetId="11">'CPU-VI'!$A$1:$G$46</definedName>
    <definedName name="_xlnm.Print_Area" localSheetId="12">'CPU-VII'!$A$1:$G$45</definedName>
    <definedName name="_xlnm.Print_Area" localSheetId="5">'CRONOGRAMA'!$A$1:$L$30</definedName>
    <definedName name="_xlnm.Print_Area" localSheetId="0">'DADOS'!$A$1:$L$29</definedName>
    <definedName name="_xlnm.Print_Area" localSheetId="2">'MC-DRE'!$A$1:$R$295</definedName>
    <definedName name="_xlnm.Print_Area" localSheetId="4">'MC-PAV'!$A$1:$Q$33</definedName>
    <definedName name="_xlnm.Print_Area" localSheetId="3">'MC-TER'!$A$1:$S$34</definedName>
    <definedName name="_xlnm.Print_Area" localSheetId="1">'ORÇAMENTO GERAL'!$C$1:$K$127</definedName>
    <definedName name="_xlnm.Print_Titles" localSheetId="2">'MC-DRE'!$1:$6</definedName>
    <definedName name="_xlnm.Print_Titles" localSheetId="1">'ORÇAMENTO GERAL'!$2:$8</definedName>
  </definedNames>
  <calcPr fullCalcOnLoad="1" fullPrecision="0"/>
</workbook>
</file>

<file path=xl/comments1.xml><?xml version="1.0" encoding="utf-8"?>
<comments xmlns="http://schemas.openxmlformats.org/spreadsheetml/2006/main">
  <authors>
    <author>jeniffer nascimento</author>
  </authors>
  <commentList>
    <comment ref="O9" authorId="0">
      <text>
        <r>
          <rPr>
            <b/>
            <sz val="9"/>
            <rFont val="Segoe UI"/>
            <family val="2"/>
          </rPr>
          <t>jeniffer nascimento:</t>
        </r>
        <r>
          <rPr>
            <sz val="9"/>
            <rFont val="Segoe UI"/>
            <family val="2"/>
          </rPr>
          <t xml:space="preserve">
ATUALIZAR CONFORME QTDE DE RUAS
</t>
        </r>
      </text>
    </comment>
  </commentList>
</comments>
</file>

<file path=xl/comments11.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comments12.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comments13.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comments16.xml><?xml version="1.0" encoding="utf-8"?>
<comments xmlns="http://schemas.openxmlformats.org/spreadsheetml/2006/main">
  <authors>
    <author>Jeniffer Nascimento</author>
  </authors>
  <commentList>
    <comment ref="B6" authorId="0">
      <text>
        <r>
          <rPr>
            <b/>
            <sz val="9"/>
            <rFont val="Segoe UI"/>
            <family val="2"/>
          </rPr>
          <t>Jeniffer Nascimento:</t>
        </r>
        <r>
          <rPr>
            <sz val="9"/>
            <rFont val="Segoe UI"/>
            <family val="2"/>
          </rPr>
          <t xml:space="preserve">
Não desonerado!</t>
        </r>
      </text>
    </comment>
  </commentList>
</comments>
</file>

<file path=xl/comments2.xml><?xml version="1.0" encoding="utf-8"?>
<comments xmlns="http://schemas.openxmlformats.org/spreadsheetml/2006/main">
  <authors>
    <author>Jeniffer Nascimento</author>
  </authors>
  <commentList>
    <comment ref="E8" authorId="0">
      <text>
        <r>
          <rPr>
            <b/>
            <sz val="11"/>
            <rFont val="Segoe UI"/>
            <family val="2"/>
          </rPr>
          <t>Jeniffer Nascimento:</t>
        </r>
        <r>
          <rPr>
            <sz val="11"/>
            <rFont val="Segoe UI"/>
            <family val="2"/>
          </rPr>
          <t xml:space="preserve">
Desonerado!</t>
        </r>
      </text>
    </comment>
  </commentList>
</comments>
</file>

<file path=xl/comments5.xml><?xml version="1.0" encoding="utf-8"?>
<comments xmlns="http://schemas.openxmlformats.org/spreadsheetml/2006/main">
  <authors>
    <author>jeniffer nascimento</author>
  </authors>
  <commentList>
    <comment ref="P8" authorId="0">
      <text>
        <r>
          <rPr>
            <b/>
            <sz val="36"/>
            <rFont val="Segoe UI"/>
            <family val="2"/>
          </rPr>
          <t>jeniffer nascimento:</t>
        </r>
        <r>
          <rPr>
            <sz val="36"/>
            <rFont val="Segoe UI"/>
            <family val="2"/>
          </rPr>
          <t xml:space="preserve">
% vai variar de acordo com a via</t>
        </r>
      </text>
    </comment>
  </commentList>
</comments>
</file>

<file path=xl/sharedStrings.xml><?xml version="1.0" encoding="utf-8"?>
<sst xmlns="http://schemas.openxmlformats.org/spreadsheetml/2006/main" count="1800" uniqueCount="738">
  <si>
    <t>m³</t>
  </si>
  <si>
    <t>SERVIÇOS PRELIMINARES</t>
  </si>
  <si>
    <t>m²</t>
  </si>
  <si>
    <t>m</t>
  </si>
  <si>
    <t>2.1</t>
  </si>
  <si>
    <t>DISPOSITIVOS DE DRENAGEM PROFUNDA</t>
  </si>
  <si>
    <t>DESCRIÇÃO</t>
  </si>
  <si>
    <t>ITEM</t>
  </si>
  <si>
    <t>2.2</t>
  </si>
  <si>
    <t>D</t>
  </si>
  <si>
    <t>TOTAL DO  ITEM 1:</t>
  </si>
  <si>
    <t>3.1</t>
  </si>
  <si>
    <t>LIMPEZA FINAL</t>
  </si>
  <si>
    <t>TOTAL DO ITEM 3:</t>
  </si>
  <si>
    <t>DISPOSITIVOS DE DRENAGEM SUPERFICIAL</t>
  </si>
  <si>
    <t>5.1</t>
  </si>
  <si>
    <t>C</t>
  </si>
  <si>
    <t>SERVIÇOS DE TERRAPLENAGEM</t>
  </si>
  <si>
    <t>TOTAL DO ITEM 5:</t>
  </si>
  <si>
    <t>DEPARTAMENTO DE OBRAS</t>
  </si>
  <si>
    <t>PREFEITURA MUNICIPAL DE ANANINDEUA</t>
  </si>
  <si>
    <t>1.1</t>
  </si>
  <si>
    <t>1.2</t>
  </si>
  <si>
    <t>UNIDADE</t>
  </si>
  <si>
    <t>TOTAL</t>
  </si>
  <si>
    <t>PLANILHA ORÇAMENTÁRIA</t>
  </si>
  <si>
    <t>PREÇO UNITÁRIO</t>
  </si>
  <si>
    <t>TOTAL DA OBRA COM BDI:</t>
  </si>
  <si>
    <t>SERVIÇOS DE REVESTIMENTO</t>
  </si>
  <si>
    <t>Ton</t>
  </si>
  <si>
    <t>Ton x Km</t>
  </si>
  <si>
    <t>ton</t>
  </si>
  <si>
    <t>3.2</t>
  </si>
  <si>
    <t>94992</t>
  </si>
  <si>
    <t>SERVIÇOS DE CAIXA PRIMÁRIA</t>
  </si>
  <si>
    <t>Usinagem de concreto betuminoso usinado a quente (CBUQ), CAP 50/70, para capa de rolamento</t>
  </si>
  <si>
    <t>A - Mão-de-obra</t>
  </si>
  <si>
    <t>Item</t>
  </si>
  <si>
    <t>Descriminação</t>
  </si>
  <si>
    <t>Unidade</t>
  </si>
  <si>
    <t>Preço Unitário</t>
  </si>
  <si>
    <t>Custo</t>
  </si>
  <si>
    <t>90781</t>
  </si>
  <si>
    <t>Topógrafo com engargos complementares</t>
  </si>
  <si>
    <t>h</t>
  </si>
  <si>
    <t>88316</t>
  </si>
  <si>
    <t>A - Custo Total Mão-de-obra:</t>
  </si>
  <si>
    <t>B – Equipamentos</t>
  </si>
  <si>
    <t>B - Custo Total de Equipamentos:</t>
  </si>
  <si>
    <t>C – Materiais</t>
  </si>
  <si>
    <t>C - Custo Total de Materiais:</t>
  </si>
  <si>
    <t>Resumo da Composição do Custo Unitário</t>
  </si>
  <si>
    <t>Descrição</t>
  </si>
  <si>
    <t>A</t>
  </si>
  <si>
    <t>Mão de Obra</t>
  </si>
  <si>
    <t>[transportar subtotal A]</t>
  </si>
  <si>
    <t>B</t>
  </si>
  <si>
    <t>Equipamentos</t>
  </si>
  <si>
    <t>[transportar subtotal B]</t>
  </si>
  <si>
    <t>Materiais</t>
  </si>
  <si>
    <t>[transportar subtotal C]</t>
  </si>
  <si>
    <t>A+B+C</t>
  </si>
  <si>
    <t>Subtotal:</t>
  </si>
  <si>
    <t>E</t>
  </si>
  <si>
    <t>DxBDI</t>
  </si>
  <si>
    <t>Preço Global:</t>
  </si>
  <si>
    <t>94287</t>
  </si>
  <si>
    <t>Execução de sarjeta de concreto usinado, moldada in loco em trecho reto, 30 cm base x 10 cm altura. AF_06/2016</t>
  </si>
  <si>
    <t>94263</t>
  </si>
  <si>
    <t xml:space="preserve">Guia (meio-fio) concreto, moldada in loco, em trecho reto com extrusora, 13 cm base x 22 cm altura. AF_06/2016 </t>
  </si>
  <si>
    <t>3.3</t>
  </si>
  <si>
    <t>CÓDIGO</t>
  </si>
  <si>
    <t xml:space="preserve"> DESCRIÇÃO</t>
  </si>
  <si>
    <t>HORISTA</t>
  </si>
  <si>
    <t>MENSALISTA</t>
  </si>
  <si>
    <t>GRUPO A</t>
  </si>
  <si>
    <t>A1</t>
  </si>
  <si>
    <t>INSS</t>
  </si>
  <si>
    <t>A2</t>
  </si>
  <si>
    <t>SESI</t>
  </si>
  <si>
    <t>A3</t>
  </si>
  <si>
    <t>SENAI</t>
  </si>
  <si>
    <t>A4</t>
  </si>
  <si>
    <t>INCEA</t>
  </si>
  <si>
    <t>A5</t>
  </si>
  <si>
    <t>SEBRAE</t>
  </si>
  <si>
    <t>A6</t>
  </si>
  <si>
    <t>Salário Educação</t>
  </si>
  <si>
    <t>A7</t>
  </si>
  <si>
    <t>Seguro Contra Acidentes de Trabalho</t>
  </si>
  <si>
    <t>A8</t>
  </si>
  <si>
    <t>FGTS</t>
  </si>
  <si>
    <t>A9</t>
  </si>
  <si>
    <t>SECONCI</t>
  </si>
  <si>
    <t>Total dos Encargos Sociais Básicos</t>
  </si>
  <si>
    <t>GRUPO B</t>
  </si>
  <si>
    <t>B1</t>
  </si>
  <si>
    <t>Repouso Semanal Remunerado</t>
  </si>
  <si>
    <t>B2</t>
  </si>
  <si>
    <t>Feriados</t>
  </si>
  <si>
    <t>B3</t>
  </si>
  <si>
    <t>Auxílio - Enfremidade</t>
  </si>
  <si>
    <t>B4</t>
  </si>
  <si>
    <t>13º Salário</t>
  </si>
  <si>
    <t>B5</t>
  </si>
  <si>
    <t>Liçença Paternidade</t>
  </si>
  <si>
    <t>B6</t>
  </si>
  <si>
    <t>Faltas Justificadas</t>
  </si>
  <si>
    <t>B7</t>
  </si>
  <si>
    <t>Dias de Chuva</t>
  </si>
  <si>
    <t>B8</t>
  </si>
  <si>
    <t>Auxílio - Acidente de Trabalho</t>
  </si>
  <si>
    <t>B9</t>
  </si>
  <si>
    <t>Férias Gozadas</t>
  </si>
  <si>
    <t>B10</t>
  </si>
  <si>
    <t>Salário Maternidade</t>
  </si>
  <si>
    <t>Total dos Encargos Sociais que recebem incidências de A</t>
  </si>
  <si>
    <t>GRUPO C</t>
  </si>
  <si>
    <t>C1</t>
  </si>
  <si>
    <t>Aviso Prévio Indenizado</t>
  </si>
  <si>
    <t>C2</t>
  </si>
  <si>
    <t>Aviso Prévio Trabalho</t>
  </si>
  <si>
    <t>C3</t>
  </si>
  <si>
    <t>Férias Indenizadas</t>
  </si>
  <si>
    <t>C4</t>
  </si>
  <si>
    <t>Depósito Rescisão sem Justa Causa</t>
  </si>
  <si>
    <t>C5</t>
  </si>
  <si>
    <t>Indenização Adicional</t>
  </si>
  <si>
    <t>Total dos Encargos Sociais que não recebem incidências de A</t>
  </si>
  <si>
    <t>GRUPO D</t>
  </si>
  <si>
    <t>D1</t>
  </si>
  <si>
    <t>Reincidência de Grupo A</t>
  </si>
  <si>
    <t>D2</t>
  </si>
  <si>
    <t>Reincidência de Grupo A sobre Aviso Prévio Trabalho e
Reincidência do FGTS sobre Aviso Prévio Indenizado</t>
  </si>
  <si>
    <t>Total de Reincidência de um Grupo sobre o outro</t>
  </si>
  <si>
    <t>*GRUPO E</t>
  </si>
  <si>
    <t>E1</t>
  </si>
  <si>
    <t>Total dos Encargos Sociais Complementares</t>
  </si>
  <si>
    <t>Fonte: Informação Dias de Chuva - INMET</t>
  </si>
  <si>
    <t>QUADRO DE COMPOSIÇÃO DE TAXA DE BDI</t>
  </si>
  <si>
    <t>DISCRIMINAÇÃO DOS CUSTOS INDIRETOS</t>
  </si>
  <si>
    <t>PORCENTAGEM (%) ADOTADA</t>
  </si>
  <si>
    <t>VARIÁVEIS ACRESCIDAS DE ACORDO COM DIÁRIO OFICIAL DA UNIÃO DO DIA 20 DE SETEMBRO DE 2011</t>
  </si>
  <si>
    <t>CUSTOS TRIBUTÁRIOS</t>
  </si>
  <si>
    <t>TF</t>
  </si>
  <si>
    <t>TRIBUTOS FEDERAIS</t>
  </si>
  <si>
    <t>TM</t>
  </si>
  <si>
    <t>TRIBUTOS MUNICIPAIS</t>
  </si>
  <si>
    <t>PIS</t>
  </si>
  <si>
    <t>PROGRAMAÇÃO DE INTEGRAÇÃO SOCIAL</t>
  </si>
  <si>
    <t>CONFINS</t>
  </si>
  <si>
    <t>FINANC. DA SEGURIDADE SOCIAL</t>
  </si>
  <si>
    <t>TRIBUTO MUNICIPAL</t>
  </si>
  <si>
    <t>ISS</t>
  </si>
  <si>
    <t>5.2</t>
  </si>
  <si>
    <t>5.3</t>
  </si>
  <si>
    <t>TOTAL DO ITEM 6:</t>
  </si>
  <si>
    <t>Limpeza geral e entrega da obra</t>
  </si>
  <si>
    <t>QTDE.</t>
  </si>
  <si>
    <t>90099</t>
  </si>
  <si>
    <t xml:space="preserve">Escavação mecanizada de vala com prof. até 1,5 m, com retroescavadeira, larg. menor que 0,80 m, em solo de 1A categoria. </t>
  </si>
  <si>
    <t>Usinagem de concreto betuminoso usinado a quente (CBUQ), CAP 50/70, para capa de rolamento e=3cm</t>
  </si>
  <si>
    <t>Unidade: ton</t>
  </si>
  <si>
    <t>Coeficiente</t>
  </si>
  <si>
    <t>Areia média</t>
  </si>
  <si>
    <t>Seixo fino lavado</t>
  </si>
  <si>
    <t>Pá carregadeira sobre rodas, potência 197 HP, capacidade da caçamba 2,5 A 3,5 m³, peso operacional 18338 kg</t>
  </si>
  <si>
    <t>Tanque de asfalto estacionário com serpentina, capacidade 30.000 L</t>
  </si>
  <si>
    <t>Cimento asfáltico de petróleo granel (CAP) 50/70 (coletado caixa na ANP acrescido de ICMS)</t>
  </si>
  <si>
    <t>Usina de mistura asfáltica à quente, tipo contra fluxo, prod 40 a 80ton/hora</t>
  </si>
  <si>
    <t>Grupo gerador com carenagem, motor diesel potência standart entre 250 e 260 KVA</t>
  </si>
  <si>
    <t>Óleo diesel S 500 - comum</t>
  </si>
  <si>
    <t>Óleo residual com baixo ponto de fluidez (BPF). Para queima</t>
  </si>
  <si>
    <t>Operador de usina de asfalto</t>
  </si>
  <si>
    <t>Operador de pá carregadeira</t>
  </si>
  <si>
    <t>Servente com encargos complementares</t>
  </si>
  <si>
    <t>Vibroacabadora de asfalto sobre esteira, largura de pavimentação 1,90M a 5,30M. Potência 105 HP capacidade 450 T/H - CHP DIURNO. AF_11/2014</t>
  </si>
  <si>
    <t>Vibroacabadora de asfalto sobre esteira, largura de pavimentação 1,90M a 5,30M. Potência 105 HP capacidade 450 T/H - CHI DIURNO. AF_11/2015</t>
  </si>
  <si>
    <t>Rasteleiro com encargos complementares</t>
  </si>
  <si>
    <t>Caminhão basculante 10m³ trucado cabine simples, peso bruto total 23.000 kg carga útil máxima 15.935 kg distância entre eixos 4,80m, potência 230 C, inclusive caçamba metálica - CHP DIURNO. AF_06/2014</t>
  </si>
  <si>
    <t>Rolo compactador vibratório tandem, aço liso, potência 125 HP, peso sem/com lastro 10.20/11,65 T, largura de trabalho 1,73m - CHP DIURNO. AF_11/2016</t>
  </si>
  <si>
    <t>Rolo compactador vibratório tandem, aço liso, potência 125 HP, peso sem/com lastro 10.20/11,65 T, largura de trabalho 1,73m - CHI DIURNO. AF_11/2017</t>
  </si>
  <si>
    <t>Trator de pneus com potência de 85 CV, tração 4x4, com vassoura mecânica acoplada - CHI DIURNO. AF_02/2017</t>
  </si>
  <si>
    <t>Trator de pneus com potência de 85 CV, tração 4x4, com vassoura mecânica acoplada - CHP DIURNO. AF_03/2017</t>
  </si>
  <si>
    <t>Rolo compactador de pneus estático, pressão variável, potência 110HP, peso sem/com lastro 10,8/27 T, largura de rolagem 2,30m - CHP DIURNO. AF_06/2017</t>
  </si>
  <si>
    <t>Rolo compactador de pneus estático, pressão variável, potência 110HP, peso sem/com lastro 10,8/27 T, largura de rolagem 2,30m - CHI DIURNO. AF_06/2017</t>
  </si>
  <si>
    <t>CHP</t>
  </si>
  <si>
    <t>L</t>
  </si>
  <si>
    <t>CHI</t>
  </si>
  <si>
    <t>TOTAL DO ITEM 7:</t>
  </si>
  <si>
    <t>88301</t>
  </si>
  <si>
    <t>88304</t>
  </si>
  <si>
    <t>6.1</t>
  </si>
  <si>
    <t>6.2</t>
  </si>
  <si>
    <t>7.1</t>
  </si>
  <si>
    <t>FONTE</t>
  </si>
  <si>
    <t>SEDOP</t>
  </si>
  <si>
    <t>CPU</t>
  </si>
  <si>
    <t>SINAPI</t>
  </si>
  <si>
    <t>SECRETARIA MUNICIPAL DE SANEAMENTO E INFRAESTRUTURA</t>
  </si>
  <si>
    <t>MÃO DE OBRA</t>
  </si>
  <si>
    <t>COEFIC.</t>
  </si>
  <si>
    <t xml:space="preserve">  CUSTO</t>
  </si>
  <si>
    <t>CUSTO UNITÁRIO</t>
  </si>
  <si>
    <t>SERVENTE COM ENCARGOS COMPLEMENTARES</t>
  </si>
  <si>
    <t xml:space="preserve">( A  )   T O T A L                                      </t>
  </si>
  <si>
    <t>MATERIAL</t>
  </si>
  <si>
    <t xml:space="preserve"> CONSUMO </t>
  </si>
  <si>
    <t>CUSTO</t>
  </si>
  <si>
    <t xml:space="preserve">                   </t>
  </si>
  <si>
    <t>( B  )   T O T A L</t>
  </si>
  <si>
    <t>EQUIPAMENTOS</t>
  </si>
  <si>
    <t>M3</t>
  </si>
  <si>
    <t>( C )   T O T A L</t>
  </si>
  <si>
    <t xml:space="preserve">CUSTO DIRETO TOTAL (A)+(B)+(C)     </t>
  </si>
  <si>
    <t>BDI</t>
  </si>
  <si>
    <t xml:space="preserve">       C U S T O   U N I T Á R I O     T O T A L</t>
  </si>
  <si>
    <t>Espalhamento de material com trator de esteiras. AF_11/2019</t>
  </si>
  <si>
    <t>Execução de Imprimação com asfálto diluído CM-30. AF_11/2019</t>
  </si>
  <si>
    <t>Execução de pintura de ligação com emulsão asfáltica RR-2C. AF_11/2019</t>
  </si>
  <si>
    <t>270220</t>
  </si>
  <si>
    <t>III</t>
  </si>
  <si>
    <t>Execução de passeio (calçada) ou piso de concreto com concreto moldado in loco, feito em obra, acabamento convencional, espessura 6cm, armado. AF_07/2016</t>
  </si>
  <si>
    <t>CRONOGRAMA FÍSICO-FINANCEIRO</t>
  </si>
  <si>
    <t>DISCRIMINAÇÃO DOS SERVIÇOS</t>
  </si>
  <si>
    <t>PESO %</t>
  </si>
  <si>
    <t>VALOR BDI INCLUSO (R$)</t>
  </si>
  <si>
    <t>MESES</t>
  </si>
  <si>
    <t>%</t>
  </si>
  <si>
    <t>R$</t>
  </si>
  <si>
    <t>SIMPLES</t>
  </si>
  <si>
    <t>ACUMULADO</t>
  </si>
  <si>
    <t>97956</t>
  </si>
  <si>
    <t>Caixa para boca de lobo simples retangular, em alvenaria com blocos de concreto, dimensões internas: 0,6x1x1,2 m. AF_12/2020</t>
  </si>
  <si>
    <t>180263</t>
  </si>
  <si>
    <t>Poço visita em conc. armado 1.2x1.2m h=2.10m-tpo.fofo</t>
  </si>
  <si>
    <t>180723</t>
  </si>
  <si>
    <t>180724</t>
  </si>
  <si>
    <t>3.4</t>
  </si>
  <si>
    <t>020018</t>
  </si>
  <si>
    <t>Demolição manual de concreto simples (para execução de calçada)</t>
  </si>
  <si>
    <t>VIA</t>
  </si>
  <si>
    <t>=</t>
  </si>
  <si>
    <t>L=</t>
  </si>
  <si>
    <t>Quantidade (un)</t>
  </si>
  <si>
    <t>Tubo em concreto simples d= 400mm</t>
  </si>
  <si>
    <t>Preparo de fundo de vala com largura menor que 1.5 m (acerto do solo natural). AF_08/2020</t>
  </si>
  <si>
    <t>Tubo em concreto armado d= 600mm</t>
  </si>
  <si>
    <t xml:space="preserve">Execução de boca de lobo  </t>
  </si>
  <si>
    <t xml:space="preserve">Execução de poço de visita </t>
  </si>
  <si>
    <t xml:space="preserve">Execução e compactação de base e ou sub base para pavimentação de solo arenoso (SOLO MELHORADO COM SEIXO) - exclusive escavação, carga e transporte. </t>
  </si>
  <si>
    <t>m³Xkm</t>
  </si>
  <si>
    <t>Tubo em concreto armado d= 800mm</t>
  </si>
  <si>
    <t>Tubo em concreto armado d= 1000mm</t>
  </si>
  <si>
    <t>H</t>
  </si>
  <si>
    <t>SEIXO ROLADO PARA APLICAÇÃO EM CONCRETO</t>
  </si>
  <si>
    <t>5684</t>
  </si>
  <si>
    <t>ROLO COMPACTADOR VIBRATÓRIO DE UM CILINDRO AÇO LISO, POTÊNCIA 80 HP, PESO OPERACIONAL MÁXIMO 8,1 T, IMPACTO DINÂMICO 16,15 / 9,5 T, LARGURA DE TRABALHO 1,68 M - CHP DIURNO. AF_06/2014</t>
  </si>
  <si>
    <t>5685</t>
  </si>
  <si>
    <t>ROLO COMPACTADOR VIBRATÓRIO DE UM CILINDRO AÇO LISO, POTÊNCIA 80 HP, PESO OPERACIONAL MÁXIMO 8,1 T, IMPACTO DINÂMICO 16,15 / 9,5 T, LARGURA DE TRABALHO 1,68 M - CHI DIURNO. AF_06/2014</t>
  </si>
  <si>
    <t>0,0040000</t>
  </si>
  <si>
    <t>Unidade:  UNID.</t>
  </si>
  <si>
    <t>88253</t>
  </si>
  <si>
    <t>Auxiliar de topográfo com engargos complementares</t>
  </si>
  <si>
    <t>MEMÓRIA DE CÁLCULO</t>
  </si>
  <si>
    <t>Ref.</t>
  </si>
  <si>
    <t>Quantidade</t>
  </si>
  <si>
    <t>h/dia</t>
  </si>
  <si>
    <t>dias/mês</t>
  </si>
  <si>
    <t>quant. Meses</t>
  </si>
  <si>
    <t>Topográfo</t>
  </si>
  <si>
    <t>Auxiliar de topográfo</t>
  </si>
  <si>
    <t>PREÇO UNIT. C/ BDI</t>
  </si>
  <si>
    <t>PORCENTAGEM (%) ADOTADA PELA MÉDIA DOS QUARTIS</t>
  </si>
  <si>
    <t>Administração Central da Obra - AC</t>
  </si>
  <si>
    <t>DESPESAS FINANCEIRAS -DF</t>
  </si>
  <si>
    <t>Sub Total</t>
  </si>
  <si>
    <t>R</t>
  </si>
  <si>
    <t>Risco - R</t>
  </si>
  <si>
    <t>S+G</t>
  </si>
  <si>
    <t>Seguro - S/Garantia - G</t>
  </si>
  <si>
    <t>TOTAL- I</t>
  </si>
  <si>
    <t xml:space="preserve"> LUCRO)</t>
  </si>
  <si>
    <t>DEMONSTRAÇÃO DOS TRIBUTOS FEDERAL</t>
  </si>
  <si>
    <t>CPRB</t>
  </si>
  <si>
    <t>Variável de Desoneração de 4,5%</t>
  </si>
  <si>
    <t>DEMONSTRAÇÃO DOS TRIBUTOS MUNICIPAL</t>
  </si>
  <si>
    <t>DEMONSTRAÇÕES DAS VARIÁVEIS DA FORMULAS ADOTADA PELO TCU</t>
  </si>
  <si>
    <t>AC =</t>
  </si>
  <si>
    <t>S+G =</t>
  </si>
  <si>
    <t>R =</t>
  </si>
  <si>
    <t>(1+AC+S+R+G)=</t>
  </si>
  <si>
    <t>DF=</t>
  </si>
  <si>
    <t>(1+DF)=</t>
  </si>
  <si>
    <t>(1+L)=</t>
  </si>
  <si>
    <t>I=</t>
  </si>
  <si>
    <t>(1-I)=</t>
  </si>
  <si>
    <t>BDI=</t>
  </si>
  <si>
    <t>BDI= BDI - MENOS 4,50%</t>
  </si>
  <si>
    <t xml:space="preserve"> &lt; 24,23% (OK)</t>
  </si>
  <si>
    <t>Verificações: com a retirada de 4,5% de CPRB. O valor terá que ser menor que 24,23%</t>
  </si>
  <si>
    <t>Placa de obra em lona com plotagem de gráfica</t>
  </si>
  <si>
    <t>VASSOURA MECÂNICA REBOCÁVEL COM ESCOVA CILÍNDRICA, LARGURA ÚTIL DE VARRIMENTO DE 2,44 M - CHP DIURNO. AF_06/2014</t>
  </si>
  <si>
    <t>VASSOURA MECÂNICA REBOCÁVEL COM ESCOVA CILÍNDRICA, LARGURA ÚTIL DE VARRIMENTO DE 2,44 M - CHI DIURNO. AF_06/2014</t>
  </si>
  <si>
    <t>TRATOR DE PNEUS, POTÊNCIA 85 CV, TRAÇÃO 4X4, PESO COM LASTRO DE 4.675 KG - CHP DIURNO. AF_06/2014</t>
  </si>
  <si>
    <t>TRATOR DE PNEUS, POTÊNCIA 85 CV, TRAÇÃO 4X4, PESO COM LASTRO DE 4.675 KG - CHI DIURNO. AF_06/2014</t>
  </si>
  <si>
    <t xml:space="preserve">ENCARGOS SOCIAIS SOBRE A MÃO DE OBRA  </t>
  </si>
  <si>
    <t>COM DESONERAÇÃO</t>
  </si>
  <si>
    <t>SEM DESONERAÇÃO</t>
  </si>
  <si>
    <t>TOTAL (A+B+C+D)</t>
  </si>
  <si>
    <t>SECRETARIA MUNICIAL DE SANEAMENTO E INFRAESTRUTURA</t>
  </si>
  <si>
    <t>IV</t>
  </si>
  <si>
    <t>Unidade: M²</t>
  </si>
  <si>
    <t>Execução de imprimação base para pavimentação</t>
  </si>
  <si>
    <t>Código</t>
  </si>
  <si>
    <t>CPU-02</t>
  </si>
  <si>
    <t xml:space="preserve"> Unidade: M³</t>
  </si>
  <si>
    <t>5901</t>
  </si>
  <si>
    <t>CAMINHÃO PIPA 10.000 L TRUCADO, PESO BRUTO TOTAL 23.000 KG, CARGA ÚTIL MÁXIMA 15.935 KG, DISTÂNCIA ENTRE EIXOS 4,8 M, POTÊNCIA 230 CV, INCLUSIVE TANQUE DE AÇO PARA TRANSPORTE DE ÁGUA - CHP DIURNO. AF_06/2014</t>
  </si>
  <si>
    <t>5903</t>
  </si>
  <si>
    <t>CAMINHÃO PIPA 10.000 L TRUCADO, PESO BRUTO TOTAL 23.000 KG, CARGA ÚTIL MÁXIMA 15.935 KG, DISTÂNCIA ENTRE EIXOS 4,8 M, POTÊNCIA 230 CV, INCLUSIVE TANQUE DE AÇO PARA TRANSPORTE DE ÁGUA - CHI DIURNO. AF_06/2014</t>
  </si>
  <si>
    <t>0,0280000</t>
  </si>
  <si>
    <t>5932</t>
  </si>
  <si>
    <t>MOTONIVELADORA POTÊNCIA BÁSICA LÍQUIDA (PRIMEIRA MARCHA) 125 HP, PESO BRUTO 13032 KG, LARGURA DA LÂMINA DE 3,7 M - CHP DIURNO. AF_06/2014</t>
  </si>
  <si>
    <t>0,0080000</t>
  </si>
  <si>
    <t>5934</t>
  </si>
  <si>
    <t>MOTONIVELADORA POTÊNCIA BÁSICA LÍQUIDA (PRIMEIRA MARCHA) 125 HP, PESO BRUTO 13032 KG, LARGURA DA LÂMINA DE 3,7 M - CHI DIURNO. AF_06/2014</t>
  </si>
  <si>
    <t>96463</t>
  </si>
  <si>
    <t>ROLO COMPACTADOR DE PNEUS, ESTATICO, PRESSAO VARIAVEL, POTENCIA 110 HP, PESO SEM/COM LASTRO 10,8/27 T, LARGURA DE ROLAGEM 2,30 M - CHP DIURNO. AF_06/2017</t>
  </si>
  <si>
    <t>96464</t>
  </si>
  <si>
    <t>ROLO COMPACTADOR DE PNEUS, ESTATICO, PRESSAO VARIAVEL, POTENCIA 110 HP, PESO SEM/COM LASTRO 10,8/27 T, LARGURA DE ROLAGEM 2,30 M - CHI DIURNO. AF_06/2017</t>
  </si>
  <si>
    <t>PEDREIRO COM ENCARGOS COMPLEMENTARES</t>
  </si>
  <si>
    <t>RETROESCAVADEIRA SOBRE RODAS COM CARREGADEIRA, TRAÇÃO 4X4, POTÊNCIA LÍQ. 72 HP, CAÇAMBA CARREG. CAP. MÍN. 0,79 M3, CAÇAMBA RETRO CAP. 0,18 M3, PESO OPERACIONAL MÍN. 7.140 KG, PROFUNDIDADE ESCAVAÇÃO MÁX. 4,50 M - CHP DIURNO. AF_06/2014</t>
  </si>
  <si>
    <t>RETROESCAVADEIRA SOBRE RODAS COM CARREGADEIRA, TRAÇÃO 4X4, POTÊNCIA LÍQ. 72 HP, CAÇAMBA CARREG. CAP. MÍN. 0,79 M3, CAÇAMBA RETRO CAP. 0,18 M3, PESO OPERACIONAL MÍN. 7.140 KG, PROFUNDIDADE ESCAVAÇÃO MÁX. 4,50 M - CHI DIURNO. AF_06/2014</t>
  </si>
  <si>
    <t>ARGAMASSA TRAÇO 1:3 (EM VOLUME DE CIMENTO E AREIA GROSSA ÚMIDA) PARA CHAPISCO CONVENCIONAL, PREPARO MECÂNICO COM BETONEIRA 400 L. AF_08/2019</t>
  </si>
  <si>
    <t>MONTAGEM E DESMONTAGEM DE FÔRMA DE PILARES RETANGULARES E ESTRUTURAS SIMILARES, PÉ-DIREITO SIMPLES, EM CHAPA DE MADEIRA COMPENSADA RESINADA, 4 UTILIZAÇÕES. AF_09/2020</t>
  </si>
  <si>
    <t>M2</t>
  </si>
  <si>
    <t>ARMAÇÃO DE ESTRUTURAS DE CONCRETO ARMADO, EXCETO VIGAS, PILARES, LAJES E FUNDAÇÕES, UTILIZANDO AÇO CA-60 DE 5,0 MM - MONTAGEM. AF_12/2015</t>
  </si>
  <si>
    <t>KG</t>
  </si>
  <si>
    <t>CONCRETO FCK = 15MPA, TRAÇO 1:3,4:3,5 (CIMENTO/ AREIA MÉDIA/ BRITA 1)  - PREPARO MECÂNICO COM BETONEIRA 600 L. AF_07/2016</t>
  </si>
  <si>
    <t>PREPARO DE FUNDO DE VALA COM LARGURA MENOR QUE 1,5 M (ACERTO DO SOLO NATURAL). AF_08/2020</t>
  </si>
  <si>
    <t>Unidade: unid</t>
  </si>
  <si>
    <t>und.</t>
  </si>
  <si>
    <t>COTAÇÃO</t>
  </si>
  <si>
    <t>EAI CM ECOIMPRIMA (ASFALTO DILUÍDO)</t>
  </si>
  <si>
    <t xml:space="preserve"> 0,002</t>
  </si>
  <si>
    <t xml:space="preserve"> 5841 </t>
  </si>
  <si>
    <t xml:space="preserve"> 0,004</t>
  </si>
  <si>
    <t>ESPARGIDOR DE ASFALTO PRESSURIZADO, TANQUE 6 M3 COM ISOLAÇÃO TÉRMICA, AQUECIDO COM 2 MAÇARICOS, COM BARRA ESPARGIDORA 3,60 M, MONTADO SOBRE CAMINHÃO  TOCO, PBT 14.300 KG, POTÊNCIA 185 CV - CHP DIURNO. AF_08/2015</t>
  </si>
  <si>
    <t xml:space="preserve"> 0,001</t>
  </si>
  <si>
    <t xml:space="preserve"> 89035 </t>
  </si>
  <si>
    <t xml:space="preserve"> 0,0017</t>
  </si>
  <si>
    <t xml:space="preserve"> 89036 </t>
  </si>
  <si>
    <t xml:space="preserve"> 0,0041</t>
  </si>
  <si>
    <t>ESPARGIDOR DE ASFALTO PRESSURIZADO, TANQUE 6 M3 COM ISOLAÇÃO TÉRMICA, AQUECIDO COM 2 MAÇARICOS, COM BARRA ESPARGIDORA 3,60 M, MONTADO SOBRE CAMINHÃO  TOCO, PBT 14.300 KG, POTÊNCIA 185 CV - CHI DIURNO. AF_08/2015</t>
  </si>
  <si>
    <t xml:space="preserve"> 0,0049</t>
  </si>
  <si>
    <t>CAP - VISCOSIDADE ABSOLUTA À 60ºC</t>
  </si>
  <si>
    <t>ESPECIFICAÇÕES 
(DIMENÇÕES/PESO)</t>
  </si>
  <si>
    <t>PREÇO POR KG</t>
  </si>
  <si>
    <t>CAP - 7</t>
  </si>
  <si>
    <t>CAP - 20</t>
  </si>
  <si>
    <t>CAP - 40</t>
  </si>
  <si>
    <t xml:space="preserve">CAP - Segundo ensaio de Penetração, 
realizado a 25ºC </t>
  </si>
  <si>
    <t>CAP - 30/45</t>
  </si>
  <si>
    <t>CAP - 50/70</t>
  </si>
  <si>
    <t>CAP - 85/100</t>
  </si>
  <si>
    <t>CAP - 55/75</t>
  </si>
  <si>
    <t>CAP - 150/200</t>
  </si>
  <si>
    <t>Asfalto Diluído</t>
  </si>
  <si>
    <t>CM ECOPRIME</t>
  </si>
  <si>
    <t>CR-70</t>
  </si>
  <si>
    <t>EAI CM ECOIMPRIMA</t>
  </si>
  <si>
    <t>30 TON</t>
  </si>
  <si>
    <t>CR-3000</t>
  </si>
  <si>
    <t>CM-30</t>
  </si>
  <si>
    <t>CM-70</t>
  </si>
  <si>
    <t>CM-250</t>
  </si>
  <si>
    <t>CM-800</t>
  </si>
  <si>
    <t>Emulsão Asfáltica</t>
  </si>
  <si>
    <t>RR-1C</t>
  </si>
  <si>
    <t>RR-2C</t>
  </si>
  <si>
    <t>RL-1C</t>
  </si>
  <si>
    <t>Colchão de areia e=20 cm</t>
  </si>
  <si>
    <t>Transporte com caminhão basculante de 14 m³, em via em revestimento primário. AF_07/2020</t>
  </si>
  <si>
    <t>93379</t>
  </si>
  <si>
    <t>Carga, manobra e descarga de solos e materiais granulares em caminhão basculante 18 m³ - carga com escavadeira hidráulica (caçamba de 1,20 m³ / 155 hp) e descarga livre (unidade: t). Af_07/2020</t>
  </si>
  <si>
    <t>93591</t>
  </si>
  <si>
    <t>Transporte com caminhão basculante 14 m³, em via urbana em leito natural. AF_07/2020</t>
  </si>
  <si>
    <t>Ø 400</t>
  </si>
  <si>
    <t>LARGURA</t>
  </si>
  <si>
    <t>(m)</t>
  </si>
  <si>
    <t>TRECHO</t>
  </si>
  <si>
    <t>BAIRRO</t>
  </si>
  <si>
    <t>(und.)</t>
  </si>
  <si>
    <t>PROFUNDIDADE</t>
  </si>
  <si>
    <t>TOTAL (A)</t>
  </si>
  <si>
    <t>DECLIVIDADE</t>
  </si>
  <si>
    <t>PREPARO DE FUNDO</t>
  </si>
  <si>
    <t>VOLUME TUBOS</t>
  </si>
  <si>
    <t>E = (AxBxC) + (AxBxD)</t>
  </si>
  <si>
    <t>COLCHÃO DE AREIA</t>
  </si>
  <si>
    <t>ASSENTAMENTO</t>
  </si>
  <si>
    <t>CÁLCULO PARA TUBULAÇÃO DE 400 MM</t>
  </si>
  <si>
    <t>CÁLCULO PARA TUBULAÇÃO DE 600 MM</t>
  </si>
  <si>
    <t>CÁLCULO PARA TUBULAÇÃO DE 800 MM</t>
  </si>
  <si>
    <t>CÁLCULO PARA TUBULAÇÃO DE 1000 MM</t>
  </si>
  <si>
    <t>VIA/TRECHO</t>
  </si>
  <si>
    <t>COLCHÃO</t>
  </si>
  <si>
    <t>$ TOTAL</t>
  </si>
  <si>
    <t>CAIXA PARA BOCA DE LOBO</t>
  </si>
  <si>
    <t>POÇOS DE VISITA</t>
  </si>
  <si>
    <t>Ø 600</t>
  </si>
  <si>
    <t>MEMÓRIA DE CÁLCULO PARA DRENAGEM PROFUNDA</t>
  </si>
  <si>
    <t>EXTENSÃO</t>
  </si>
  <si>
    <t xml:space="preserve">TOTAL </t>
  </si>
  <si>
    <t>DADOS</t>
  </si>
  <si>
    <t>TERRAPLENAGEM</t>
  </si>
  <si>
    <t>CAIXA PRIMÁRIA</t>
  </si>
  <si>
    <t>PAVIMENTAÇÃO ASFÁLTICA</t>
  </si>
  <si>
    <t>TRANSPORTE (m³ x km)</t>
  </si>
  <si>
    <t>TRANSPORTE CBUQ</t>
  </si>
  <si>
    <t>RUAS</t>
  </si>
  <si>
    <t>ESPESSURA (m)</t>
  </si>
  <si>
    <t>LARGURA (m)</t>
  </si>
  <si>
    <t>DEMOLIÇÃO (m³)</t>
  </si>
  <si>
    <t>EXTENSÃO (m)</t>
  </si>
  <si>
    <t>CALÇADA  (m²)</t>
  </si>
  <si>
    <t>PASSEIO</t>
  </si>
  <si>
    <t>D = A x C x esp</t>
  </si>
  <si>
    <t>ESCAVAÇÃO PARA MEIO FIO (m³)</t>
  </si>
  <si>
    <t>MEIO FIO / SARJETA (m)</t>
  </si>
  <si>
    <t>LIMPEZA MECANIZADA (m²)</t>
  </si>
  <si>
    <t>ESCAVAÇÃO (m³)</t>
  </si>
  <si>
    <t>IMPRIMAÇAO (m²)</t>
  </si>
  <si>
    <t>PINT. LIG.  (m²)</t>
  </si>
  <si>
    <t>MEMÓRIA DE CÁLCULO PARA INFRAESTRUTURA</t>
  </si>
  <si>
    <t>$ UNIT</t>
  </si>
  <si>
    <t>0,1600000</t>
  </si>
  <si>
    <t>0,0120000</t>
  </si>
  <si>
    <t>0,0360000</t>
  </si>
  <si>
    <t>0,0320000</t>
  </si>
  <si>
    <t>0,0050000</t>
  </si>
  <si>
    <t>0,0350000</t>
  </si>
  <si>
    <t>5921</t>
  </si>
  <si>
    <t>GRADE DE DISCO REBOCÁVEL COM 20 DISCOS 24" X 6 MM COM PNEUS PARA TRANSPORTE - CHP DIURNO. AF_06/2014</t>
  </si>
  <si>
    <t>5923</t>
  </si>
  <si>
    <t>GRADE DE DISCO REBOCÁVEL COM 20 DISCOS 24" X 6 MM COM PNEUS PARA TRANSPORTE - CHI DIURNO. AF_06/2014</t>
  </si>
  <si>
    <t>89035</t>
  </si>
  <si>
    <t>89036</t>
  </si>
  <si>
    <t>SINAPI DEZ/2021</t>
  </si>
  <si>
    <t>E = A x C x 2</t>
  </si>
  <si>
    <t>1.3</t>
  </si>
  <si>
    <t>I</t>
  </si>
  <si>
    <t xml:space="preserve">SERVIÇO:  </t>
  </si>
  <si>
    <t>ADMINISTRAÇÃO LOCAL DA OBRA</t>
  </si>
  <si>
    <t xml:space="preserve"> Unidade: UNID</t>
  </si>
  <si>
    <t>ENGENHEIRO CIVIL DE OBRA PLENO COM ENCARGOS COMPLEMENTARES</t>
  </si>
  <si>
    <t>ENCARREGADO GERAL COM ENCARGOS COMPLEMENTARES</t>
  </si>
  <si>
    <t>VIGIA NOTURNO COM ENCARGOS COMPLEMENTARES</t>
  </si>
  <si>
    <t>Engenheiro Civil</t>
  </si>
  <si>
    <t>Encarregado Geral</t>
  </si>
  <si>
    <t>Vigia noturno</t>
  </si>
  <si>
    <t>Administração da obra</t>
  </si>
  <si>
    <t>V</t>
  </si>
  <si>
    <t>Assentamento de tubo de concreto para redes coletoras de águas pluviais, diâmetro de 1200 mm, junta rígida, instalado em local com alto nível de interferências. AF_12/2015</t>
  </si>
  <si>
    <t>Assentamento de tubo de concreto para redes coletoras de águas pluviais, diâmetro de 1500 mm, junta rígida, instalado em local com alto nível de interferências. AF_12/2015</t>
  </si>
  <si>
    <t>92821</t>
  </si>
  <si>
    <t>Assentamento de tubo de concreto para redes coletoras de águas pluviais, diâmetro de 400 mm, junta rígida, instalado em local com alto nível de interferências. AF_12/2015</t>
  </si>
  <si>
    <t>Assentamento de tubo de concreto para redes coletoras de águas pluviais, diâmetro de 600mm, junta rígida, instalado em local com baixo alto de interferências. AF_12/2015</t>
  </si>
  <si>
    <t>Assentamento de tubo de concreto para redes coletoras de águas pluviais, diâmetro de 800mm, junta rígida, instalado em local com alto nível de interferências. AF_12/2015</t>
  </si>
  <si>
    <t>Assentamento de tubo de concreto para redes coletoras de águas pluviais, diâmetro de 1000 mm, junta rígida, instalado em local com alto nível de interferências</t>
  </si>
  <si>
    <t>Locação de rede com auxílio de equipamento topográfico</t>
  </si>
  <si>
    <t>VALOR TOTAL</t>
  </si>
  <si>
    <t>QUANTIDADE</t>
  </si>
  <si>
    <t>DEMOLIÇÕES E RETIRADAS</t>
  </si>
  <si>
    <t>020174</t>
  </si>
  <si>
    <t>Retirada de entulho - manualmente (Incluindo Caixa Coletora)</t>
  </si>
  <si>
    <t>TOTAL DO  ITEM 2:</t>
  </si>
  <si>
    <t>00012574</t>
  </si>
  <si>
    <t>00012575</t>
  </si>
  <si>
    <t xml:space="preserve">Execução de tampa de boca de lobo  </t>
  </si>
  <si>
    <t>ORSE</t>
  </si>
  <si>
    <t>Tampa de concreto armado, dimensões: 1,00x1,20mx0,07m com furos</t>
  </si>
  <si>
    <t xml:space="preserve">Execução de tampa de poço de visita </t>
  </si>
  <si>
    <t>98115</t>
  </si>
  <si>
    <t>Tampa circular para esgoto e drenagem, em concreto pré-moldado, diâmetro interno = 0,6 M. AF_12/2020</t>
  </si>
  <si>
    <t>MEIO FIO E SARJETA</t>
  </si>
  <si>
    <t>RETIRADAS</t>
  </si>
  <si>
    <t>ENTULHO (m³)</t>
  </si>
  <si>
    <t>CÁLCULO PARA TUBULAÇÃO DE 1200 MM</t>
  </si>
  <si>
    <t>CÁLCULO PARA TUBULAÇÃO DE 1500 MM</t>
  </si>
  <si>
    <t>TAMPA PARA BOCA DE LOBO</t>
  </si>
  <si>
    <t>TAMPA PARA POÇOS DE VISITA</t>
  </si>
  <si>
    <t>Tubo de concreto armado para águas pluviais, classe PA-3, diâmetro nominal de 1200 mm</t>
  </si>
  <si>
    <t>Tubo de concreto armado para águas pluviais, classe PA-3, diâmetro nominal de 1500 mm</t>
  </si>
  <si>
    <t>5.4</t>
  </si>
  <si>
    <t>TOTAL DO ITEM 8:</t>
  </si>
  <si>
    <t>7.2</t>
  </si>
  <si>
    <t>7.3</t>
  </si>
  <si>
    <t>7.4</t>
  </si>
  <si>
    <t>8.1</t>
  </si>
  <si>
    <t>OBSERVAÇÃO 2 JENIFFER: APENAS OCULTAR OS ITENS E LINHAS DA MEMÓRIA QUE NÃO SERÃO CONTEMPLADOS, INCLUSIVE AS GUIAS!</t>
  </si>
  <si>
    <t>OBSERVAÇÃO 3 JENIFFER: NÃO ENCAMINHAR JUNTO AO PROCESSO A GUIA "DADOS"</t>
  </si>
  <si>
    <t xml:space="preserve">OBSERVAÇÃO JENIFFER: TEM QUE DEIXAR ESTA LISTA (DADOS) E AS MEMÓRIAS NA MESMA ORDEM DE RUAS PARA QUE O VALOR INDIVIDUAL SEJA CALCULADO CORRETAMENTE. </t>
  </si>
  <si>
    <t>K</t>
  </si>
  <si>
    <t>T</t>
  </si>
  <si>
    <t>OBS: Vigência de 10/2020 à 09/2021</t>
  </si>
  <si>
    <t xml:space="preserve">m³ </t>
  </si>
  <si>
    <t>CARGA E DESCARGA P/ TRANSPORTE (m³)</t>
  </si>
  <si>
    <t>ESPESSURA DE CORTE (m)</t>
  </si>
  <si>
    <t>Reforço de bordo</t>
  </si>
  <si>
    <t>90776</t>
  </si>
  <si>
    <t>GRADE DE DISCO CONTROLE REMOTO REBOCÁVEL, COM 24 DISCOS 24 X 6 MM COM PNEUS PARA TRANSPORTE - CHP DIURNO. AF_06/2014</t>
  </si>
  <si>
    <t>GRADE DE DISCO CONTROLE REMOTO REBOCÁVEL, COM 24 DISCOS 24 X 6 MM COM PNEUS PARA TRANSPORTE - CHI DIURNO. AF_06/2014</t>
  </si>
  <si>
    <t>1.4</t>
  </si>
  <si>
    <t>Barracão de madeira/Almoxarifado</t>
  </si>
  <si>
    <t>180722</t>
  </si>
  <si>
    <t>Aterro incluindo carga, descarga, transporte e apiloamento</t>
  </si>
  <si>
    <t>030675</t>
  </si>
  <si>
    <t>Escavação mecanizada</t>
  </si>
  <si>
    <t>fazer cpu p atualizar</t>
  </si>
  <si>
    <t>Limpeza do terreno</t>
  </si>
  <si>
    <t>CAMADA ARENOSO</t>
  </si>
  <si>
    <t xml:space="preserve">REF SINAPI 100565 </t>
  </si>
  <si>
    <t>SOLUÇÃO ASFÁLTICA - CM 30</t>
  </si>
  <si>
    <t>UNID.</t>
  </si>
  <si>
    <t xml:space="preserve">$ UNIT. </t>
  </si>
  <si>
    <t>EMAM ASFALTOS</t>
  </si>
  <si>
    <t>WBLNKN</t>
  </si>
  <si>
    <t>CÁLCULO DA MÉDIA  =</t>
  </si>
  <si>
    <t>Escavação horizontal em solo de 1A categoria com trator de esteiras. AF_07/2020</t>
  </si>
  <si>
    <t>F = E</t>
  </si>
  <si>
    <t>ESCAVAÇÃO MECANIZADA</t>
  </si>
  <si>
    <t>CARGA  E DESCARGA</t>
  </si>
  <si>
    <t>ATERRO</t>
  </si>
  <si>
    <t>ESCORAMENTO</t>
  </si>
  <si>
    <t>TRANSPORTE ESCAVAÇÃO</t>
  </si>
  <si>
    <t>G = F x empolamento 25% x DMT</t>
  </si>
  <si>
    <t>H = AxB</t>
  </si>
  <si>
    <t>I = H</t>
  </si>
  <si>
    <t>J = (πxr²)xA</t>
  </si>
  <si>
    <t>EXTENSÃO ESPINHA</t>
  </si>
  <si>
    <t>Execução de ala de lançamento</t>
  </si>
  <si>
    <t xml:space="preserve">Ala de lançamento para rede tubular </t>
  </si>
  <si>
    <t>ALA DE LANÇAMENTO</t>
  </si>
  <si>
    <t>TUBULAÇÃO 400</t>
  </si>
  <si>
    <t>FORN</t>
  </si>
  <si>
    <t>ESC</t>
  </si>
  <si>
    <t xml:space="preserve">CARGA </t>
  </si>
  <si>
    <t>TRANSPORTE ESC</t>
  </si>
  <si>
    <t xml:space="preserve">PREPARO </t>
  </si>
  <si>
    <t>TUBULAÇÃO 600</t>
  </si>
  <si>
    <t>TUBULAÇÃO 800</t>
  </si>
  <si>
    <t>TUBULAÇÃO 1000</t>
  </si>
  <si>
    <t>TUBULAÇÃO 1200</t>
  </si>
  <si>
    <t>TUBULAÇÃO 1500</t>
  </si>
  <si>
    <t>$</t>
  </si>
  <si>
    <t>DRENAGEM PROFUNDA</t>
  </si>
  <si>
    <t>PAVIMENTAÇÃO</t>
  </si>
  <si>
    <t>MEIO FIO / SARJETA</t>
  </si>
  <si>
    <t>CALÇADA</t>
  </si>
  <si>
    <t>DEMOLIÇÃO</t>
  </si>
  <si>
    <t>ENTULHO</t>
  </si>
  <si>
    <t>SARJETA</t>
  </si>
  <si>
    <t>MEIO FIO</t>
  </si>
  <si>
    <t>C = A x (B+1)</t>
  </si>
  <si>
    <t>G = A x 2</t>
  </si>
  <si>
    <t>F = G x 0,43 x 0,10</t>
  </si>
  <si>
    <t>H = D + F</t>
  </si>
  <si>
    <t>I = A x B</t>
  </si>
  <si>
    <t>J = A x B</t>
  </si>
  <si>
    <t>M = L x DMT</t>
  </si>
  <si>
    <t>LISTA DE RUAS (DADOS GERAIS)</t>
  </si>
  <si>
    <t>J00001</t>
  </si>
  <si>
    <t>ATERRO ARENOSO</t>
  </si>
  <si>
    <t>Ø 1500</t>
  </si>
  <si>
    <t xml:space="preserve">EXTENSÃO </t>
  </si>
  <si>
    <t>Ø 1200</t>
  </si>
  <si>
    <t>Ø 1000</t>
  </si>
  <si>
    <t>Ø 800</t>
  </si>
  <si>
    <t>95877</t>
  </si>
  <si>
    <t>Transporte com caminhão basculante 18 m³, em via urbana pavimentada até DMT 30 km. AF_07/2020</t>
  </si>
  <si>
    <t>m³ x Km</t>
  </si>
  <si>
    <t>E = C x D</t>
  </si>
  <si>
    <t>G = E x 1,3 x DMT</t>
  </si>
  <si>
    <t>ESPALHAMENTO (m³)</t>
  </si>
  <si>
    <t>CARGA E DESCARGA (m³)</t>
  </si>
  <si>
    <t>TRANSPORTE  (m³ x km)</t>
  </si>
  <si>
    <t>I = C x H</t>
  </si>
  <si>
    <t>M</t>
  </si>
  <si>
    <t>J = I</t>
  </si>
  <si>
    <t>K = I</t>
  </si>
  <si>
    <t>L = I x 1,3 x DMT</t>
  </si>
  <si>
    <t>Aterro arenoso</t>
  </si>
  <si>
    <t>EXECUÇÃO E COMPACTAÇÃO (m³)</t>
  </si>
  <si>
    <t>N = C x M</t>
  </si>
  <si>
    <t>O = N</t>
  </si>
  <si>
    <t>SERV. PRELIM. + LIMPEZA</t>
  </si>
  <si>
    <t xml:space="preserve">CÓDIGO DESONERADO </t>
  </si>
  <si>
    <t>Locação de pavimentação. AF_10/2018</t>
  </si>
  <si>
    <t>95995</t>
  </si>
  <si>
    <t>Execução de pavimento com aplicação de concreto asfáltico, camada de rolamento - exclusive carga e transporte. AF_11/2019</t>
  </si>
  <si>
    <t>TON</t>
  </si>
  <si>
    <t>M³</t>
  </si>
  <si>
    <t>F = J</t>
  </si>
  <si>
    <t>Øext  + 0,5</t>
  </si>
  <si>
    <t>Øext  + 0,6</t>
  </si>
  <si>
    <t>O = A x B</t>
  </si>
  <si>
    <t>Unidade: m³</t>
  </si>
  <si>
    <t>ROLO COMPACTADOR DE PNEUS ESTÁTICO, PRESSÃO VARIÁVEL, POTÊNCIA 111 HP, PESO SEM/COM LASTRO 9,5 / 26 T, LARGURA DE TRABALHO 1,90 M - CHI DIURNO. AF_07/2014</t>
  </si>
  <si>
    <t>ROLO COMPACTADOR DE PNEUS ESTÁTICO, PRESSÃO VARIÁVEL, POTÊNCIA 111 HP, PESO SEM/COM LASTRO 9,5 / 26 T, LARGURA DE TRABALHO 1,90 M - CHP DIURNO. AF_07/2014</t>
  </si>
  <si>
    <t>TRATOR DE PNEUS COM POTÊNCIA DE 122 CV, TRAÇÃO 4X4, COM GRADE DE DISCOS ACOPLADA - CHI DIURNO. AF_02/2017</t>
  </si>
  <si>
    <t>TRATOR DE PNEUS COM POTÊNCIA DE 122 CV, TRAÇÃO 4X4, COM GRADE DE DISCOS ACOPLADA - CHP DIURNO. AF_02/2017</t>
  </si>
  <si>
    <t>ROLO COMPACTADOR PE DE CARNEIRO VIBRATORIO, POTENCIA 125 HP, PESO OPERACIONAL SEM/COM LASTRO 11,95 / 13,30 T, IMPACTO DINAMICO 38,5 / 22,5 T, LARGURA DE TRABALHO 2,15 M - CHI DIURNO. AF_06/2014</t>
  </si>
  <si>
    <t>ROLO COMPACTADOR PE DE CARNEIRO VIBRATORIO, POTENCIA 125 HP, PESO OPERACIONAL SEM/COM LASTRO 11,95 / 13,30 T, IMPACTO DINAMICO 38,5 / 22,5 T, LARGURA DE TRABALHO 2,15 M - CHP DIURNO. AF_06/2014</t>
  </si>
  <si>
    <t>00006079</t>
  </si>
  <si>
    <t>ARGILA, ARGILA VERMELHA OU ARGILA ARENOSA (RETIRADA NA JAZIDA, SEM TRANSPORTE)</t>
  </si>
  <si>
    <t>D – Serviços</t>
  </si>
  <si>
    <t>100980</t>
  </si>
  <si>
    <t>D - Custo Total de Serviços:</t>
  </si>
  <si>
    <t>Serviços</t>
  </si>
  <si>
    <t>[transportar subtotal D]</t>
  </si>
  <si>
    <t>A+B+C+D</t>
  </si>
  <si>
    <t>F</t>
  </si>
  <si>
    <t>ExBDI</t>
  </si>
  <si>
    <t>7.5</t>
  </si>
  <si>
    <t>VI</t>
  </si>
  <si>
    <t>REFORÇO</t>
  </si>
  <si>
    <t>REFORÇO (m³)</t>
  </si>
  <si>
    <t>E = (AxBxC) + (AxCxD)</t>
  </si>
  <si>
    <t>N = (%xA)x(%xB)xespx2</t>
  </si>
  <si>
    <t>1,5 ≤ H ≥ 3,0 e 1,5 ≤ L ≥ 2,5</t>
  </si>
  <si>
    <t>CBUQ (m³)</t>
  </si>
  <si>
    <t xml:space="preserve">L = J x K </t>
  </si>
  <si>
    <t>REATERRO</t>
  </si>
  <si>
    <t>M = AxCx2</t>
  </si>
  <si>
    <t>N = A</t>
  </si>
  <si>
    <t>K = (E - J) x 70%</t>
  </si>
  <si>
    <t>L = (E - J) x 30%</t>
  </si>
  <si>
    <t>Escoramento de vala, tipo descontínuo, com profundidade de 1,5 A 3,0 m, largura maior ou igual A 1,5 M e menor que 2,5 M. AF_08/2020</t>
  </si>
  <si>
    <t>Reaterro mecanizado de vala com retroescavadeira, largura de 0,8 m até 1,5 m, profundidade até 1,5 m, com solo de 1 categoria em locais com baixo nível de interferência. AF_04/2016</t>
  </si>
  <si>
    <t>CPU - I</t>
  </si>
  <si>
    <t>CPU - III</t>
  </si>
  <si>
    <t>J00001 - SEDOP</t>
  </si>
  <si>
    <t>REF SINAPI 101768</t>
  </si>
  <si>
    <t>ROLO COMPACTADOR VIBRATÓRIO PÉ DE CARNEIRO PARA SOLOS, POTÊNCIA 80 HP, PESO OPERACIONAL SEM/COM LASTRO 7,4 / 8,8 T, LARGURA DE TRABALHO 1,68 M - CHP DIURNO. AF_02/2016</t>
  </si>
  <si>
    <t>ROLO COMPACTADOR VIBRATÓRIO PÉ DE CARNEIRO PARA SOLOS, POTÊNCIA 80 HP, PESO OPERACIONAL SEM/COM LASTRO 7,4 / 8,8 T, LARGURA DE TRABALHO 1,68 M - CHI DIURNO. AF_02/2016</t>
  </si>
  <si>
    <t>CAMADA ARENOSO/SEIXO</t>
  </si>
  <si>
    <t>P = N</t>
  </si>
  <si>
    <t>Q = E x 1,3 x DMT</t>
  </si>
  <si>
    <t>6.3</t>
  </si>
  <si>
    <t>6.4</t>
  </si>
  <si>
    <t>6.5</t>
  </si>
  <si>
    <t>6.6</t>
  </si>
  <si>
    <t>6.7</t>
  </si>
  <si>
    <t>6.8</t>
  </si>
  <si>
    <t>CPU - IV</t>
  </si>
  <si>
    <t>CPU - V</t>
  </si>
  <si>
    <t>CPU - VII</t>
  </si>
  <si>
    <t>CPU - VI</t>
  </si>
  <si>
    <t>SERVIÇO: Execução e compactação de base e ou sub base para pavimentação de solo arenoso (SOLO MELHORADO COM SEIXO) - exclusive escavação, carga e transporte. (Seixo: 31 % / Aterro: 69%)</t>
  </si>
  <si>
    <t>SERVIÇO: Execução e compactação de base e ou sub base para pavimentação de solo estabilizado granulometricamente sem mistura de solos - exclusive escavação, carga e transporte. AF_11/2019</t>
  </si>
  <si>
    <t>Execução e compactação de base e ou sub base para pavimentação de solo estabilizado granulometricamente sem mistura de solos - exclusive escavação, carga e transporte. AF_11/2019. (Seixo: 31 % / Aterro: 69%)</t>
  </si>
  <si>
    <t>SINAPI AGO-22</t>
  </si>
  <si>
    <t>SINAPI AGO-2022</t>
  </si>
  <si>
    <t>SINAPI AGO/2022</t>
  </si>
  <si>
    <t>Data base: SEDOP-MAI/2022 - SINAPI-AGO/2022</t>
  </si>
  <si>
    <t>TV. SÃO SEBASTIÃO</t>
  </si>
  <si>
    <t>RUA DO PORTO</t>
  </si>
  <si>
    <t>RUA DO PORTO 2</t>
  </si>
  <si>
    <t>DISTRITO</t>
  </si>
  <si>
    <t>EXECUÇÃO DOS SERVIÇOS DE DRENAGEM SUPERFICIAL E PROFUNDA NA RUA DO PORTO E RUA DO PORTO 2 - DISTRITO INDUSTRIAL - NO MUNICÍPIO DE ANANINDEUA - PA.</t>
  </si>
  <si>
    <t>2.3</t>
  </si>
  <si>
    <t>TOTAL DO ITEM 2:</t>
  </si>
  <si>
    <t>3.1.1</t>
  </si>
  <si>
    <t>3.1.2</t>
  </si>
  <si>
    <t>3.1.3</t>
  </si>
  <si>
    <t>3.1.4</t>
  </si>
  <si>
    <t>3.1.5</t>
  </si>
  <si>
    <t>3.1.6</t>
  </si>
  <si>
    <t>3.1.7</t>
  </si>
  <si>
    <t>3.1.8</t>
  </si>
  <si>
    <t>3.2.1</t>
  </si>
  <si>
    <t>3.2.2</t>
  </si>
  <si>
    <t>3.2.3</t>
  </si>
  <si>
    <t>3.2.4</t>
  </si>
  <si>
    <t>3.2.5</t>
  </si>
  <si>
    <t>3.2.6</t>
  </si>
  <si>
    <t>3.2.7</t>
  </si>
  <si>
    <t>3.2.8</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</si>
  <si>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</si>
  <si>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</si>
  <si>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</si>
  <si>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</si>
  <si>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</si>
  <si>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</si>
  <si>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</si>
  <si>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</si>
  <si>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</si>
  <si>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</si>
  <si>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</si>
  <si>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</si>
  <si>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</si>
  <si>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</si>
  <si>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</si>
  <si>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</si>
  <si>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</si>
  <si>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</si>
  <si>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</si>
  <si>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</si>
  <si>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</si>
  <si>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</si>
  <si>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</si>
  <si>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</si>
  <si>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</si>
  <si>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</si>
  <si>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</si>
  <si>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</si>
  <si>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</si>
  <si>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</si>
  <si>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</si>
  <si>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</si>
  <si>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</si>
  <si>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</si>
  <si>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</si>
  <si>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</si>
  <si>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</si>
  <si>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</si>
  <si>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</si>
  <si>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</si>
  <si>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3.3.1</t>
  </si>
  <si>
    <t>3.4.1</t>
  </si>
  <si>
    <t>3.5</t>
  </si>
  <si>
    <t>3.5.1</t>
  </si>
  <si>
    <t>3.6</t>
  </si>
  <si>
    <t>3.6.1</t>
  </si>
  <si>
    <t>3.7</t>
  </si>
  <si>
    <t>3.7.1</t>
  </si>
</sst>
</file>

<file path=xl/styles.xml><?xml version="1.0" encoding="utf-8"?>
<styleSheet xmlns="http://schemas.openxmlformats.org/spreadsheetml/2006/main">
  <numFmts count="4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_);_(&quot;R$ &quot;* \(#,##0\);_(&quot;R$ &quot;* &quot;-&quot;_);_(@_)"/>
    <numFmt numFmtId="165" formatCode="_(* #,##0_);_(* \(#,##0\);_(* &quot;-&quot;_);_(@_)"/>
    <numFmt numFmtId="166" formatCode="_(&quot;R$ &quot;* #,##0.00_);_(&quot;R$ &quot;* \(#,##0.00\);_(&quot;R$ &quot;* &quot;-&quot;??_);_(@_)"/>
    <numFmt numFmtId="167" formatCode="_(* #,##0.00_);_(* \(#,##0.00\);_(* &quot;-&quot;??_);_(@_)"/>
    <numFmt numFmtId="168" formatCode="0.0000"/>
    <numFmt numFmtId="169" formatCode="_(* #,##0.0000_);_(* \(#,##0.0000\);_(* &quot;-&quot;??_);_(@_)"/>
    <numFmt numFmtId="170" formatCode="#,##0.000"/>
    <numFmt numFmtId="171" formatCode="&quot;R$&quot;\ #,##0.00"/>
    <numFmt numFmtId="172" formatCode="[$-416]mmmm\-yy;@"/>
    <numFmt numFmtId="173" formatCode="#,##0.000000"/>
    <numFmt numFmtId="174" formatCode="0.000%"/>
    <numFmt numFmtId="175" formatCode="&quot; &quot;#,##0.00&quot; &quot;;&quot;-&quot;#,##0.00&quot; &quot;;&quot; -&quot;00&quot; &quot;;&quot; &quot;@&quot; &quot;"/>
    <numFmt numFmtId="176" formatCode="#,##0.0000000"/>
    <numFmt numFmtId="177" formatCode="0.0"/>
    <numFmt numFmtId="178" formatCode="#,##0.0000"/>
    <numFmt numFmtId="179" formatCode="_-* #,##0.0000_-;\-* #,##0.0000_-;_-* &quot;-&quot;????_-;_-@_-"/>
    <numFmt numFmtId="180" formatCode="_(* #,##0.0_);_(* \(#,##0.0\);_(* &quot;-&quot;??_);_(@_)"/>
    <numFmt numFmtId="181" formatCode="_(* #,##0.000_);_(* \(#,##0.000\);_(* &quot;-&quot;??_);_(@_)"/>
    <numFmt numFmtId="182" formatCode="[$-416]dddd\,\ d&quot; de &quot;mmmm&quot; de &quot;yyyy"/>
    <numFmt numFmtId="183" formatCode="&quot;Sim&quot;;&quot;Sim&quot;;&quot;Não&quot;"/>
    <numFmt numFmtId="184" formatCode="&quot;Verdadeiro&quot;;&quot;Verdadeiro&quot;;&quot;Falso&quot;"/>
    <numFmt numFmtId="185" formatCode="&quot;Ativado&quot;;&quot;Ativado&quot;;&quot;Desativado&quot;"/>
    <numFmt numFmtId="186" formatCode="[$€-2]\ #,##0.00_);[Red]\([$€-2]\ #,##0.00\)"/>
    <numFmt numFmtId="187" formatCode="0.000"/>
    <numFmt numFmtId="188" formatCode="0.00000"/>
    <numFmt numFmtId="189" formatCode="0.000000"/>
    <numFmt numFmtId="190" formatCode="0.0000000"/>
    <numFmt numFmtId="191" formatCode="_(* #,##0.00_);_(* \(#,##0.00\);_(* \-??_);_(@_)"/>
    <numFmt numFmtId="192" formatCode="_(* #,##0.00_);_(* \(#,##0.00\);_(* \ ??_);_(@_)"/>
    <numFmt numFmtId="193" formatCode="0.0%"/>
    <numFmt numFmtId="194" formatCode="dd/mm/yy;@"/>
    <numFmt numFmtId="195" formatCode="#."/>
  </numFmts>
  <fonts count="86">
    <font>
      <sz val="10"/>
      <name val="Arial"/>
      <family val="0"/>
    </font>
    <font>
      <u val="single"/>
      <sz val="10"/>
      <color indexed="12"/>
      <name val="Arial"/>
      <family val="2"/>
    </font>
    <font>
      <u val="single"/>
      <sz val="10"/>
      <color indexed="36"/>
      <name val="Arial"/>
      <family val="2"/>
    </font>
    <font>
      <sz val="9"/>
      <name val="Segoe UI"/>
      <family val="2"/>
    </font>
    <font>
      <b/>
      <sz val="9"/>
      <name val="Segoe UI"/>
      <family val="2"/>
    </font>
    <font>
      <sz val="11"/>
      <name val="Arial"/>
      <family val="2"/>
    </font>
    <font>
      <sz val="10"/>
      <name val="Swis721 Lt BT"/>
      <family val="2"/>
    </font>
    <font>
      <sz val="9"/>
      <name val="Arial"/>
      <family val="2"/>
    </font>
    <font>
      <b/>
      <sz val="11"/>
      <name val="Segoe UI"/>
      <family val="2"/>
    </font>
    <font>
      <sz val="11"/>
      <name val="Segoe UI"/>
      <family val="2"/>
    </font>
    <font>
      <sz val="11"/>
      <color indexed="8"/>
      <name val="Calibri"/>
      <family val="2"/>
    </font>
    <font>
      <b/>
      <sz val="20"/>
      <name val="Calibri"/>
      <family val="2"/>
    </font>
    <font>
      <b/>
      <sz val="36"/>
      <name val="Segoe UI"/>
      <family val="2"/>
    </font>
    <font>
      <sz val="36"/>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Calibri"/>
      <family val="2"/>
    </font>
    <font>
      <sz val="10"/>
      <color indexed="8"/>
      <name val="Calibri"/>
      <family val="2"/>
    </font>
    <font>
      <b/>
      <sz val="10"/>
      <name val="Calibri"/>
      <family val="2"/>
    </font>
    <font>
      <b/>
      <sz val="16"/>
      <name val="Calibri"/>
      <family val="2"/>
    </font>
    <font>
      <sz val="9"/>
      <name val="Calibri"/>
      <family val="2"/>
    </font>
    <font>
      <b/>
      <sz val="10"/>
      <color indexed="8"/>
      <name val="Calibri"/>
      <family val="2"/>
    </font>
    <font>
      <sz val="14"/>
      <name val="Calibri"/>
      <family val="2"/>
    </font>
    <font>
      <b/>
      <sz val="18"/>
      <name val="Calibri"/>
      <family val="2"/>
    </font>
    <font>
      <sz val="11"/>
      <name val="Calibri"/>
      <family val="2"/>
    </font>
    <font>
      <sz val="14"/>
      <color indexed="8"/>
      <name val="Calibri"/>
      <family val="2"/>
    </font>
    <font>
      <b/>
      <sz val="14"/>
      <color indexed="8"/>
      <name val="Calibri"/>
      <family val="2"/>
    </font>
    <font>
      <b/>
      <sz val="14"/>
      <color indexed="9"/>
      <name val="Calibri"/>
      <family val="2"/>
    </font>
    <font>
      <b/>
      <sz val="14"/>
      <color indexed="62"/>
      <name val="Calibri"/>
      <family val="2"/>
    </font>
    <font>
      <b/>
      <sz val="14"/>
      <name val="Calibri"/>
      <family val="2"/>
    </font>
    <font>
      <sz val="20"/>
      <name val="Calibri"/>
      <family val="2"/>
    </font>
    <font>
      <sz val="16"/>
      <name val="Calibri"/>
      <family val="2"/>
    </font>
    <font>
      <b/>
      <sz val="8"/>
      <name val="Calibri"/>
      <family val="2"/>
    </font>
    <font>
      <b/>
      <sz val="20"/>
      <color indexed="8"/>
      <name val="Calibri"/>
      <family val="2"/>
    </font>
    <font>
      <sz val="22"/>
      <name val="Calibri"/>
      <family val="2"/>
    </font>
    <font>
      <sz val="12"/>
      <name val="Calibri"/>
      <family val="2"/>
    </font>
    <font>
      <b/>
      <sz val="11"/>
      <name val="Calibri"/>
      <family val="2"/>
    </font>
    <font>
      <b/>
      <sz val="12"/>
      <name val="Calibri"/>
      <family val="2"/>
    </font>
    <font>
      <b/>
      <sz val="9"/>
      <name val="Calibri"/>
      <family val="2"/>
    </font>
    <font>
      <b/>
      <sz val="20"/>
      <color indexed="59"/>
      <name val="Calibri"/>
      <family val="2"/>
    </font>
    <font>
      <b/>
      <sz val="22"/>
      <name val="Calibri"/>
      <family val="2"/>
    </font>
    <font>
      <b/>
      <sz val="12"/>
      <color indexed="8"/>
      <name val="Calibri"/>
      <family val="2"/>
    </font>
    <font>
      <b/>
      <sz val="24"/>
      <name val="Calibri"/>
      <family val="2"/>
    </font>
    <font>
      <sz val="24"/>
      <name val="Calibri"/>
      <family val="2"/>
    </font>
    <font>
      <b/>
      <sz val="2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Calibri"/>
      <family val="2"/>
    </font>
    <font>
      <b/>
      <sz val="10"/>
      <color theme="1"/>
      <name val="Calibri"/>
      <family val="2"/>
    </font>
    <font>
      <sz val="10"/>
      <color rgb="FF000000"/>
      <name val="Calibri"/>
      <family val="2"/>
    </font>
    <font>
      <sz val="14"/>
      <color theme="1"/>
      <name val="Calibri"/>
      <family val="2"/>
    </font>
    <font>
      <b/>
      <sz val="14"/>
      <color theme="1"/>
      <name val="Calibri"/>
      <family val="2"/>
    </font>
    <font>
      <sz val="11"/>
      <color rgb="FF000000"/>
      <name val="Calibri"/>
      <family val="2"/>
    </font>
    <font>
      <b/>
      <sz val="11"/>
      <color rgb="FF000000"/>
      <name val="Calibri"/>
      <family val="2"/>
    </font>
    <font>
      <b/>
      <sz val="10"/>
      <color rgb="FF000000"/>
      <name val="Calibri"/>
      <family val="2"/>
    </font>
    <font>
      <b/>
      <sz val="12"/>
      <color theme="1"/>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FFFFFF"/>
        <bgColor indexed="64"/>
      </patternFill>
    </fill>
    <fill>
      <patternFill patternType="solid">
        <fgColor theme="0" tint="-0.04997999966144562"/>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1" tint="0.04998999834060669"/>
        <bgColor indexed="64"/>
      </patternFill>
    </fill>
    <fill>
      <patternFill patternType="solid">
        <fgColor theme="1" tint="0.04998999834060669"/>
        <bgColor indexed="64"/>
      </patternFill>
    </fill>
  </fills>
  <borders count="1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8"/>
      </left>
      <right style="thin">
        <color indexed="8"/>
      </right>
      <top>
        <color indexed="63"/>
      </top>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medium"/>
      <top style="thin">
        <color indexed="8"/>
      </top>
      <bottom style="thin">
        <color indexed="8"/>
      </bottom>
    </border>
    <border>
      <left style="medium"/>
      <right/>
      <top style="thin">
        <color indexed="8"/>
      </top>
      <bottom style="thin">
        <color indexed="8"/>
      </bottom>
    </border>
    <border>
      <left style="medium">
        <color indexed="8"/>
      </left>
      <right/>
      <top style="medium">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thin">
        <color indexed="8"/>
      </left>
      <right/>
      <top style="thin">
        <color indexed="8"/>
      </top>
      <bottom style="thin">
        <color indexed="8"/>
      </bottom>
    </border>
    <border>
      <left style="medium"/>
      <right style="thin">
        <color indexed="8"/>
      </right>
      <top/>
      <bottom style="thin">
        <color indexed="8"/>
      </bottom>
    </border>
    <border>
      <left style="thin">
        <color indexed="8"/>
      </left>
      <right/>
      <top/>
      <bottom style="thin">
        <color indexed="8"/>
      </bottom>
    </border>
    <border>
      <left/>
      <right/>
      <top/>
      <bottom style="thin">
        <color indexed="8"/>
      </bottom>
    </border>
    <border>
      <left style="thin">
        <color indexed="8"/>
      </left>
      <right style="thin">
        <color indexed="8"/>
      </right>
      <top/>
      <bottom style="thin">
        <color indexed="8"/>
      </bottom>
    </border>
    <border>
      <left/>
      <right/>
      <top style="medium">
        <color indexed="8"/>
      </top>
      <bottom style="medium">
        <color indexed="8"/>
      </bottom>
    </border>
    <border>
      <left style="thin">
        <color indexed="8"/>
      </left>
      <right style="medium"/>
      <top style="thin">
        <color indexed="8"/>
      </top>
      <bottom style="thin">
        <color indexed="8"/>
      </bottom>
    </border>
    <border>
      <left style="medium"/>
      <right/>
      <top/>
      <bottom style="thin">
        <color indexed="8"/>
      </bottom>
    </border>
    <border>
      <left style="thin">
        <color indexed="8"/>
      </left>
      <right style="medium"/>
      <top/>
      <bottom style="thin">
        <color indexed="8"/>
      </bottom>
    </border>
    <border>
      <left style="medium"/>
      <right/>
      <top style="medium">
        <color indexed="8"/>
      </top>
      <bottom style="medium"/>
    </border>
    <border>
      <left/>
      <right/>
      <top style="medium">
        <color indexed="8"/>
      </top>
      <bottom style="medium"/>
    </border>
    <border>
      <left style="thin">
        <color indexed="8"/>
      </left>
      <right style="medium"/>
      <top style="medium">
        <color indexed="8"/>
      </top>
      <bottom style="medium"/>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top>
        <color indexed="63"/>
      </top>
      <bottom style="thin">
        <color indexed="8"/>
      </bottom>
    </border>
    <border>
      <left style="medium"/>
      <right>
        <color indexed="63"/>
      </right>
      <top>
        <color indexed="63"/>
      </top>
      <bottom style="double"/>
    </border>
    <border>
      <left style="medium"/>
      <right/>
      <top/>
      <bottom style="medium"/>
    </border>
    <border>
      <left/>
      <right/>
      <top/>
      <bottom style="medium"/>
    </border>
    <border>
      <left/>
      <right style="thin"/>
      <top/>
      <bottom style="medium"/>
    </border>
    <border>
      <left style="thin"/>
      <right style="medium"/>
      <top/>
      <bottom style="medium"/>
    </border>
    <border>
      <left style="medium"/>
      <right style="thin"/>
      <top/>
      <bottom style="thin"/>
    </border>
    <border>
      <left style="thin"/>
      <right>
        <color indexed="63"/>
      </right>
      <top style="medium"/>
      <bottom style="thin"/>
    </border>
    <border>
      <left>
        <color indexed="63"/>
      </left>
      <right>
        <color indexed="63"/>
      </right>
      <top style="medium"/>
      <bottom style="thin"/>
    </border>
    <border>
      <left/>
      <right style="thin"/>
      <top style="medium"/>
      <bottom style="thin"/>
    </border>
    <border>
      <left style="thin"/>
      <right style="medium"/>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right style="medium"/>
      <top/>
      <bottom style="medium"/>
    </border>
    <border>
      <left style="medium"/>
      <right style="thin"/>
      <top style="thin"/>
      <bottom>
        <color indexed="63"/>
      </bottom>
    </border>
    <border>
      <left style="thin"/>
      <right>
        <color indexed="63"/>
      </right>
      <top style="thin"/>
      <bottom style="medium"/>
    </border>
    <border>
      <left style="thin"/>
      <right style="medium"/>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medium"/>
      <top/>
      <bottom>
        <color indexed="63"/>
      </bottom>
    </border>
    <border>
      <left style="medium"/>
      <right style="thin"/>
      <top style="medium"/>
      <bottom style="medium"/>
    </border>
    <border>
      <left style="thin">
        <color indexed="8"/>
      </left>
      <right style="medium"/>
      <top style="medium"/>
      <bottom style="medium"/>
    </border>
    <border>
      <left style="thin"/>
      <right style="thin"/>
      <top style="thin"/>
      <bottom/>
    </border>
    <border>
      <left style="medium"/>
      <right>
        <color indexed="63"/>
      </right>
      <top>
        <color indexed="63"/>
      </top>
      <bottom style="thin"/>
    </border>
    <border>
      <left style="thin"/>
      <right style="thin"/>
      <top style="medium"/>
      <bottom style="thin"/>
    </border>
    <border>
      <left style="thin"/>
      <right style="medium"/>
      <top style="medium"/>
      <bottom style="medium"/>
    </border>
    <border>
      <left style="thin"/>
      <right>
        <color indexed="63"/>
      </right>
      <top>
        <color indexed="63"/>
      </top>
      <bottom style="thin"/>
    </border>
    <border>
      <left>
        <color indexed="63"/>
      </left>
      <right>
        <color indexed="63"/>
      </right>
      <top>
        <color indexed="63"/>
      </top>
      <bottom style="double"/>
    </border>
    <border>
      <left>
        <color indexed="63"/>
      </left>
      <right style="medium"/>
      <top>
        <color indexed="63"/>
      </top>
      <bottom style="double"/>
    </border>
    <border>
      <left>
        <color indexed="63"/>
      </left>
      <right style="thin"/>
      <top>
        <color indexed="63"/>
      </top>
      <bottom style="thin"/>
    </border>
    <border>
      <left>
        <color indexed="63"/>
      </left>
      <right style="thin"/>
      <top style="thin"/>
      <bottom style="double"/>
    </border>
    <border>
      <left style="thin"/>
      <right style="thin"/>
      <top style="thin"/>
      <bottom style="double"/>
    </border>
    <border>
      <left style="thin"/>
      <right style="thin"/>
      <top style="medium"/>
      <bottom style="medium"/>
    </border>
    <border>
      <left style="medium"/>
      <right style="medium"/>
      <top style="thin"/>
      <bottom style="double"/>
    </border>
    <border>
      <left style="medium"/>
      <right style="medium"/>
      <top style="thin"/>
      <bottom style="thin"/>
    </border>
    <border>
      <left style="thin"/>
      <right>
        <color indexed="63"/>
      </right>
      <top style="thin"/>
      <bottom style="double"/>
    </border>
    <border>
      <left style="medium"/>
      <right style="thin">
        <color indexed="8"/>
      </right>
      <top style="double">
        <color indexed="8"/>
      </top>
      <bottom style="double"/>
    </border>
    <border>
      <left style="thin">
        <color indexed="8"/>
      </left>
      <right/>
      <top style="double">
        <color indexed="8"/>
      </top>
      <bottom style="double"/>
    </border>
    <border>
      <left/>
      <right/>
      <top style="double">
        <color indexed="8"/>
      </top>
      <bottom style="double"/>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thin"/>
      <right style="thin"/>
      <top style="thin">
        <color indexed="8"/>
      </top>
      <bottom style="medium">
        <color indexed="8"/>
      </bottom>
    </border>
    <border>
      <left style="thin"/>
      <right style="thin">
        <color indexed="8"/>
      </right>
      <top style="thin">
        <color indexed="8"/>
      </top>
      <bottom style="thin">
        <color indexed="8"/>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medium"/>
      <top/>
      <bottom>
        <color indexed="63"/>
      </bottom>
    </border>
    <border>
      <left style="medium"/>
      <right style="medium"/>
      <top>
        <color indexed="63"/>
      </top>
      <bottom style="thin"/>
    </border>
    <border>
      <left style="medium"/>
      <right style="thin"/>
      <top style="thin"/>
      <bottom style="double"/>
    </border>
    <border>
      <left style="thin"/>
      <right style="medium"/>
      <top style="thin"/>
      <bottom style="double"/>
    </border>
    <border>
      <left style="medium"/>
      <right style="thin"/>
      <top>
        <color indexed="63"/>
      </top>
      <bottom>
        <color indexed="63"/>
      </bottom>
    </border>
    <border>
      <left style="medium"/>
      <right style="thin"/>
      <top style="medium"/>
      <bottom style="thin"/>
    </border>
    <border>
      <left style="thin"/>
      <right style="thin"/>
      <top style="medium"/>
      <bottom>
        <color indexed="63"/>
      </bottom>
    </border>
    <border>
      <left style="thin"/>
      <right>
        <color indexed="63"/>
      </right>
      <top style="medium"/>
      <bottom>
        <color indexed="63"/>
      </bottom>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style="medium"/>
      <top style="medium"/>
      <bottom style="thin"/>
    </border>
    <border>
      <left style="medium"/>
      <right style="medium"/>
      <top style="medium"/>
      <bottom>
        <color indexed="63"/>
      </bottom>
    </border>
    <border>
      <left style="medium"/>
      <right>
        <color indexed="63"/>
      </right>
      <top style="thin">
        <color indexed="8"/>
      </top>
      <bottom style="medium">
        <color indexed="8"/>
      </bottom>
    </border>
    <border>
      <left>
        <color indexed="63"/>
      </left>
      <right>
        <color indexed="63"/>
      </right>
      <top style="thin">
        <color indexed="8"/>
      </top>
      <bottom style="medium">
        <color indexed="8"/>
      </botto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top/>
      <bottom style="double">
        <color indexed="8"/>
      </bottom>
    </border>
    <border>
      <left/>
      <right/>
      <top/>
      <bottom style="double">
        <color indexed="8"/>
      </bottom>
    </border>
    <border>
      <left/>
      <right style="medium"/>
      <top/>
      <bottom style="double">
        <color indexed="8"/>
      </bottom>
    </border>
    <border>
      <left/>
      <right style="medium"/>
      <top style="double">
        <color indexed="8"/>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thin"/>
    </border>
    <border>
      <left>
        <color indexed="63"/>
      </left>
      <right style="thin">
        <color indexed="8"/>
      </right>
      <top style="double">
        <color indexed="8"/>
      </top>
      <bottom style="double"/>
    </border>
    <border>
      <left style="thin"/>
      <right>
        <color indexed="63"/>
      </right>
      <top style="thin"/>
      <bottom style="thin">
        <color indexed="8"/>
      </bottom>
    </border>
    <border>
      <left>
        <color indexed="63"/>
      </left>
      <right style="medium"/>
      <top style="thin"/>
      <bottom style="thin">
        <color indexed="8"/>
      </bottom>
    </border>
    <border>
      <left>
        <color indexed="63"/>
      </left>
      <right style="medium"/>
      <top>
        <color indexed="63"/>
      </top>
      <bottom style="thin">
        <color indexed="8"/>
      </bottom>
    </border>
    <border>
      <left style="thin"/>
      <right>
        <color indexed="63"/>
      </right>
      <top style="double"/>
      <bottom style="double"/>
    </border>
    <border>
      <left>
        <color indexed="63"/>
      </left>
      <right style="medium"/>
      <top style="double"/>
      <bottom style="double"/>
    </border>
    <border>
      <left style="medium"/>
      <right>
        <color indexed="63"/>
      </right>
      <top style="double"/>
      <bottom style="double"/>
    </border>
    <border>
      <left>
        <color indexed="63"/>
      </left>
      <right>
        <color indexed="63"/>
      </right>
      <top style="double"/>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top/>
      <bottom style="medium"/>
    </border>
    <border>
      <left style="medium"/>
      <right style="thin"/>
      <top style="medium"/>
      <bottom>
        <color indexed="63"/>
      </bottom>
    </border>
    <border>
      <left style="thin"/>
      <right style="thin"/>
      <top style="double"/>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5"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6" fillId="30"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59" fillId="0" borderId="0">
      <alignment/>
      <protection/>
    </xf>
    <xf numFmtId="0" fontId="0" fillId="0" borderId="0">
      <alignment/>
      <protection/>
    </xf>
    <xf numFmtId="0" fontId="0" fillId="0" borderId="0">
      <alignment/>
      <protection/>
    </xf>
    <xf numFmtId="0" fontId="59" fillId="0" borderId="0">
      <alignment/>
      <protection/>
    </xf>
    <xf numFmtId="0" fontId="5"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9" fontId="59" fillId="0" borderId="0" applyFont="0" applyFill="0" applyBorder="0" applyAlignment="0" applyProtection="0"/>
    <xf numFmtId="9" fontId="0" fillId="0" borderId="0" applyFill="0" applyBorder="0" applyAlignment="0" applyProtection="0"/>
    <xf numFmtId="0" fontId="68" fillId="21" borderId="5" applyNumberFormat="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43" fontId="0" fillId="0" borderId="0" applyFont="0" applyFill="0" applyBorder="0" applyAlignment="0" applyProtection="0"/>
    <xf numFmtId="167" fontId="59" fillId="0" borderId="0" applyFont="0" applyFill="0" applyBorder="0" applyAlignment="0" applyProtection="0"/>
    <xf numFmtId="167" fontId="6" fillId="0" borderId="0" applyFont="0" applyFill="0" applyBorder="0" applyAlignment="0" applyProtection="0"/>
    <xf numFmtId="191" fontId="0" fillId="0" borderId="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9" applyNumberFormat="0" applyFill="0" applyAlignment="0" applyProtection="0"/>
    <xf numFmtId="167" fontId="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0" fillId="0" borderId="0" applyFont="0" applyFill="0" applyBorder="0" applyAlignment="0" applyProtection="0"/>
  </cellStyleXfs>
  <cellXfs count="1014">
    <xf numFmtId="0" fontId="0" fillId="0" borderId="0" xfId="0" applyAlignment="1">
      <alignment/>
    </xf>
    <xf numFmtId="0" fontId="30" fillId="0" borderId="0" xfId="0" applyFont="1" applyAlignment="1">
      <alignment/>
    </xf>
    <xf numFmtId="0" fontId="30" fillId="0" borderId="0" xfId="0" applyFont="1" applyAlignment="1">
      <alignment vertical="center"/>
    </xf>
    <xf numFmtId="0" fontId="30" fillId="0" borderId="10" xfId="60" applyFont="1" applyBorder="1" applyAlignment="1">
      <alignment horizontal="center" vertical="center"/>
      <protection/>
    </xf>
    <xf numFmtId="0" fontId="76" fillId="0" borderId="10" xfId="60" applyFont="1" applyBorder="1" applyAlignment="1">
      <alignment horizontal="center" vertical="center"/>
      <protection/>
    </xf>
    <xf numFmtId="49" fontId="30" fillId="0" borderId="10" xfId="60" applyNumberFormat="1" applyFont="1" applyFill="1" applyBorder="1" applyAlignment="1">
      <alignment horizontal="center" vertical="center"/>
      <protection/>
    </xf>
    <xf numFmtId="168" fontId="30" fillId="0" borderId="10" xfId="60" applyNumberFormat="1" applyFont="1" applyFill="1" applyBorder="1" applyAlignment="1">
      <alignment horizontal="center" vertical="center"/>
      <protection/>
    </xf>
    <xf numFmtId="167" fontId="76" fillId="0" borderId="10" xfId="75" applyNumberFormat="1" applyFont="1" applyFill="1" applyBorder="1" applyAlignment="1">
      <alignment horizontal="center" vertical="center"/>
    </xf>
    <xf numFmtId="0" fontId="30" fillId="0" borderId="10" xfId="60" applyNumberFormat="1" applyFont="1" applyFill="1" applyBorder="1" applyAlignment="1" quotePrefix="1">
      <alignment horizontal="center" vertical="center"/>
      <protection/>
    </xf>
    <xf numFmtId="0" fontId="30" fillId="0" borderId="10" xfId="60" applyFont="1" applyFill="1" applyBorder="1" applyAlignment="1">
      <alignment horizontal="center" vertical="center"/>
      <protection/>
    </xf>
    <xf numFmtId="0" fontId="76" fillId="0" borderId="10" xfId="60" applyFont="1" applyFill="1" applyBorder="1" applyAlignment="1">
      <alignment horizontal="center" vertical="center"/>
      <protection/>
    </xf>
    <xf numFmtId="0" fontId="30" fillId="0" borderId="10" xfId="60" applyNumberFormat="1" applyFont="1" applyBorder="1" applyAlignment="1">
      <alignment horizontal="center" vertical="center"/>
      <protection/>
    </xf>
    <xf numFmtId="168" fontId="30" fillId="0" borderId="10" xfId="60" applyNumberFormat="1" applyFont="1" applyBorder="1" applyAlignment="1">
      <alignment horizontal="center" vertical="center"/>
      <protection/>
    </xf>
    <xf numFmtId="167" fontId="76" fillId="0" borderId="10" xfId="75" applyNumberFormat="1" applyFont="1" applyBorder="1" applyAlignment="1">
      <alignment horizontal="center" vertical="center"/>
    </xf>
    <xf numFmtId="169" fontId="30" fillId="0" borderId="10" xfId="60" applyNumberFormat="1" applyFont="1" applyBorder="1" applyAlignment="1">
      <alignment horizontal="center" vertical="center"/>
      <protection/>
    </xf>
    <xf numFmtId="167" fontId="76" fillId="0" borderId="10" xfId="60" applyNumberFormat="1" applyFont="1" applyFill="1" applyBorder="1" applyAlignment="1">
      <alignment horizontal="center" vertical="center"/>
      <protection/>
    </xf>
    <xf numFmtId="167" fontId="30" fillId="0" borderId="11" xfId="58" applyNumberFormat="1" applyFont="1" applyFill="1" applyBorder="1" applyAlignment="1">
      <alignment vertical="center"/>
      <protection/>
    </xf>
    <xf numFmtId="167" fontId="30" fillId="0" borderId="12" xfId="58" applyNumberFormat="1" applyFont="1" applyFill="1" applyBorder="1" applyAlignment="1">
      <alignment vertical="center"/>
      <protection/>
    </xf>
    <xf numFmtId="167" fontId="30" fillId="0" borderId="0" xfId="60" applyNumberFormat="1" applyFont="1" applyFill="1" applyBorder="1" applyAlignment="1" quotePrefix="1">
      <alignment horizontal="center" vertical="center"/>
      <protection/>
    </xf>
    <xf numFmtId="167" fontId="32" fillId="0" borderId="0" xfId="60" applyNumberFormat="1" applyFont="1" applyFill="1" applyBorder="1" applyAlignment="1">
      <alignment horizontal="left" vertical="center"/>
      <protection/>
    </xf>
    <xf numFmtId="167" fontId="32" fillId="0" borderId="0" xfId="61" applyNumberFormat="1" applyFont="1" applyFill="1" applyBorder="1" applyAlignment="1">
      <alignment horizontal="center" vertical="center"/>
      <protection/>
    </xf>
    <xf numFmtId="167" fontId="30" fillId="0" borderId="13" xfId="60" applyNumberFormat="1" applyFont="1" applyBorder="1" applyAlignment="1">
      <alignment horizontal="center" vertical="center"/>
      <protection/>
    </xf>
    <xf numFmtId="167" fontId="30" fillId="0" borderId="14" xfId="60" applyNumberFormat="1" applyFont="1" applyBorder="1" applyAlignment="1">
      <alignment horizontal="center" vertical="center"/>
      <protection/>
    </xf>
    <xf numFmtId="0" fontId="30" fillId="0" borderId="13" xfId="60" applyNumberFormat="1" applyFont="1" applyFill="1" applyBorder="1" applyAlignment="1">
      <alignment horizontal="center" vertical="center"/>
      <protection/>
    </xf>
    <xf numFmtId="167" fontId="76" fillId="0" borderId="14" xfId="75" applyNumberFormat="1" applyFont="1" applyFill="1" applyBorder="1" applyAlignment="1">
      <alignment horizontal="center" vertical="center"/>
    </xf>
    <xf numFmtId="167" fontId="30" fillId="0" borderId="13" xfId="60" applyNumberFormat="1" applyFont="1" applyFill="1" applyBorder="1" applyAlignment="1">
      <alignment horizontal="center" vertical="center"/>
      <protection/>
    </xf>
    <xf numFmtId="167" fontId="30" fillId="0" borderId="14" xfId="60" applyNumberFormat="1" applyFont="1" applyFill="1" applyBorder="1" applyAlignment="1">
      <alignment horizontal="center" vertical="center"/>
      <protection/>
    </xf>
    <xf numFmtId="0" fontId="30" fillId="0" borderId="13" xfId="60" applyNumberFormat="1" applyFont="1" applyBorder="1" applyAlignment="1">
      <alignment horizontal="center" vertical="center"/>
      <protection/>
    </xf>
    <xf numFmtId="167" fontId="30" fillId="0" borderId="14" xfId="58" applyNumberFormat="1" applyFont="1" applyBorder="1" applyAlignment="1">
      <alignment horizontal="center" vertical="center"/>
      <protection/>
    </xf>
    <xf numFmtId="0" fontId="30" fillId="0" borderId="10" xfId="60" applyFont="1" applyBorder="1" applyAlignment="1">
      <alignment horizontal="justify" vertical="center"/>
      <protection/>
    </xf>
    <xf numFmtId="0" fontId="30" fillId="0" borderId="10" xfId="60" applyFont="1" applyBorder="1" applyAlignment="1">
      <alignment horizontal="justify" vertical="center" wrapText="1"/>
      <protection/>
    </xf>
    <xf numFmtId="0" fontId="30" fillId="0" borderId="10" xfId="60" applyFont="1" applyFill="1" applyBorder="1" applyAlignment="1">
      <alignment horizontal="justify" vertical="center"/>
      <protection/>
    </xf>
    <xf numFmtId="167" fontId="32" fillId="33" borderId="0" xfId="60" applyNumberFormat="1" applyFont="1" applyFill="1" applyBorder="1" applyAlignment="1">
      <alignment horizontal="center" vertical="center" wrapText="1"/>
      <protection/>
    </xf>
    <xf numFmtId="0" fontId="32" fillId="34" borderId="0" xfId="54" applyFont="1" applyFill="1" applyBorder="1" applyAlignment="1">
      <alignment horizontal="center" vertical="center"/>
      <protection/>
    </xf>
    <xf numFmtId="167" fontId="30" fillId="0" borderId="0" xfId="60" applyNumberFormat="1" applyFont="1" applyBorder="1" applyAlignment="1">
      <alignment horizontal="center" vertical="center"/>
      <protection/>
    </xf>
    <xf numFmtId="167" fontId="30" fillId="35" borderId="0" xfId="60" applyNumberFormat="1" applyFont="1" applyFill="1" applyBorder="1" applyAlignment="1">
      <alignment horizontal="center" vertical="center"/>
      <protection/>
    </xf>
    <xf numFmtId="167" fontId="30" fillId="0" borderId="0" xfId="60" applyNumberFormat="1" applyFont="1" applyFill="1" applyBorder="1" applyAlignment="1">
      <alignment horizontal="center" vertical="center"/>
      <protection/>
    </xf>
    <xf numFmtId="167" fontId="32" fillId="0" borderId="0" xfId="60" applyNumberFormat="1" applyFont="1" applyBorder="1" applyAlignment="1">
      <alignment horizontal="center" vertical="center"/>
      <protection/>
    </xf>
    <xf numFmtId="167" fontId="32" fillId="36" borderId="0" xfId="60" applyNumberFormat="1" applyFont="1" applyFill="1" applyBorder="1" applyAlignment="1">
      <alignment horizontal="center" vertical="center"/>
      <protection/>
    </xf>
    <xf numFmtId="167" fontId="30" fillId="0" borderId="0" xfId="58" applyNumberFormat="1" applyFont="1" applyBorder="1" applyAlignment="1">
      <alignment horizontal="center" vertical="center"/>
      <protection/>
    </xf>
    <xf numFmtId="167" fontId="32" fillId="36" borderId="0" xfId="61" applyNumberFormat="1" applyFont="1" applyFill="1" applyBorder="1" applyAlignment="1">
      <alignment horizontal="center" vertical="center"/>
      <protection/>
    </xf>
    <xf numFmtId="169" fontId="76" fillId="0" borderId="0" xfId="75" applyNumberFormat="1" applyFont="1" applyFill="1" applyBorder="1" applyAlignment="1">
      <alignment horizontal="center" vertical="center"/>
    </xf>
    <xf numFmtId="167" fontId="30" fillId="0" borderId="10" xfId="60" applyNumberFormat="1" applyFont="1" applyBorder="1" applyAlignment="1">
      <alignment horizontal="center" vertical="center"/>
      <protection/>
    </xf>
    <xf numFmtId="167" fontId="30" fillId="0" borderId="10" xfId="60" applyNumberFormat="1" applyFont="1" applyFill="1" applyBorder="1" applyAlignment="1">
      <alignment horizontal="center" vertical="center"/>
      <protection/>
    </xf>
    <xf numFmtId="167" fontId="32" fillId="0" borderId="14" xfId="60" applyNumberFormat="1" applyFont="1" applyFill="1" applyBorder="1" applyAlignment="1">
      <alignment horizontal="center" vertical="center"/>
      <protection/>
    </xf>
    <xf numFmtId="167" fontId="30" fillId="8" borderId="15" xfId="60" applyNumberFormat="1" applyFont="1" applyFill="1" applyBorder="1" applyAlignment="1" quotePrefix="1">
      <alignment horizontal="center" vertical="center"/>
      <protection/>
    </xf>
    <xf numFmtId="167" fontId="30" fillId="8" borderId="16" xfId="60" applyNumberFormat="1" applyFont="1" applyFill="1" applyBorder="1" applyAlignment="1" quotePrefix="1">
      <alignment horizontal="center" vertical="center"/>
      <protection/>
    </xf>
    <xf numFmtId="167" fontId="32" fillId="8" borderId="17" xfId="61" applyNumberFormat="1" applyFont="1" applyFill="1" applyBorder="1" applyAlignment="1">
      <alignment horizontal="center" vertical="center"/>
      <protection/>
    </xf>
    <xf numFmtId="167" fontId="30" fillId="8" borderId="10" xfId="60" applyNumberFormat="1" applyFont="1" applyFill="1" applyBorder="1" applyAlignment="1" quotePrefix="1">
      <alignment horizontal="center" vertical="center"/>
      <protection/>
    </xf>
    <xf numFmtId="0" fontId="33" fillId="0" borderId="0" xfId="0" applyFont="1" applyFill="1" applyBorder="1" applyAlignment="1">
      <alignment horizontal="center" vertical="center"/>
    </xf>
    <xf numFmtId="0" fontId="76" fillId="37" borderId="18" xfId="0" applyFont="1" applyFill="1" applyBorder="1" applyAlignment="1">
      <alignment/>
    </xf>
    <xf numFmtId="0" fontId="76" fillId="37" borderId="19" xfId="0" applyFont="1" applyFill="1" applyBorder="1" applyAlignment="1">
      <alignment/>
    </xf>
    <xf numFmtId="0" fontId="76" fillId="37" borderId="20" xfId="0" applyFont="1" applyFill="1" applyBorder="1" applyAlignment="1">
      <alignment/>
    </xf>
    <xf numFmtId="0" fontId="76" fillId="0" borderId="0" xfId="0" applyFont="1" applyAlignment="1">
      <alignment horizontal="center" vertical="center"/>
    </xf>
    <xf numFmtId="0" fontId="76" fillId="0" borderId="0" xfId="0" applyFont="1" applyAlignment="1">
      <alignment/>
    </xf>
    <xf numFmtId="167" fontId="76" fillId="0" borderId="0" xfId="0" applyNumberFormat="1" applyFont="1" applyAlignment="1">
      <alignment vertical="center"/>
    </xf>
    <xf numFmtId="0" fontId="76" fillId="0" borderId="0" xfId="0" applyFont="1" applyAlignment="1">
      <alignment vertical="center"/>
    </xf>
    <xf numFmtId="0" fontId="30" fillId="0" borderId="10" xfId="60" applyFont="1" applyFill="1" applyBorder="1" applyAlignment="1">
      <alignment horizontal="justify" vertical="top" wrapText="1"/>
      <protection/>
    </xf>
    <xf numFmtId="0" fontId="34" fillId="0" borderId="0" xfId="0" applyFont="1" applyAlignment="1">
      <alignment/>
    </xf>
    <xf numFmtId="0" fontId="77" fillId="37" borderId="0" xfId="0" applyFont="1" applyFill="1" applyBorder="1" applyAlignment="1">
      <alignment horizontal="center" vertical="center"/>
    </xf>
    <xf numFmtId="0" fontId="36" fillId="0" borderId="0" xfId="0" applyFont="1" applyAlignment="1">
      <alignment vertical="center"/>
    </xf>
    <xf numFmtId="0" fontId="30" fillId="0" borderId="0" xfId="54" applyFont="1" applyAlignment="1">
      <alignment vertical="center"/>
      <protection/>
    </xf>
    <xf numFmtId="0" fontId="78" fillId="38" borderId="0" xfId="0" applyFont="1" applyFill="1" applyAlignment="1">
      <alignment vertical="center"/>
    </xf>
    <xf numFmtId="0" fontId="32" fillId="0" borderId="21" xfId="0" applyFont="1" applyFill="1" applyBorder="1" applyAlignment="1">
      <alignment horizontal="center" vertical="center"/>
    </xf>
    <xf numFmtId="0" fontId="32" fillId="0" borderId="0" xfId="0" applyFont="1" applyFill="1" applyBorder="1" applyAlignment="1">
      <alignment horizontal="centerContinuous"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4" fontId="30" fillId="0" borderId="23" xfId="0" applyNumberFormat="1" applyFont="1" applyFill="1" applyBorder="1" applyAlignment="1">
      <alignment horizontal="right" vertical="center"/>
    </xf>
    <xf numFmtId="0" fontId="30" fillId="0" borderId="24" xfId="0" applyFont="1" applyFill="1" applyBorder="1" applyAlignment="1">
      <alignment vertical="center"/>
    </xf>
    <xf numFmtId="4" fontId="30" fillId="0" borderId="25" xfId="0" applyNumberFormat="1" applyFont="1" applyFill="1" applyBorder="1" applyAlignment="1">
      <alignment horizontal="right" vertical="center"/>
    </xf>
    <xf numFmtId="0" fontId="30" fillId="0" borderId="26" xfId="0" applyFont="1" applyFill="1" applyBorder="1" applyAlignment="1">
      <alignment horizontal="center" vertical="center"/>
    </xf>
    <xf numFmtId="0" fontId="30" fillId="0" borderId="24" xfId="0" applyFont="1" applyFill="1" applyBorder="1" applyAlignment="1">
      <alignment horizontal="center" vertical="center"/>
    </xf>
    <xf numFmtId="0" fontId="32" fillId="35" borderId="27" xfId="0" applyFont="1" applyFill="1" applyBorder="1" applyAlignment="1">
      <alignment vertical="center"/>
    </xf>
    <xf numFmtId="0" fontId="32" fillId="35" borderId="28" xfId="0" applyFont="1" applyFill="1" applyBorder="1" applyAlignment="1">
      <alignment vertical="center"/>
    </xf>
    <xf numFmtId="0" fontId="32" fillId="35" borderId="29" xfId="0" applyFont="1" applyFill="1" applyBorder="1" applyAlignment="1">
      <alignment vertical="center"/>
    </xf>
    <xf numFmtId="4" fontId="32" fillId="35" borderId="30" xfId="0" applyNumberFormat="1" applyFont="1" applyFill="1" applyBorder="1" applyAlignment="1">
      <alignment vertical="center"/>
    </xf>
    <xf numFmtId="0" fontId="32" fillId="0" borderId="22"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23" xfId="0" applyFont="1" applyFill="1" applyBorder="1" applyAlignment="1">
      <alignment vertical="center"/>
    </xf>
    <xf numFmtId="0" fontId="32" fillId="0" borderId="31" xfId="0" applyFont="1" applyFill="1" applyBorder="1" applyAlignment="1">
      <alignment horizontal="centerContinuous" vertical="center"/>
    </xf>
    <xf numFmtId="0" fontId="32" fillId="0" borderId="25" xfId="0" applyFont="1" applyFill="1" applyBorder="1" applyAlignment="1">
      <alignment horizontal="centerContinuous" vertical="center"/>
    </xf>
    <xf numFmtId="0" fontId="30" fillId="0" borderId="32" xfId="0" applyFont="1" applyFill="1" applyBorder="1" applyAlignment="1">
      <alignment horizontal="center" vertical="center"/>
    </xf>
    <xf numFmtId="0" fontId="30" fillId="0" borderId="33" xfId="0" applyFont="1" applyFill="1" applyBorder="1" applyAlignment="1">
      <alignment vertical="center"/>
    </xf>
    <xf numFmtId="0" fontId="30" fillId="0" borderId="34" xfId="0" applyFont="1" applyFill="1" applyBorder="1" applyAlignment="1">
      <alignment vertical="center"/>
    </xf>
    <xf numFmtId="0" fontId="30" fillId="0" borderId="35" xfId="0" applyFont="1" applyFill="1" applyBorder="1" applyAlignment="1">
      <alignment horizontal="center" vertical="center"/>
    </xf>
    <xf numFmtId="0" fontId="32" fillId="35" borderId="36" xfId="0" applyFont="1" applyFill="1" applyBorder="1" applyAlignment="1">
      <alignment vertical="center"/>
    </xf>
    <xf numFmtId="2" fontId="32" fillId="35" borderId="36" xfId="0" applyNumberFormat="1" applyFont="1" applyFill="1" applyBorder="1" applyAlignment="1">
      <alignment vertical="center"/>
    </xf>
    <xf numFmtId="0" fontId="30" fillId="0" borderId="26" xfId="0" applyFont="1" applyFill="1" applyBorder="1" applyAlignment="1">
      <alignment vertical="center"/>
    </xf>
    <xf numFmtId="4" fontId="30" fillId="0" borderId="37" xfId="0" applyNumberFormat="1" applyFont="1" applyFill="1" applyBorder="1" applyAlignment="1">
      <alignment vertical="center"/>
    </xf>
    <xf numFmtId="0" fontId="32" fillId="0" borderId="38" xfId="0" applyFont="1" applyFill="1" applyBorder="1" applyAlignment="1">
      <alignment horizontal="center" vertical="center"/>
    </xf>
    <xf numFmtId="10" fontId="32" fillId="0" borderId="24" xfId="0" applyNumberFormat="1" applyFont="1" applyFill="1" applyBorder="1" applyAlignment="1">
      <alignment horizontal="centerContinuous" vertical="center"/>
    </xf>
    <xf numFmtId="0" fontId="32" fillId="0" borderId="24" xfId="0" applyFont="1" applyFill="1" applyBorder="1" applyAlignment="1">
      <alignment vertical="center"/>
    </xf>
    <xf numFmtId="10" fontId="32" fillId="0" borderId="24" xfId="0" applyNumberFormat="1" applyFont="1" applyFill="1" applyBorder="1" applyAlignment="1">
      <alignment vertical="center"/>
    </xf>
    <xf numFmtId="4" fontId="30" fillId="0" borderId="39" xfId="0" applyNumberFormat="1" applyFont="1" applyFill="1" applyBorder="1" applyAlignment="1">
      <alignment vertical="center"/>
    </xf>
    <xf numFmtId="0" fontId="32" fillId="8" borderId="40" xfId="0" applyFont="1" applyFill="1" applyBorder="1" applyAlignment="1">
      <alignment vertical="center"/>
    </xf>
    <xf numFmtId="0" fontId="32" fillId="8" borderId="41" xfId="0" applyFont="1" applyFill="1" applyBorder="1" applyAlignment="1">
      <alignment vertical="center"/>
    </xf>
    <xf numFmtId="0" fontId="32" fillId="8" borderId="41" xfId="0" applyFont="1" applyFill="1" applyBorder="1" applyAlignment="1">
      <alignment horizontal="center" vertical="center"/>
    </xf>
    <xf numFmtId="2" fontId="32" fillId="8" borderId="41" xfId="0" applyNumberFormat="1" applyFont="1" applyFill="1" applyBorder="1" applyAlignment="1">
      <alignment vertical="center"/>
    </xf>
    <xf numFmtId="4" fontId="32" fillId="8" borderId="42" xfId="0" applyNumberFormat="1" applyFont="1" applyFill="1" applyBorder="1" applyAlignment="1">
      <alignment vertical="center"/>
    </xf>
    <xf numFmtId="0" fontId="76" fillId="37" borderId="0" xfId="0" applyFont="1" applyFill="1" applyBorder="1" applyAlignment="1">
      <alignment horizontal="center" vertical="center"/>
    </xf>
    <xf numFmtId="0" fontId="0" fillId="0" borderId="0" xfId="0" applyFont="1" applyAlignment="1">
      <alignment/>
    </xf>
    <xf numFmtId="0" fontId="76" fillId="0" borderId="0" xfId="0" applyFont="1" applyBorder="1" applyAlignment="1">
      <alignment vertical="center"/>
    </xf>
    <xf numFmtId="0" fontId="76" fillId="0" borderId="0" xfId="0" applyFont="1" applyBorder="1" applyAlignment="1">
      <alignment/>
    </xf>
    <xf numFmtId="0" fontId="32" fillId="0" borderId="13" xfId="0" applyFont="1" applyBorder="1" applyAlignment="1">
      <alignment horizontal="center"/>
    </xf>
    <xf numFmtId="0" fontId="32" fillId="0" borderId="14" xfId="0" applyFont="1" applyBorder="1" applyAlignment="1">
      <alignment horizontal="center"/>
    </xf>
    <xf numFmtId="0" fontId="32" fillId="0" borderId="43" xfId="0" applyFont="1" applyBorder="1" applyAlignment="1">
      <alignment horizontal="center"/>
    </xf>
    <xf numFmtId="10" fontId="76" fillId="0" borderId="0" xfId="0" applyNumberFormat="1" applyFont="1" applyAlignment="1">
      <alignment/>
    </xf>
    <xf numFmtId="0" fontId="32" fillId="0" borderId="44" xfId="0" applyFont="1" applyBorder="1" applyAlignment="1">
      <alignment horizontal="center" wrapText="1"/>
    </xf>
    <xf numFmtId="0" fontId="32" fillId="0" borderId="0" xfId="0" applyFont="1" applyBorder="1" applyAlignment="1">
      <alignment horizontal="center" wrapText="1"/>
    </xf>
    <xf numFmtId="0" fontId="32" fillId="0" borderId="45" xfId="0" applyFont="1" applyBorder="1" applyAlignment="1">
      <alignment horizontal="center" wrapText="1"/>
    </xf>
    <xf numFmtId="0" fontId="32" fillId="0" borderId="31" xfId="0" applyFont="1" applyFill="1" applyBorder="1" applyAlignment="1">
      <alignment horizontal="left" vertical="center"/>
    </xf>
    <xf numFmtId="0" fontId="32" fillId="0" borderId="31" xfId="0" applyFont="1" applyFill="1" applyBorder="1" applyAlignment="1">
      <alignment horizontal="left" vertical="center" wrapText="1"/>
    </xf>
    <xf numFmtId="0" fontId="32" fillId="0" borderId="46" xfId="0" applyFont="1" applyFill="1" applyBorder="1" applyAlignment="1">
      <alignment horizontal="left" vertical="center"/>
    </xf>
    <xf numFmtId="0" fontId="30" fillId="0" borderId="31" xfId="0" applyFont="1" applyFill="1" applyBorder="1" applyAlignment="1">
      <alignment horizontal="left" vertical="center" wrapText="1"/>
    </xf>
    <xf numFmtId="0" fontId="32" fillId="0" borderId="44" xfId="0" applyFont="1" applyFill="1" applyBorder="1" applyAlignment="1">
      <alignment horizontal="center" vertical="center" wrapText="1"/>
    </xf>
    <xf numFmtId="0" fontId="32" fillId="0" borderId="45" xfId="0" applyFont="1" applyFill="1" applyBorder="1" applyAlignment="1">
      <alignment horizontal="centerContinuous" vertical="center"/>
    </xf>
    <xf numFmtId="2" fontId="30" fillId="0" borderId="35" xfId="0" applyNumberFormat="1" applyFont="1" applyFill="1" applyBorder="1" applyAlignment="1">
      <alignment horizontal="right" vertical="center"/>
    </xf>
    <xf numFmtId="4" fontId="30" fillId="0" borderId="35" xfId="0" applyNumberFormat="1" applyFont="1" applyFill="1" applyBorder="1" applyAlignment="1">
      <alignment horizontal="right" vertical="center"/>
    </xf>
    <xf numFmtId="0" fontId="30" fillId="0" borderId="33" xfId="0" applyFont="1" applyFill="1" applyBorder="1" applyAlignment="1">
      <alignment vertical="top" wrapText="1"/>
    </xf>
    <xf numFmtId="167" fontId="76" fillId="0" borderId="11" xfId="60" applyNumberFormat="1" applyFont="1" applyFill="1" applyBorder="1" applyAlignment="1">
      <alignment horizontal="center" vertical="center"/>
      <protection/>
    </xf>
    <xf numFmtId="0" fontId="30" fillId="0" borderId="10" xfId="0" applyFont="1" applyBorder="1" applyAlignment="1">
      <alignment horizontal="center"/>
    </xf>
    <xf numFmtId="0" fontId="30" fillId="0" borderId="10" xfId="0" applyFont="1" applyBorder="1" applyAlignment="1">
      <alignment horizontal="center" vertical="center"/>
    </xf>
    <xf numFmtId="1" fontId="30" fillId="0" borderId="10" xfId="0" applyNumberFormat="1" applyFont="1" applyBorder="1" applyAlignment="1">
      <alignment horizontal="center" vertical="center"/>
    </xf>
    <xf numFmtId="0" fontId="78" fillId="0" borderId="10" xfId="0" applyFont="1" applyBorder="1" applyAlignment="1">
      <alignment horizontal="center" vertical="center"/>
    </xf>
    <xf numFmtId="167" fontId="30" fillId="8" borderId="13" xfId="60" applyNumberFormat="1" applyFont="1" applyFill="1" applyBorder="1" applyAlignment="1" quotePrefix="1">
      <alignment horizontal="center" vertical="center"/>
      <protection/>
    </xf>
    <xf numFmtId="167" fontId="32" fillId="8" borderId="14" xfId="61" applyNumberFormat="1" applyFont="1" applyFill="1" applyBorder="1" applyAlignment="1">
      <alignment horizontal="center" vertical="center"/>
      <protection/>
    </xf>
    <xf numFmtId="167" fontId="30" fillId="0" borderId="44" xfId="60" applyNumberFormat="1" applyFont="1" applyFill="1" applyBorder="1" applyAlignment="1" quotePrefix="1">
      <alignment horizontal="center" vertical="center"/>
      <protection/>
    </xf>
    <xf numFmtId="167" fontId="32" fillId="0" borderId="45" xfId="61" applyNumberFormat="1" applyFont="1" applyFill="1" applyBorder="1" applyAlignment="1">
      <alignment horizontal="center" vertical="center"/>
      <protection/>
    </xf>
    <xf numFmtId="0" fontId="76" fillId="0" borderId="44" xfId="0" applyFont="1" applyBorder="1" applyAlignment="1">
      <alignment/>
    </xf>
    <xf numFmtId="0" fontId="76" fillId="0" borderId="45" xfId="0" applyFont="1" applyBorder="1" applyAlignment="1">
      <alignment/>
    </xf>
    <xf numFmtId="0" fontId="78" fillId="0" borderId="14" xfId="0" applyFont="1" applyBorder="1" applyAlignment="1">
      <alignment horizontal="center" vertical="top"/>
    </xf>
    <xf numFmtId="0" fontId="78" fillId="0" borderId="14" xfId="0" applyFont="1" applyBorder="1" applyAlignment="1">
      <alignment horizontal="center" vertical="center"/>
    </xf>
    <xf numFmtId="1" fontId="30" fillId="0" borderId="16" xfId="0" applyNumberFormat="1" applyFont="1" applyBorder="1" applyAlignment="1">
      <alignment horizontal="center" vertical="center"/>
    </xf>
    <xf numFmtId="0" fontId="30" fillId="0" borderId="16" xfId="0" applyFont="1" applyBorder="1" applyAlignment="1">
      <alignment horizontal="center" vertical="center"/>
    </xf>
    <xf numFmtId="0" fontId="78" fillId="0" borderId="16" xfId="0" applyFont="1" applyBorder="1" applyAlignment="1">
      <alignment horizontal="center" vertical="center"/>
    </xf>
    <xf numFmtId="0" fontId="78" fillId="0" borderId="17" xfId="0" applyFont="1" applyBorder="1" applyAlignment="1">
      <alignment horizontal="center" vertical="center"/>
    </xf>
    <xf numFmtId="0" fontId="37" fillId="37" borderId="44" xfId="0" applyFont="1" applyFill="1" applyBorder="1" applyAlignment="1" applyProtection="1">
      <alignment vertical="center"/>
      <protection locked="0"/>
    </xf>
    <xf numFmtId="0" fontId="37" fillId="37" borderId="45" xfId="0" applyFont="1" applyFill="1" applyBorder="1" applyAlignment="1" applyProtection="1">
      <alignment vertical="center"/>
      <protection locked="0"/>
    </xf>
    <xf numFmtId="194" fontId="38" fillId="37" borderId="47" xfId="63" applyNumberFormat="1" applyFont="1" applyFill="1" applyBorder="1" applyAlignment="1" applyProtection="1">
      <alignment horizontal="center" vertical="center"/>
      <protection locked="0"/>
    </xf>
    <xf numFmtId="0" fontId="30" fillId="0" borderId="0" xfId="57" applyFont="1">
      <alignment/>
      <protection/>
    </xf>
    <xf numFmtId="188" fontId="30" fillId="0" borderId="23" xfId="0" applyNumberFormat="1" applyFont="1" applyFill="1" applyBorder="1" applyAlignment="1">
      <alignment horizontal="right" vertical="center"/>
    </xf>
    <xf numFmtId="0" fontId="30" fillId="0" borderId="33" xfId="0" applyFont="1" applyFill="1" applyBorder="1" applyAlignment="1">
      <alignment vertical="center" wrapText="1"/>
    </xf>
    <xf numFmtId="168" fontId="30" fillId="0" borderId="35" xfId="0" applyNumberFormat="1" applyFont="1" applyFill="1" applyBorder="1" applyAlignment="1">
      <alignment horizontal="right" vertical="center"/>
    </xf>
    <xf numFmtId="0" fontId="79" fillId="0" borderId="0" xfId="0" applyFont="1" applyAlignment="1">
      <alignment vertical="center"/>
    </xf>
    <xf numFmtId="0" fontId="79" fillId="0" borderId="0" xfId="0" applyFont="1" applyAlignment="1">
      <alignment horizontal="center" vertical="center"/>
    </xf>
    <xf numFmtId="0" fontId="79" fillId="0" borderId="0" xfId="0" applyFont="1" applyAlignment="1">
      <alignment/>
    </xf>
    <xf numFmtId="0" fontId="80" fillId="39" borderId="10" xfId="0" applyFont="1" applyFill="1" applyBorder="1" applyAlignment="1">
      <alignment horizontal="center" vertical="center"/>
    </xf>
    <xf numFmtId="0" fontId="80" fillId="39" borderId="14" xfId="0" applyFont="1" applyFill="1" applyBorder="1" applyAlignment="1">
      <alignment horizontal="center" vertical="center"/>
    </xf>
    <xf numFmtId="0" fontId="79" fillId="0" borderId="0" xfId="0" applyFont="1" applyBorder="1" applyAlignment="1">
      <alignment vertical="center"/>
    </xf>
    <xf numFmtId="0" fontId="79" fillId="0" borderId="45" xfId="0" applyFont="1" applyBorder="1" applyAlignment="1">
      <alignment vertical="center"/>
    </xf>
    <xf numFmtId="0" fontId="79" fillId="0" borderId="13" xfId="0" applyFont="1" applyBorder="1" applyAlignment="1">
      <alignment horizontal="center" vertical="center"/>
    </xf>
    <xf numFmtId="0" fontId="79" fillId="0" borderId="10" xfId="0" applyFont="1" applyBorder="1" applyAlignment="1">
      <alignment vertical="center"/>
    </xf>
    <xf numFmtId="43" fontId="79" fillId="0" borderId="10" xfId="86" applyFont="1" applyBorder="1" applyAlignment="1">
      <alignment vertical="center"/>
    </xf>
    <xf numFmtId="43" fontId="79" fillId="0" borderId="14" xfId="86" applyFont="1" applyBorder="1" applyAlignment="1">
      <alignment vertical="center"/>
    </xf>
    <xf numFmtId="0" fontId="80" fillId="0" borderId="13" xfId="0" applyFont="1" applyBorder="1" applyAlignment="1">
      <alignment horizontal="center" vertical="center"/>
    </xf>
    <xf numFmtId="0" fontId="80" fillId="0" borderId="10" xfId="0" applyFont="1" applyBorder="1" applyAlignment="1">
      <alignment vertical="center"/>
    </xf>
    <xf numFmtId="167" fontId="80" fillId="0" borderId="10" xfId="0" applyNumberFormat="1" applyFont="1" applyBorder="1" applyAlignment="1">
      <alignment vertical="center"/>
    </xf>
    <xf numFmtId="167" fontId="80" fillId="0" borderId="14" xfId="0" applyNumberFormat="1" applyFont="1" applyBorder="1" applyAlignment="1">
      <alignment vertical="center"/>
    </xf>
    <xf numFmtId="0" fontId="79" fillId="0" borderId="10" xfId="0" applyFont="1" applyBorder="1" applyAlignment="1">
      <alignment vertical="center" wrapText="1"/>
    </xf>
    <xf numFmtId="167" fontId="79" fillId="0" borderId="10" xfId="0" applyNumberFormat="1" applyFont="1" applyBorder="1" applyAlignment="1">
      <alignment vertical="center"/>
    </xf>
    <xf numFmtId="167" fontId="79" fillId="0" borderId="14" xfId="0" applyNumberFormat="1" applyFont="1" applyBorder="1" applyAlignment="1">
      <alignment vertical="center"/>
    </xf>
    <xf numFmtId="0" fontId="80" fillId="0" borderId="15" xfId="0" applyFont="1" applyBorder="1" applyAlignment="1">
      <alignment horizontal="center" vertical="center"/>
    </xf>
    <xf numFmtId="0" fontId="80" fillId="0" borderId="16" xfId="0" applyFont="1" applyBorder="1" applyAlignment="1">
      <alignment vertical="center"/>
    </xf>
    <xf numFmtId="167" fontId="80" fillId="0" borderId="16" xfId="0" applyNumberFormat="1" applyFont="1" applyBorder="1" applyAlignment="1">
      <alignment vertical="center"/>
    </xf>
    <xf numFmtId="167" fontId="80" fillId="0" borderId="17" xfId="0" applyNumberFormat="1" applyFont="1" applyBorder="1" applyAlignment="1">
      <alignment vertical="center"/>
    </xf>
    <xf numFmtId="0" fontId="79" fillId="0" borderId="14" xfId="0" applyFont="1" applyBorder="1" applyAlignment="1">
      <alignment vertical="center"/>
    </xf>
    <xf numFmtId="167" fontId="80" fillId="35" borderId="16" xfId="0" applyNumberFormat="1" applyFont="1" applyFill="1" applyBorder="1" applyAlignment="1">
      <alignment vertical="center"/>
    </xf>
    <xf numFmtId="167" fontId="80" fillId="35" borderId="17" xfId="0" applyNumberFormat="1" applyFont="1" applyFill="1" applyBorder="1" applyAlignment="1">
      <alignment vertical="center"/>
    </xf>
    <xf numFmtId="0" fontId="37" fillId="0" borderId="0" xfId="0" applyFont="1" applyAlignment="1" applyProtection="1">
      <alignment horizontal="center" vertical="center"/>
      <protection locked="0"/>
    </xf>
    <xf numFmtId="0" fontId="37" fillId="37" borderId="0" xfId="0" applyFont="1" applyFill="1" applyAlignment="1" applyProtection="1">
      <alignment vertical="center"/>
      <protection locked="0"/>
    </xf>
    <xf numFmtId="0" fontId="37" fillId="0" borderId="0" xfId="0" applyFont="1" applyAlignment="1" applyProtection="1">
      <alignment vertical="center"/>
      <protection locked="0"/>
    </xf>
    <xf numFmtId="2" fontId="38" fillId="0" borderId="0" xfId="63" applyNumberFormat="1" applyFont="1" applyAlignment="1" applyProtection="1">
      <alignment horizontal="left" vertical="center" wrapText="1"/>
      <protection locked="0"/>
    </xf>
    <xf numFmtId="0" fontId="59" fillId="0" borderId="0" xfId="0" applyFont="1" applyAlignment="1">
      <alignment/>
    </xf>
    <xf numFmtId="2" fontId="38" fillId="0" borderId="0" xfId="63" applyNumberFormat="1" applyFont="1" applyAlignment="1" applyProtection="1">
      <alignment horizontal="left" vertical="center"/>
      <protection locked="0"/>
    </xf>
    <xf numFmtId="171" fontId="38" fillId="0" borderId="0" xfId="0" applyNumberFormat="1" applyFont="1" applyAlignment="1" applyProtection="1">
      <alignment horizontal="center" vertical="center"/>
      <protection locked="0"/>
    </xf>
    <xf numFmtId="0" fontId="30" fillId="0" borderId="0" xfId="57" applyFont="1" applyAlignment="1">
      <alignment vertical="center"/>
      <protection/>
    </xf>
    <xf numFmtId="0" fontId="39" fillId="0" borderId="48" xfId="0" applyFont="1" applyBorder="1" applyAlignment="1">
      <alignment vertical="center" wrapText="1"/>
    </xf>
    <xf numFmtId="0" fontId="39" fillId="0" borderId="49" xfId="0" applyFont="1" applyBorder="1" applyAlignment="1">
      <alignment vertical="center" wrapText="1"/>
    </xf>
    <xf numFmtId="0" fontId="39" fillId="0" borderId="50" xfId="0" applyFont="1" applyBorder="1" applyAlignment="1">
      <alignment vertical="center" wrapText="1"/>
    </xf>
    <xf numFmtId="0" fontId="41" fillId="40" borderId="51" xfId="0" applyFont="1" applyFill="1" applyBorder="1" applyAlignment="1">
      <alignment horizontal="center" vertical="center" wrapText="1"/>
    </xf>
    <xf numFmtId="0" fontId="40" fillId="0" borderId="52" xfId="0" applyFont="1" applyBorder="1" applyAlignment="1">
      <alignment horizontal="center" vertical="center"/>
    </xf>
    <xf numFmtId="0" fontId="40" fillId="0" borderId="53" xfId="0" applyFont="1" applyBorder="1" applyAlignment="1">
      <alignment vertical="center"/>
    </xf>
    <xf numFmtId="0" fontId="40" fillId="0" borderId="54" xfId="0" applyFont="1" applyBorder="1" applyAlignment="1">
      <alignment vertical="center"/>
    </xf>
    <xf numFmtId="0" fontId="40" fillId="0" borderId="55" xfId="0" applyFont="1" applyBorder="1" applyAlignment="1">
      <alignment vertical="center"/>
    </xf>
    <xf numFmtId="2" fontId="39" fillId="0" borderId="56" xfId="0" applyNumberFormat="1" applyFont="1" applyBorder="1" applyAlignment="1">
      <alignment horizontal="center" vertical="center"/>
    </xf>
    <xf numFmtId="0" fontId="39" fillId="0" borderId="13" xfId="0" applyFont="1" applyBorder="1" applyAlignment="1">
      <alignment horizontal="center" vertical="center"/>
    </xf>
    <xf numFmtId="0" fontId="40" fillId="0" borderId="11" xfId="0" applyFont="1" applyBorder="1" applyAlignment="1">
      <alignment vertical="center"/>
    </xf>
    <xf numFmtId="0" fontId="40" fillId="0" borderId="12" xfId="0" applyFont="1" applyBorder="1" applyAlignment="1">
      <alignment vertical="center"/>
    </xf>
    <xf numFmtId="0" fontId="40" fillId="0" borderId="43" xfId="0" applyFont="1" applyBorder="1" applyAlignment="1">
      <alignment vertical="center"/>
    </xf>
    <xf numFmtId="2" fontId="39" fillId="0" borderId="14" xfId="0" applyNumberFormat="1" applyFont="1" applyBorder="1" applyAlignment="1">
      <alignment horizontal="center" vertical="center"/>
    </xf>
    <xf numFmtId="0" fontId="40" fillId="41" borderId="57" xfId="0" applyFont="1" applyFill="1" applyBorder="1" applyAlignment="1">
      <alignment vertical="center"/>
    </xf>
    <xf numFmtId="0" fontId="40" fillId="41" borderId="58" xfId="0" applyFont="1" applyFill="1" applyBorder="1" applyAlignment="1">
      <alignment vertical="center"/>
    </xf>
    <xf numFmtId="0" fontId="40" fillId="41" borderId="59" xfId="0" applyFont="1" applyFill="1" applyBorder="1" applyAlignment="1">
      <alignment vertical="center"/>
    </xf>
    <xf numFmtId="2" fontId="40" fillId="41" borderId="17" xfId="0" applyNumberFormat="1" applyFont="1" applyFill="1" applyBorder="1" applyAlignment="1">
      <alignment horizontal="center" vertical="center"/>
    </xf>
    <xf numFmtId="0" fontId="40" fillId="0" borderId="60" xfId="0" applyFont="1" applyBorder="1" applyAlignment="1">
      <alignment vertical="center"/>
    </xf>
    <xf numFmtId="0" fontId="40" fillId="0" borderId="13" xfId="0" applyFont="1" applyBorder="1" applyAlignment="1">
      <alignment horizontal="center" vertical="center"/>
    </xf>
    <xf numFmtId="0" fontId="39" fillId="0" borderId="11" xfId="0" applyFont="1" applyBorder="1" applyAlignment="1">
      <alignment vertical="center"/>
    </xf>
    <xf numFmtId="0" fontId="39" fillId="0" borderId="12" xfId="0" applyFont="1" applyBorder="1" applyAlignment="1">
      <alignment vertical="center"/>
    </xf>
    <xf numFmtId="0" fontId="39" fillId="0" borderId="43" xfId="0" applyFont="1" applyBorder="1" applyAlignment="1">
      <alignment vertical="center"/>
    </xf>
    <xf numFmtId="0" fontId="40" fillId="41" borderId="61" xfId="0" applyFont="1" applyFill="1" applyBorder="1" applyAlignment="1">
      <alignment vertical="center"/>
    </xf>
    <xf numFmtId="0" fontId="40" fillId="41" borderId="12" xfId="0" applyFont="1" applyFill="1" applyBorder="1" applyAlignment="1">
      <alignment vertical="center"/>
    </xf>
    <xf numFmtId="0" fontId="40" fillId="41" borderId="43" xfId="0" applyFont="1" applyFill="1" applyBorder="1" applyAlignment="1">
      <alignment vertical="center"/>
    </xf>
    <xf numFmtId="2" fontId="40" fillId="41" borderId="14" xfId="0" applyNumberFormat="1" applyFont="1" applyFill="1" applyBorder="1" applyAlignment="1">
      <alignment horizontal="center" vertical="center"/>
    </xf>
    <xf numFmtId="0" fontId="39" fillId="0" borderId="61" xfId="0" applyFont="1" applyBorder="1" applyAlignment="1">
      <alignment vertical="center"/>
    </xf>
    <xf numFmtId="0" fontId="39" fillId="0" borderId="14" xfId="0" applyFont="1" applyBorder="1" applyAlignment="1">
      <alignment horizontal="center" vertical="center" wrapText="1"/>
    </xf>
    <xf numFmtId="0" fontId="40" fillId="41" borderId="13" xfId="0" applyFont="1" applyFill="1" applyBorder="1" applyAlignment="1">
      <alignment horizontal="center" vertical="center"/>
    </xf>
    <xf numFmtId="0" fontId="40" fillId="41" borderId="11" xfId="0" applyFont="1" applyFill="1" applyBorder="1" applyAlignment="1">
      <alignment vertical="center"/>
    </xf>
    <xf numFmtId="2" fontId="40" fillId="41" borderId="13" xfId="0" applyNumberFormat="1" applyFont="1" applyFill="1" applyBorder="1" applyAlignment="1">
      <alignment horizontal="center" vertical="center"/>
    </xf>
    <xf numFmtId="0" fontId="36" fillId="0" borderId="62" xfId="0" applyFont="1" applyBorder="1" applyAlignment="1">
      <alignment vertical="center"/>
    </xf>
    <xf numFmtId="0" fontId="36" fillId="0" borderId="63" xfId="0" applyFont="1" applyBorder="1" applyAlignment="1">
      <alignment vertical="center"/>
    </xf>
    <xf numFmtId="0" fontId="36" fillId="0" borderId="64" xfId="0" applyFont="1" applyBorder="1" applyAlignment="1">
      <alignment vertical="center"/>
    </xf>
    <xf numFmtId="0" fontId="36" fillId="0" borderId="44" xfId="0" applyFont="1" applyBorder="1" applyAlignment="1">
      <alignment vertical="center"/>
    </xf>
    <xf numFmtId="2" fontId="42" fillId="0" borderId="45" xfId="0" applyNumberFormat="1" applyFont="1" applyBorder="1" applyAlignment="1">
      <alignment vertical="center"/>
    </xf>
    <xf numFmtId="0" fontId="43" fillId="0" borderId="48" xfId="0" applyFont="1" applyBorder="1" applyAlignment="1">
      <alignment vertical="center"/>
    </xf>
    <xf numFmtId="0" fontId="43" fillId="0" borderId="49" xfId="0" applyFont="1" applyBorder="1" applyAlignment="1">
      <alignment vertical="center"/>
    </xf>
    <xf numFmtId="0" fontId="43" fillId="0" borderId="65" xfId="0" applyFont="1" applyBorder="1" applyAlignment="1">
      <alignment vertical="center"/>
    </xf>
    <xf numFmtId="2" fontId="40" fillId="0" borderId="56" xfId="0" applyNumberFormat="1" applyFont="1" applyBorder="1" applyAlignment="1">
      <alignment horizontal="center" vertical="center"/>
    </xf>
    <xf numFmtId="2" fontId="36" fillId="0" borderId="14" xfId="0" applyNumberFormat="1" applyFont="1" applyBorder="1" applyAlignment="1">
      <alignment horizontal="center" vertical="center"/>
    </xf>
    <xf numFmtId="0" fontId="39" fillId="0" borderId="66" xfId="0" applyFont="1" applyBorder="1" applyAlignment="1">
      <alignment horizontal="center" vertical="center"/>
    </xf>
    <xf numFmtId="0" fontId="39" fillId="0" borderId="67" xfId="0" applyFont="1" applyBorder="1" applyAlignment="1">
      <alignment vertical="center"/>
    </xf>
    <xf numFmtId="0" fontId="39" fillId="0" borderId="58" xfId="0" applyFont="1" applyBorder="1" applyAlignment="1">
      <alignment vertical="center"/>
    </xf>
    <xf numFmtId="0" fontId="39" fillId="0" borderId="59" xfId="0" applyFont="1" applyBorder="1" applyAlignment="1">
      <alignment vertical="center"/>
    </xf>
    <xf numFmtId="2" fontId="36" fillId="0" borderId="68" xfId="0" applyNumberFormat="1" applyFont="1" applyBorder="1" applyAlignment="1">
      <alignment horizontal="center" vertical="center"/>
    </xf>
    <xf numFmtId="0" fontId="43" fillId="0" borderId="69" xfId="0" applyFont="1" applyBorder="1" applyAlignment="1">
      <alignment vertical="center"/>
    </xf>
    <xf numFmtId="0" fontId="43" fillId="0" borderId="70" xfId="0" applyFont="1" applyBorder="1" applyAlignment="1">
      <alignment vertical="center"/>
    </xf>
    <xf numFmtId="0" fontId="43" fillId="0" borderId="71" xfId="0" applyFont="1" applyBorder="1" applyAlignment="1">
      <alignment vertical="center"/>
    </xf>
    <xf numFmtId="0" fontId="39" fillId="0" borderId="15" xfId="0" applyFont="1" applyBorder="1" applyAlignment="1">
      <alignment horizontal="center" vertical="center"/>
    </xf>
    <xf numFmtId="2" fontId="39" fillId="0" borderId="17" xfId="0" applyNumberFormat="1" applyFont="1" applyBorder="1" applyAlignment="1">
      <alignment horizontal="center" vertical="center"/>
    </xf>
    <xf numFmtId="0" fontId="36" fillId="0" borderId="44" xfId="0" applyFont="1" applyBorder="1" applyAlignment="1">
      <alignment/>
    </xf>
    <xf numFmtId="0" fontId="36" fillId="0" borderId="0" xfId="0" applyFont="1" applyAlignment="1">
      <alignment/>
    </xf>
    <xf numFmtId="0" fontId="36" fillId="0" borderId="45" xfId="0" applyFont="1" applyBorder="1" applyAlignment="1">
      <alignment/>
    </xf>
    <xf numFmtId="0" fontId="43" fillId="0" borderId="44" xfId="0" applyFont="1" applyBorder="1" applyAlignment="1">
      <alignment vertical="center" wrapText="1"/>
    </xf>
    <xf numFmtId="0" fontId="43" fillId="0" borderId="0" xfId="0" applyFont="1" applyAlignment="1">
      <alignment vertical="center" wrapText="1"/>
    </xf>
    <xf numFmtId="0" fontId="43" fillId="0" borderId="45" xfId="0" applyFont="1" applyBorder="1" applyAlignment="1">
      <alignment vertical="center" wrapText="1"/>
    </xf>
    <xf numFmtId="10" fontId="36" fillId="0" borderId="0" xfId="67" applyNumberFormat="1" applyFont="1" applyBorder="1" applyAlignment="1">
      <alignment/>
    </xf>
    <xf numFmtId="10" fontId="36" fillId="0" borderId="45" xfId="67" applyNumberFormat="1" applyFont="1" applyBorder="1" applyAlignment="1">
      <alignment/>
    </xf>
    <xf numFmtId="10" fontId="43" fillId="0" borderId="0" xfId="0" applyNumberFormat="1" applyFont="1" applyAlignment="1">
      <alignment/>
    </xf>
    <xf numFmtId="10" fontId="43" fillId="0" borderId="45" xfId="0" applyNumberFormat="1" applyFont="1" applyBorder="1" applyAlignment="1">
      <alignment/>
    </xf>
    <xf numFmtId="0" fontId="43" fillId="8" borderId="61" xfId="0" applyFont="1" applyFill="1" applyBorder="1" applyAlignment="1">
      <alignment horizontal="right" vertical="center"/>
    </xf>
    <xf numFmtId="0" fontId="43" fillId="8" borderId="12" xfId="0" applyFont="1" applyFill="1" applyBorder="1" applyAlignment="1">
      <alignment vertical="center"/>
    </xf>
    <xf numFmtId="10" fontId="43" fillId="8" borderId="43" xfId="0" applyNumberFormat="1" applyFont="1" applyFill="1" applyBorder="1" applyAlignment="1">
      <alignment vertical="center"/>
    </xf>
    <xf numFmtId="0" fontId="43" fillId="0" borderId="11" xfId="0" applyFont="1" applyBorder="1" applyAlignment="1">
      <alignment vertical="center"/>
    </xf>
    <xf numFmtId="0" fontId="43" fillId="0" borderId="12" xfId="0" applyFont="1" applyBorder="1" applyAlignment="1">
      <alignment vertical="center"/>
    </xf>
    <xf numFmtId="10" fontId="43" fillId="0" borderId="72" xfId="0" applyNumberFormat="1" applyFont="1" applyBorder="1" applyAlignment="1">
      <alignment vertical="center"/>
    </xf>
    <xf numFmtId="0" fontId="36" fillId="0" borderId="45" xfId="0" applyFont="1" applyBorder="1" applyAlignment="1">
      <alignment horizontal="right" vertical="center"/>
    </xf>
    <xf numFmtId="0" fontId="36" fillId="42" borderId="48" xfId="57" applyFont="1" applyFill="1" applyBorder="1">
      <alignment/>
      <protection/>
    </xf>
    <xf numFmtId="0" fontId="36" fillId="42" borderId="49" xfId="57" applyFont="1" applyFill="1" applyBorder="1">
      <alignment/>
      <protection/>
    </xf>
    <xf numFmtId="167" fontId="30" fillId="0" borderId="52" xfId="60" applyNumberFormat="1" applyFont="1" applyBorder="1" applyAlignment="1">
      <alignment horizontal="center" vertical="center"/>
      <protection/>
    </xf>
    <xf numFmtId="167" fontId="30" fillId="0" borderId="73" xfId="60" applyNumberFormat="1" applyFont="1" applyBorder="1" applyAlignment="1">
      <alignment horizontal="center" vertical="center"/>
      <protection/>
    </xf>
    <xf numFmtId="0" fontId="30" fillId="0" borderId="73" xfId="60" applyFont="1" applyBorder="1" applyAlignment="1">
      <alignment horizontal="center" vertical="center"/>
      <protection/>
    </xf>
    <xf numFmtId="0" fontId="76" fillId="0" borderId="73" xfId="60" applyFont="1" applyBorder="1" applyAlignment="1">
      <alignment horizontal="center" vertical="center"/>
      <protection/>
    </xf>
    <xf numFmtId="0" fontId="30" fillId="0" borderId="74" xfId="0" applyFont="1" applyFill="1" applyBorder="1" applyAlignment="1">
      <alignment horizontal="center" vertical="center"/>
    </xf>
    <xf numFmtId="0" fontId="30" fillId="0" borderId="75" xfId="0" applyFont="1" applyFill="1" applyBorder="1" applyAlignment="1">
      <alignment horizontal="center" vertical="center"/>
    </xf>
    <xf numFmtId="10" fontId="32" fillId="0" borderId="76" xfId="0" applyNumberFormat="1" applyFont="1" applyFill="1" applyBorder="1" applyAlignment="1">
      <alignment horizontal="center" vertical="center"/>
    </xf>
    <xf numFmtId="4" fontId="30" fillId="0" borderId="77" xfId="0" applyNumberFormat="1" applyFont="1" applyFill="1" applyBorder="1" applyAlignment="1">
      <alignment vertical="center"/>
    </xf>
    <xf numFmtId="0" fontId="78" fillId="38" borderId="78" xfId="0" applyFont="1" applyFill="1" applyBorder="1" applyAlignment="1">
      <alignment vertical="center"/>
    </xf>
    <xf numFmtId="0" fontId="32" fillId="2" borderId="70" xfId="0" applyFont="1" applyFill="1" applyBorder="1" applyAlignment="1">
      <alignment vertical="center"/>
    </xf>
    <xf numFmtId="0" fontId="32" fillId="2" borderId="70" xfId="0" applyFont="1" applyFill="1" applyBorder="1" applyAlignment="1">
      <alignment horizontal="center" vertical="center"/>
    </xf>
    <xf numFmtId="2" fontId="32" fillId="2" borderId="70" xfId="0" applyNumberFormat="1" applyFont="1" applyFill="1" applyBorder="1" applyAlignment="1">
      <alignment vertical="center"/>
    </xf>
    <xf numFmtId="4" fontId="32" fillId="2" borderId="79" xfId="0" applyNumberFormat="1" applyFont="1" applyFill="1" applyBorder="1" applyAlignment="1">
      <alignment vertical="center"/>
    </xf>
    <xf numFmtId="0" fontId="30" fillId="37" borderId="18" xfId="54" applyFont="1" applyFill="1" applyBorder="1" applyAlignment="1">
      <alignment vertical="center"/>
      <protection/>
    </xf>
    <xf numFmtId="0" fontId="30" fillId="37" borderId="47" xfId="54" applyFont="1" applyFill="1" applyBorder="1" applyAlignment="1">
      <alignment vertical="center"/>
      <protection/>
    </xf>
    <xf numFmtId="0" fontId="78" fillId="38" borderId="13" xfId="0" applyFont="1" applyFill="1" applyBorder="1" applyAlignment="1">
      <alignment horizontal="center" vertical="center"/>
    </xf>
    <xf numFmtId="0" fontId="78" fillId="38" borderId="13" xfId="0" applyFont="1" applyFill="1" applyBorder="1" applyAlignment="1">
      <alignment vertical="center"/>
    </xf>
    <xf numFmtId="0" fontId="78" fillId="38" borderId="66" xfId="0" applyFont="1" applyFill="1" applyBorder="1" applyAlignment="1">
      <alignment vertical="center"/>
    </xf>
    <xf numFmtId="190" fontId="30" fillId="0" borderId="23" xfId="0" applyNumberFormat="1" applyFont="1" applyFill="1" applyBorder="1" applyAlignment="1">
      <alignment horizontal="right" vertical="center"/>
    </xf>
    <xf numFmtId="190" fontId="30" fillId="0" borderId="35" xfId="0" applyNumberFormat="1" applyFont="1" applyFill="1" applyBorder="1" applyAlignment="1">
      <alignment horizontal="right" vertical="center"/>
    </xf>
    <xf numFmtId="0" fontId="30" fillId="0" borderId="66" xfId="60" applyNumberFormat="1" applyFont="1" applyFill="1" applyBorder="1" applyAlignment="1">
      <alignment horizontal="center" vertical="center"/>
      <protection/>
    </xf>
    <xf numFmtId="0" fontId="30" fillId="0" borderId="80" xfId="60" applyNumberFormat="1" applyFont="1" applyFill="1" applyBorder="1" applyAlignment="1" quotePrefix="1">
      <alignment horizontal="center" vertical="center"/>
      <protection/>
    </xf>
    <xf numFmtId="0" fontId="30" fillId="0" borderId="80" xfId="60" applyFont="1" applyFill="1" applyBorder="1" applyAlignment="1">
      <alignment horizontal="justify" vertical="center"/>
      <protection/>
    </xf>
    <xf numFmtId="167" fontId="30" fillId="0" borderId="80" xfId="60" applyNumberFormat="1" applyFont="1" applyFill="1" applyBorder="1" applyAlignment="1">
      <alignment horizontal="center" vertical="center"/>
      <protection/>
    </xf>
    <xf numFmtId="168" fontId="30" fillId="0" borderId="80" xfId="60" applyNumberFormat="1" applyFont="1" applyFill="1" applyBorder="1" applyAlignment="1">
      <alignment horizontal="center" vertical="center"/>
      <protection/>
    </xf>
    <xf numFmtId="167" fontId="76" fillId="0" borderId="80" xfId="75" applyNumberFormat="1" applyFont="1" applyFill="1" applyBorder="1" applyAlignment="1">
      <alignment horizontal="center" vertical="center"/>
    </xf>
    <xf numFmtId="167" fontId="76" fillId="0" borderId="68" xfId="75" applyNumberFormat="1" applyFont="1" applyFill="1" applyBorder="1" applyAlignment="1">
      <alignment horizontal="center" vertical="center"/>
    </xf>
    <xf numFmtId="0" fontId="30" fillId="0" borderId="80" xfId="60" applyFont="1" applyFill="1" applyBorder="1" applyAlignment="1">
      <alignment horizontal="justify" vertical="top" wrapText="1"/>
      <protection/>
    </xf>
    <xf numFmtId="0" fontId="30" fillId="0" borderId="66" xfId="60" applyNumberFormat="1" applyFont="1" applyBorder="1" applyAlignment="1">
      <alignment horizontal="center" vertical="center"/>
      <protection/>
    </xf>
    <xf numFmtId="0" fontId="30" fillId="0" borderId="80" xfId="60" applyNumberFormat="1" applyFont="1" applyBorder="1" applyAlignment="1">
      <alignment horizontal="center" vertical="center"/>
      <protection/>
    </xf>
    <xf numFmtId="0" fontId="30" fillId="0" borderId="80" xfId="60" applyFont="1" applyBorder="1" applyAlignment="1">
      <alignment horizontal="justify" vertical="center" wrapText="1"/>
      <protection/>
    </xf>
    <xf numFmtId="167" fontId="30" fillId="0" borderId="80" xfId="60" applyNumberFormat="1" applyFont="1" applyBorder="1" applyAlignment="1">
      <alignment horizontal="center" vertical="center"/>
      <protection/>
    </xf>
    <xf numFmtId="167" fontId="76" fillId="0" borderId="80" xfId="75" applyNumberFormat="1" applyFont="1" applyBorder="1" applyAlignment="1">
      <alignment horizontal="center" vertical="center"/>
    </xf>
    <xf numFmtId="10" fontId="30" fillId="0" borderId="10" xfId="65" applyNumberFormat="1" applyFont="1" applyFill="1" applyBorder="1" applyAlignment="1">
      <alignment vertical="center"/>
    </xf>
    <xf numFmtId="0" fontId="0" fillId="11" borderId="10" xfId="0" applyFill="1" applyBorder="1" applyAlignment="1">
      <alignment horizontal="center" vertical="center"/>
    </xf>
    <xf numFmtId="0" fontId="75" fillId="11" borderId="10" xfId="0" applyFont="1" applyFill="1" applyBorder="1" applyAlignment="1">
      <alignment horizontal="center" vertical="center"/>
    </xf>
    <xf numFmtId="44" fontId="0" fillId="0" borderId="10" xfId="0" applyNumberFormat="1" applyBorder="1" applyAlignment="1">
      <alignment horizontal="center" vertical="center"/>
    </xf>
    <xf numFmtId="0" fontId="0" fillId="0" borderId="10" xfId="0" applyBorder="1" applyAlignment="1">
      <alignment/>
    </xf>
    <xf numFmtId="44" fontId="0" fillId="37" borderId="10" xfId="0" applyNumberFormat="1" applyFill="1" applyBorder="1" applyAlignment="1">
      <alignment horizontal="center" vertical="center"/>
    </xf>
    <xf numFmtId="0" fontId="0" fillId="37" borderId="10" xfId="0" applyFill="1" applyBorder="1" applyAlignment="1">
      <alignment horizontal="center" vertical="center"/>
    </xf>
    <xf numFmtId="44" fontId="0" fillId="37" borderId="10" xfId="0" applyNumberFormat="1" applyFill="1" applyBorder="1" applyAlignment="1">
      <alignment/>
    </xf>
    <xf numFmtId="44" fontId="75" fillId="37" borderId="10" xfId="0" applyNumberFormat="1" applyFont="1" applyFill="1" applyBorder="1" applyAlignment="1">
      <alignment horizontal="center" vertical="center"/>
    </xf>
    <xf numFmtId="44" fontId="75" fillId="37" borderId="10" xfId="0" applyNumberFormat="1" applyFont="1" applyFill="1" applyBorder="1" applyAlignment="1">
      <alignment/>
    </xf>
    <xf numFmtId="0" fontId="75" fillId="37" borderId="10" xfId="0" applyFont="1" applyFill="1" applyBorder="1" applyAlignment="1">
      <alignment/>
    </xf>
    <xf numFmtId="0" fontId="75" fillId="37" borderId="10" xfId="0" applyFont="1" applyFill="1" applyBorder="1" applyAlignment="1">
      <alignment horizontal="center" vertical="center"/>
    </xf>
    <xf numFmtId="0" fontId="0" fillId="37" borderId="10" xfId="0" applyFill="1" applyBorder="1" applyAlignment="1">
      <alignment/>
    </xf>
    <xf numFmtId="0" fontId="75" fillId="37" borderId="10" xfId="0" applyFont="1" applyFill="1" applyBorder="1" applyAlignment="1">
      <alignment/>
    </xf>
    <xf numFmtId="0" fontId="75" fillId="37" borderId="10" xfId="0" applyFont="1" applyFill="1" applyBorder="1" applyAlignment="1">
      <alignment horizontal="center"/>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5" fillId="37" borderId="18" xfId="0" applyFont="1" applyFill="1" applyBorder="1" applyAlignment="1">
      <alignment/>
    </xf>
    <xf numFmtId="0" fontId="45" fillId="37" borderId="19" xfId="0" applyFont="1" applyFill="1" applyBorder="1" applyAlignment="1">
      <alignment/>
    </xf>
    <xf numFmtId="0" fontId="45" fillId="37" borderId="19" xfId="0" applyFont="1" applyFill="1" applyBorder="1" applyAlignment="1">
      <alignment horizontal="center"/>
    </xf>
    <xf numFmtId="0" fontId="45" fillId="37" borderId="20" xfId="0" applyFont="1" applyFill="1" applyBorder="1" applyAlignment="1">
      <alignment/>
    </xf>
    <xf numFmtId="0" fontId="45" fillId="0" borderId="0" xfId="0" applyFont="1" applyAlignment="1">
      <alignment/>
    </xf>
    <xf numFmtId="0" fontId="44" fillId="0" borderId="0" xfId="0" applyFont="1" applyAlignment="1">
      <alignment/>
    </xf>
    <xf numFmtId="0" fontId="44" fillId="5" borderId="10"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6" xfId="0" applyFont="1" applyFill="1" applyBorder="1" applyAlignment="1">
      <alignment horizontal="center" vertical="center"/>
    </xf>
    <xf numFmtId="0" fontId="44" fillId="0" borderId="81" xfId="0" applyFont="1" applyFill="1" applyBorder="1" applyAlignment="1">
      <alignment horizontal="center" vertical="center" wrapText="1"/>
    </xf>
    <xf numFmtId="0" fontId="44" fillId="0" borderId="73" xfId="0" applyFont="1" applyFill="1" applyBorder="1" applyAlignment="1">
      <alignment horizontal="center" vertical="center"/>
    </xf>
    <xf numFmtId="4" fontId="44" fillId="0" borderId="82" xfId="0" applyNumberFormat="1" applyFont="1" applyBorder="1" applyAlignment="1">
      <alignment horizontal="center" vertical="center"/>
    </xf>
    <xf numFmtId="4" fontId="44" fillId="0" borderId="82" xfId="0" applyNumberFormat="1" applyFont="1" applyFill="1" applyBorder="1" applyAlignment="1">
      <alignment horizontal="center" vertical="center"/>
    </xf>
    <xf numFmtId="4" fontId="44" fillId="0" borderId="73" xfId="0" applyNumberFormat="1" applyFont="1" applyFill="1" applyBorder="1" applyAlignment="1">
      <alignment horizontal="center" vertical="center"/>
    </xf>
    <xf numFmtId="4" fontId="44" fillId="0" borderId="73" xfId="0" applyNumberFormat="1" applyFont="1" applyBorder="1" applyAlignment="1">
      <alignment horizontal="center" vertical="center"/>
    </xf>
    <xf numFmtId="4" fontId="44" fillId="0" borderId="10" xfId="0" applyNumberFormat="1" applyFont="1" applyBorder="1" applyAlignment="1">
      <alignment horizontal="center" vertical="center"/>
    </xf>
    <xf numFmtId="171" fontId="44" fillId="0" borderId="10" xfId="0" applyNumberFormat="1" applyFont="1" applyBorder="1" applyAlignment="1">
      <alignment horizontal="center" vertical="center"/>
    </xf>
    <xf numFmtId="4" fontId="44" fillId="0" borderId="10" xfId="0" applyNumberFormat="1" applyFont="1" applyFill="1" applyBorder="1" applyAlignment="1">
      <alignment horizontal="center" vertical="center"/>
    </xf>
    <xf numFmtId="167" fontId="11" fillId="0" borderId="83" xfId="0" applyNumberFormat="1" applyFont="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170" fontId="11" fillId="0" borderId="0" xfId="0" applyNumberFormat="1" applyFont="1" applyFill="1" applyBorder="1" applyAlignment="1">
      <alignment horizontal="center" vertical="center"/>
    </xf>
    <xf numFmtId="0" fontId="44" fillId="0" borderId="0" xfId="0" applyFont="1" applyFill="1" applyAlignment="1">
      <alignment/>
    </xf>
    <xf numFmtId="0" fontId="44" fillId="0" borderId="0" xfId="0" applyFont="1" applyAlignment="1">
      <alignment horizontal="center"/>
    </xf>
    <xf numFmtId="0" fontId="30" fillId="0" borderId="0" xfId="0" applyFont="1" applyAlignment="1">
      <alignment horizontal="center"/>
    </xf>
    <xf numFmtId="0" fontId="44" fillId="0" borderId="0" xfId="0" applyFont="1" applyAlignment="1">
      <alignment horizontal="center" vertical="center"/>
    </xf>
    <xf numFmtId="0" fontId="45" fillId="37" borderId="0" xfId="0" applyFont="1" applyFill="1" applyBorder="1" applyAlignment="1">
      <alignment/>
    </xf>
    <xf numFmtId="0" fontId="11" fillId="37" borderId="0" xfId="0" applyFont="1" applyFill="1" applyBorder="1" applyAlignment="1">
      <alignment horizontal="center"/>
    </xf>
    <xf numFmtId="0" fontId="44" fillId="37" borderId="0" xfId="0" applyFont="1" applyFill="1" applyBorder="1" applyAlignment="1">
      <alignment horizontal="center"/>
    </xf>
    <xf numFmtId="167" fontId="11" fillId="2" borderId="0" xfId="60" applyNumberFormat="1" applyFont="1" applyFill="1" applyBorder="1" applyAlignment="1">
      <alignment horizontal="center" vertical="center" wrapText="1"/>
      <protection/>
    </xf>
    <xf numFmtId="0" fontId="46" fillId="0" borderId="0" xfId="0" applyFont="1" applyBorder="1" applyAlignment="1">
      <alignment horizontal="center" vertical="top"/>
    </xf>
    <xf numFmtId="0" fontId="11" fillId="5" borderId="0" xfId="0" applyFont="1" applyFill="1" applyBorder="1" applyAlignment="1">
      <alignment horizontal="center" vertical="center"/>
    </xf>
    <xf numFmtId="2" fontId="11" fillId="5" borderId="0" xfId="0" applyNumberFormat="1" applyFont="1" applyFill="1" applyBorder="1" applyAlignment="1">
      <alignment horizontal="center" vertical="center"/>
    </xf>
    <xf numFmtId="167" fontId="11" fillId="0" borderId="0" xfId="0" applyNumberFormat="1" applyFont="1" applyBorder="1" applyAlignment="1">
      <alignment horizontal="center" vertical="center"/>
    </xf>
    <xf numFmtId="4" fontId="44" fillId="0" borderId="0" xfId="0" applyNumberFormat="1" applyFont="1" applyBorder="1" applyAlignment="1">
      <alignment horizontal="center" vertical="center"/>
    </xf>
    <xf numFmtId="2" fontId="11" fillId="5" borderId="67" xfId="0" applyNumberFormat="1" applyFont="1" applyFill="1" applyBorder="1" applyAlignment="1">
      <alignment horizontal="center" vertical="center"/>
    </xf>
    <xf numFmtId="4" fontId="44" fillId="0" borderId="84" xfId="0" applyNumberFormat="1" applyFont="1" applyBorder="1" applyAlignment="1">
      <alignment horizontal="center" vertical="center"/>
    </xf>
    <xf numFmtId="0" fontId="44" fillId="37" borderId="47" xfId="0" applyFont="1" applyFill="1" applyBorder="1" applyAlignment="1">
      <alignment horizontal="center"/>
    </xf>
    <xf numFmtId="0" fontId="44" fillId="37" borderId="85" xfId="0" applyFont="1" applyFill="1" applyBorder="1" applyAlignment="1">
      <alignment horizontal="center"/>
    </xf>
    <xf numFmtId="0" fontId="44" fillId="37" borderId="86" xfId="0" applyFont="1" applyFill="1" applyBorder="1" applyAlignment="1">
      <alignment horizontal="center"/>
    </xf>
    <xf numFmtId="0" fontId="44" fillId="0" borderId="44" xfId="0" applyFont="1" applyFill="1" applyBorder="1" applyAlignment="1">
      <alignment horizontal="center" vertical="center" wrapText="1"/>
    </xf>
    <xf numFmtId="0" fontId="38" fillId="0" borderId="0" xfId="0" applyFont="1" applyAlignment="1">
      <alignment vertical="center"/>
    </xf>
    <xf numFmtId="0" fontId="44" fillId="0" borderId="0" xfId="0" applyFont="1" applyFill="1" applyBorder="1" applyAlignment="1">
      <alignment/>
    </xf>
    <xf numFmtId="0" fontId="11" fillId="37" borderId="19" xfId="53" applyFont="1" applyFill="1" applyBorder="1" applyAlignment="1">
      <alignment vertical="center"/>
      <protection/>
    </xf>
    <xf numFmtId="0" fontId="44" fillId="0" borderId="13"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Alignment="1">
      <alignment horizontal="center" vertical="center"/>
    </xf>
    <xf numFmtId="0" fontId="44" fillId="0" borderId="0" xfId="53" applyFont="1" applyFill="1" applyAlignment="1">
      <alignment horizontal="center" vertical="center"/>
      <protection/>
    </xf>
    <xf numFmtId="4" fontId="44" fillId="0" borderId="73" xfId="53" applyNumberFormat="1" applyFont="1" applyFill="1" applyBorder="1" applyAlignment="1">
      <alignment horizontal="center" vertical="center"/>
      <protection/>
    </xf>
    <xf numFmtId="167" fontId="47" fillId="5" borderId="10" xfId="72" applyNumberFormat="1" applyFont="1" applyFill="1" applyBorder="1" applyAlignment="1">
      <alignment horizontal="center" vertical="center" wrapText="1"/>
    </xf>
    <xf numFmtId="167" fontId="47" fillId="5" borderId="14" xfId="72" applyNumberFormat="1" applyFont="1" applyFill="1" applyBorder="1" applyAlignment="1">
      <alignment horizontal="center" vertical="center" wrapText="1"/>
    </xf>
    <xf numFmtId="0" fontId="47" fillId="5" borderId="10" xfId="53" applyFont="1" applyFill="1" applyBorder="1" applyAlignment="1">
      <alignment horizontal="center" vertical="center"/>
      <protection/>
    </xf>
    <xf numFmtId="2" fontId="47" fillId="5" borderId="10" xfId="53" applyNumberFormat="1" applyFont="1" applyFill="1" applyBorder="1" applyAlignment="1">
      <alignment horizontal="center" vertical="center"/>
      <protection/>
    </xf>
    <xf numFmtId="2" fontId="47" fillId="5" borderId="14" xfId="53" applyNumberFormat="1" applyFont="1" applyFill="1" applyBorder="1" applyAlignment="1">
      <alignment horizontal="center" vertical="center"/>
      <protection/>
    </xf>
    <xf numFmtId="0" fontId="47" fillId="5" borderId="43" xfId="53" applyFont="1" applyFill="1" applyBorder="1" applyAlignment="1">
      <alignment horizontal="center" vertical="center"/>
      <protection/>
    </xf>
    <xf numFmtId="0" fontId="44" fillId="0" borderId="52" xfId="0" applyFont="1" applyFill="1" applyBorder="1" applyAlignment="1">
      <alignment horizontal="center" vertical="center"/>
    </xf>
    <xf numFmtId="0" fontId="44" fillId="0" borderId="87" xfId="53" applyFont="1" applyFill="1" applyBorder="1" applyAlignment="1">
      <alignment horizontal="left" vertical="center" wrapText="1"/>
      <protection/>
    </xf>
    <xf numFmtId="2" fontId="44" fillId="0" borderId="87" xfId="53" applyNumberFormat="1" applyFont="1" applyFill="1" applyBorder="1" applyAlignment="1">
      <alignment horizontal="center" vertical="center" wrapText="1"/>
      <protection/>
    </xf>
    <xf numFmtId="0" fontId="47" fillId="5" borderId="88" xfId="53" applyFont="1" applyFill="1" applyBorder="1" applyAlignment="1">
      <alignment horizontal="center" vertical="center"/>
      <protection/>
    </xf>
    <xf numFmtId="0" fontId="47" fillId="5" borderId="89" xfId="53" applyFont="1" applyFill="1" applyBorder="1" applyAlignment="1">
      <alignment horizontal="center" vertical="center"/>
      <protection/>
    </xf>
    <xf numFmtId="0" fontId="48" fillId="0" borderId="0" xfId="0" applyFont="1" applyFill="1" applyAlignment="1">
      <alignment/>
    </xf>
    <xf numFmtId="0" fontId="44" fillId="0" borderId="66" xfId="0" applyFont="1" applyFill="1" applyBorder="1" applyAlignment="1">
      <alignment horizontal="center" vertical="center"/>
    </xf>
    <xf numFmtId="4" fontId="11" fillId="2" borderId="90" xfId="89" applyNumberFormat="1" applyFont="1" applyFill="1" applyBorder="1" applyAlignment="1">
      <alignment horizontal="center" vertical="center"/>
    </xf>
    <xf numFmtId="0" fontId="48" fillId="0" borderId="0" xfId="0" applyFont="1" applyFill="1" applyAlignment="1">
      <alignment horizontal="center" vertical="center"/>
    </xf>
    <xf numFmtId="0" fontId="44" fillId="0" borderId="73" xfId="0" applyFont="1" applyFill="1" applyBorder="1" applyAlignment="1">
      <alignment horizontal="center" vertical="center" wrapText="1"/>
    </xf>
    <xf numFmtId="0" fontId="32" fillId="39" borderId="44" xfId="0" applyFont="1" applyFill="1" applyBorder="1" applyAlignment="1">
      <alignment horizontal="center" vertical="center" wrapText="1"/>
    </xf>
    <xf numFmtId="0" fontId="32" fillId="39" borderId="21" xfId="0" applyFont="1" applyFill="1" applyBorder="1" applyAlignment="1">
      <alignment horizontal="center" vertical="center"/>
    </xf>
    <xf numFmtId="0" fontId="32" fillId="39" borderId="0" xfId="0" applyFont="1" applyFill="1" applyBorder="1" applyAlignment="1">
      <alignment horizontal="centerContinuous" vertical="center"/>
    </xf>
    <xf numFmtId="0" fontId="32" fillId="39" borderId="45" xfId="0" applyFont="1" applyFill="1" applyBorder="1" applyAlignment="1">
      <alignment horizontal="centerContinuous" vertical="center"/>
    </xf>
    <xf numFmtId="2" fontId="30" fillId="0" borderId="23" xfId="0" applyNumberFormat="1" applyFont="1" applyFill="1" applyBorder="1" applyAlignment="1">
      <alignment horizontal="right" vertical="center"/>
    </xf>
    <xf numFmtId="2" fontId="30" fillId="0" borderId="35" xfId="0" applyNumberFormat="1" applyFont="1" applyFill="1" applyBorder="1" applyAlignment="1">
      <alignment vertical="center"/>
    </xf>
    <xf numFmtId="4" fontId="30" fillId="0" borderId="35" xfId="0" applyNumberFormat="1" applyFont="1" applyFill="1" applyBorder="1" applyAlignment="1">
      <alignment vertical="center"/>
    </xf>
    <xf numFmtId="10" fontId="32" fillId="0" borderId="24" xfId="0" applyNumberFormat="1" applyFont="1" applyFill="1" applyBorder="1" applyAlignment="1">
      <alignment horizontal="center" vertical="center"/>
    </xf>
    <xf numFmtId="0" fontId="32" fillId="2" borderId="40" xfId="0" applyFont="1" applyFill="1" applyBorder="1" applyAlignment="1">
      <alignment vertical="center"/>
    </xf>
    <xf numFmtId="0" fontId="32" fillId="2" borderId="41" xfId="0" applyFont="1" applyFill="1" applyBorder="1" applyAlignment="1">
      <alignment vertical="center"/>
    </xf>
    <xf numFmtId="0" fontId="32" fillId="2" borderId="41" xfId="0" applyFont="1" applyFill="1" applyBorder="1" applyAlignment="1">
      <alignment horizontal="center" vertical="center"/>
    </xf>
    <xf numFmtId="2" fontId="32" fillId="2" borderId="41" xfId="0" applyNumberFormat="1" applyFont="1" applyFill="1" applyBorder="1" applyAlignment="1">
      <alignment vertical="center"/>
    </xf>
    <xf numFmtId="4" fontId="32" fillId="2" borderId="42" xfId="0" applyNumberFormat="1" applyFont="1" applyFill="1" applyBorder="1" applyAlignment="1">
      <alignment vertical="center"/>
    </xf>
    <xf numFmtId="0" fontId="38" fillId="0" borderId="10" xfId="0" applyFont="1" applyBorder="1" applyAlignment="1">
      <alignment horizontal="center"/>
    </xf>
    <xf numFmtId="0" fontId="38" fillId="0" borderId="10" xfId="0" applyFont="1" applyBorder="1" applyAlignment="1">
      <alignment horizontal="center" vertical="center"/>
    </xf>
    <xf numFmtId="0" fontId="81" fillId="0" borderId="10" xfId="0" applyFont="1" applyBorder="1" applyAlignment="1">
      <alignment horizontal="center" vertical="top"/>
    </xf>
    <xf numFmtId="1" fontId="38" fillId="0" borderId="10" xfId="0" applyNumberFormat="1" applyFont="1" applyBorder="1" applyAlignment="1">
      <alignment horizontal="center"/>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47" fillId="5" borderId="91" xfId="53" applyFont="1" applyFill="1" applyBorder="1" applyAlignment="1">
      <alignment horizontal="center" vertical="center"/>
      <protection/>
    </xf>
    <xf numFmtId="0" fontId="47" fillId="5" borderId="92" xfId="53" applyFont="1" applyFill="1" applyBorder="1" applyAlignment="1">
      <alignment horizontal="center" vertical="center" wrapText="1"/>
      <protection/>
    </xf>
    <xf numFmtId="0" fontId="47" fillId="5" borderId="92" xfId="53" applyFont="1" applyFill="1" applyBorder="1" applyAlignment="1">
      <alignment horizontal="center" vertical="center"/>
      <protection/>
    </xf>
    <xf numFmtId="4" fontId="44" fillId="0" borderId="84" xfId="53" applyNumberFormat="1" applyFont="1" applyFill="1" applyBorder="1" applyAlignment="1">
      <alignment horizontal="center" vertical="center"/>
      <protection/>
    </xf>
    <xf numFmtId="2" fontId="47" fillId="5" borderId="11" xfId="53" applyNumberFormat="1" applyFont="1" applyFill="1" applyBorder="1" applyAlignment="1">
      <alignment horizontal="center" vertical="center"/>
      <protection/>
    </xf>
    <xf numFmtId="167" fontId="47" fillId="5" borderId="93" xfId="72" applyNumberFormat="1" applyFont="1" applyFill="1" applyBorder="1" applyAlignment="1">
      <alignment horizontal="center" vertical="center"/>
    </xf>
    <xf numFmtId="0" fontId="11" fillId="37" borderId="85" xfId="53" applyFont="1" applyFill="1" applyBorder="1" applyAlignment="1">
      <alignment vertical="center"/>
      <protection/>
    </xf>
    <xf numFmtId="0" fontId="11" fillId="0" borderId="47" xfId="53" applyFont="1" applyFill="1" applyBorder="1" applyAlignment="1">
      <alignment vertical="center"/>
      <protection/>
    </xf>
    <xf numFmtId="0" fontId="11" fillId="0" borderId="85" xfId="53" applyFont="1" applyFill="1" applyBorder="1" applyAlignment="1">
      <alignment vertical="center"/>
      <protection/>
    </xf>
    <xf numFmtId="0" fontId="48" fillId="0" borderId="11" xfId="0" applyFont="1" applyFill="1" applyBorder="1" applyAlignment="1">
      <alignment horizontal="center" vertical="center"/>
    </xf>
    <xf numFmtId="0" fontId="48" fillId="0" borderId="0" xfId="0" applyFont="1" applyFill="1" applyBorder="1" applyAlignment="1">
      <alignment horizontal="center" vertical="center" wrapText="1"/>
    </xf>
    <xf numFmtId="0" fontId="48" fillId="0" borderId="10" xfId="0" applyFont="1" applyFill="1" applyBorder="1" applyAlignment="1">
      <alignment horizontal="center" vertical="center" wrapText="1"/>
    </xf>
    <xf numFmtId="171" fontId="44" fillId="0" borderId="10" xfId="0" applyNumberFormat="1" applyFont="1" applyFill="1" applyBorder="1" applyAlignment="1">
      <alignment horizontal="center" vertical="center"/>
    </xf>
    <xf numFmtId="171" fontId="48" fillId="0" borderId="10" xfId="0" applyNumberFormat="1" applyFont="1" applyFill="1" applyBorder="1" applyAlignment="1">
      <alignment horizontal="center" vertical="center"/>
    </xf>
    <xf numFmtId="1" fontId="32" fillId="14" borderId="94" xfId="0" applyNumberFormat="1" applyFont="1" applyFill="1" applyBorder="1" applyAlignment="1">
      <alignment horizontal="center" vertical="center"/>
    </xf>
    <xf numFmtId="0" fontId="32" fillId="14" borderId="95" xfId="0" applyFont="1" applyFill="1" applyBorder="1" applyAlignment="1">
      <alignment vertical="center"/>
    </xf>
    <xf numFmtId="0" fontId="32" fillId="14" borderId="96" xfId="0" applyFont="1" applyFill="1" applyBorder="1" applyAlignment="1">
      <alignment horizontal="left" vertical="center"/>
    </xf>
    <xf numFmtId="0" fontId="32" fillId="14" borderId="96" xfId="0" applyFont="1" applyFill="1" applyBorder="1" applyAlignment="1">
      <alignment horizontal="centerContinuous" vertical="center"/>
    </xf>
    <xf numFmtId="0" fontId="32" fillId="14" borderId="96" xfId="0" applyFont="1" applyFill="1" applyBorder="1" applyAlignment="1">
      <alignment horizontal="center" vertical="center"/>
    </xf>
    <xf numFmtId="167" fontId="32" fillId="14" borderId="97" xfId="60" applyNumberFormat="1" applyFont="1" applyFill="1" applyBorder="1" applyAlignment="1">
      <alignment horizontal="center" vertical="center" wrapText="1"/>
      <protection/>
    </xf>
    <xf numFmtId="167" fontId="32" fillId="14" borderId="98" xfId="60" applyNumberFormat="1" applyFont="1" applyFill="1" applyBorder="1" applyAlignment="1">
      <alignment horizontal="center" vertical="center" wrapText="1"/>
      <protection/>
    </xf>
    <xf numFmtId="167" fontId="32" fillId="14" borderId="99" xfId="60" applyNumberFormat="1" applyFont="1" applyFill="1" applyBorder="1" applyAlignment="1">
      <alignment horizontal="center" vertical="center" wrapText="1"/>
      <protection/>
    </xf>
    <xf numFmtId="0" fontId="78" fillId="43" borderId="78" xfId="0" applyFont="1" applyFill="1" applyBorder="1" applyAlignment="1">
      <alignment vertical="center"/>
    </xf>
    <xf numFmtId="0" fontId="49" fillId="0" borderId="52" xfId="0" applyFont="1" applyBorder="1" applyAlignment="1">
      <alignment horizontal="center" vertical="center"/>
    </xf>
    <xf numFmtId="0" fontId="49" fillId="0" borderId="73" xfId="0" applyFont="1" applyBorder="1" applyAlignment="1">
      <alignment horizontal="left" vertical="center"/>
    </xf>
    <xf numFmtId="2" fontId="49" fillId="0" borderId="73" xfId="0" applyNumberFormat="1" applyFont="1" applyBorder="1" applyAlignment="1">
      <alignment horizontal="center" vertical="center"/>
    </xf>
    <xf numFmtId="2" fontId="49" fillId="0" borderId="84" xfId="0" applyNumberFormat="1" applyFont="1" applyBorder="1" applyAlignment="1">
      <alignment horizontal="center" vertical="center"/>
    </xf>
    <xf numFmtId="171" fontId="49" fillId="0" borderId="84" xfId="0" applyNumberFormat="1" applyFont="1" applyBorder="1" applyAlignment="1">
      <alignment horizontal="center" vertical="center"/>
    </xf>
    <xf numFmtId="171" fontId="49" fillId="0" borderId="56" xfId="0" applyNumberFormat="1" applyFont="1" applyBorder="1" applyAlignment="1">
      <alignment horizontal="center" vertical="center"/>
    </xf>
    <xf numFmtId="0" fontId="49" fillId="0" borderId="0" xfId="0" applyFont="1" applyAlignment="1">
      <alignment horizontal="center" vertical="center"/>
    </xf>
    <xf numFmtId="0" fontId="49" fillId="0" borderId="13" xfId="0" applyFont="1" applyBorder="1" applyAlignment="1">
      <alignment horizontal="center" vertical="center"/>
    </xf>
    <xf numFmtId="0" fontId="49" fillId="0" borderId="10" xfId="0" applyFont="1" applyBorder="1" applyAlignment="1">
      <alignment horizontal="left" vertical="center"/>
    </xf>
    <xf numFmtId="2" fontId="49" fillId="0" borderId="10" xfId="0" applyNumberFormat="1" applyFont="1" applyBorder="1" applyAlignment="1">
      <alignment horizontal="center" vertical="center"/>
    </xf>
    <xf numFmtId="0" fontId="49" fillId="0" borderId="66" xfId="0" applyFont="1" applyBorder="1" applyAlignment="1">
      <alignment horizontal="center" vertical="center"/>
    </xf>
    <xf numFmtId="0" fontId="49" fillId="0" borderId="80" xfId="0" applyFont="1" applyBorder="1" applyAlignment="1">
      <alignment horizontal="left" vertical="center"/>
    </xf>
    <xf numFmtId="2" fontId="49" fillId="0" borderId="80" xfId="0" applyNumberFormat="1" applyFont="1" applyBorder="1" applyAlignment="1">
      <alignment horizontal="center" vertical="center"/>
    </xf>
    <xf numFmtId="0" fontId="30" fillId="0" borderId="31" xfId="0" applyFont="1" applyFill="1" applyBorder="1" applyAlignment="1">
      <alignment horizontal="left" vertical="center" wrapText="1"/>
    </xf>
    <xf numFmtId="167" fontId="32" fillId="14" borderId="98" xfId="60" applyNumberFormat="1" applyFont="1" applyFill="1" applyBorder="1" applyAlignment="1">
      <alignment horizontal="center" vertical="center" wrapText="1"/>
      <protection/>
    </xf>
    <xf numFmtId="190" fontId="30" fillId="0" borderId="0" xfId="0" applyNumberFormat="1" applyFont="1" applyFill="1" applyBorder="1" applyAlignment="1">
      <alignment horizontal="right" vertical="center"/>
    </xf>
    <xf numFmtId="0" fontId="30" fillId="0" borderId="0" xfId="0" applyFont="1" applyFill="1" applyBorder="1" applyAlignment="1">
      <alignment vertical="center"/>
    </xf>
    <xf numFmtId="4" fontId="30" fillId="0" borderId="100" xfId="0" applyNumberFormat="1" applyFont="1" applyFill="1" applyBorder="1" applyAlignment="1">
      <alignment horizontal="right" vertical="center"/>
    </xf>
    <xf numFmtId="0" fontId="30" fillId="0" borderId="101" xfId="0" applyFont="1" applyFill="1" applyBorder="1" applyAlignment="1">
      <alignment vertical="center" wrapText="1"/>
    </xf>
    <xf numFmtId="0" fontId="32" fillId="0" borderId="0" xfId="0" applyFont="1" applyAlignment="1">
      <alignment horizontal="center" vertical="center"/>
    </xf>
    <xf numFmtId="0" fontId="50" fillId="0" borderId="10" xfId="0" applyFont="1" applyBorder="1" applyAlignment="1">
      <alignment horizontal="center" vertical="center"/>
    </xf>
    <xf numFmtId="0" fontId="50" fillId="0" borderId="10" xfId="0" applyFont="1" applyBorder="1" applyAlignment="1">
      <alignment horizontal="center"/>
    </xf>
    <xf numFmtId="0" fontId="50" fillId="0" borderId="43" xfId="0" applyFont="1" applyBorder="1" applyAlignment="1">
      <alignment/>
    </xf>
    <xf numFmtId="171" fontId="81" fillId="0" borderId="10" xfId="0" applyNumberFormat="1" applyFont="1" applyBorder="1" applyAlignment="1">
      <alignment horizontal="center" vertical="top"/>
    </xf>
    <xf numFmtId="171" fontId="82" fillId="0" borderId="10" xfId="0" applyNumberFormat="1" applyFont="1" applyBorder="1" applyAlignment="1">
      <alignment horizontal="center" vertical="top"/>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2" fontId="32" fillId="0" borderId="0" xfId="0" applyNumberFormat="1" applyFont="1" applyFill="1" applyBorder="1" applyAlignment="1">
      <alignment vertical="center"/>
    </xf>
    <xf numFmtId="4" fontId="32" fillId="0" borderId="0" xfId="0" applyNumberFormat="1" applyFont="1" applyFill="1" applyBorder="1" applyAlignment="1">
      <alignment vertical="center"/>
    </xf>
    <xf numFmtId="0" fontId="78" fillId="0" borderId="0" xfId="0" applyFont="1" applyFill="1" applyBorder="1" applyAlignment="1">
      <alignment vertical="center"/>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wrapText="1"/>
    </xf>
    <xf numFmtId="0" fontId="44" fillId="5" borderId="10" xfId="0" applyFont="1" applyFill="1" applyBorder="1" applyAlignment="1">
      <alignment horizontal="center" vertical="center" wrapText="1"/>
    </xf>
    <xf numFmtId="0" fontId="11" fillId="5" borderId="0" xfId="0" applyFont="1" applyFill="1" applyBorder="1" applyAlignment="1">
      <alignment vertical="center" wrapText="1"/>
    </xf>
    <xf numFmtId="0" fontId="11" fillId="5" borderId="0" xfId="0" applyFont="1" applyFill="1" applyBorder="1" applyAlignment="1">
      <alignment vertical="center"/>
    </xf>
    <xf numFmtId="0" fontId="44" fillId="5" borderId="0" xfId="0" applyFont="1" applyFill="1" applyBorder="1" applyAlignment="1">
      <alignment horizontal="center" vertical="center"/>
    </xf>
    <xf numFmtId="2" fontId="44" fillId="0" borderId="10" xfId="0" applyNumberFormat="1" applyFont="1" applyBorder="1" applyAlignment="1">
      <alignment horizontal="center" vertical="center"/>
    </xf>
    <xf numFmtId="0" fontId="44" fillId="0" borderId="0" xfId="0" applyFont="1" applyBorder="1" applyAlignment="1">
      <alignment horizontal="center" vertical="center"/>
    </xf>
    <xf numFmtId="171" fontId="49" fillId="0" borderId="0" xfId="0" applyNumberFormat="1" applyFont="1" applyAlignment="1">
      <alignment horizontal="center" vertical="center"/>
    </xf>
    <xf numFmtId="171" fontId="44" fillId="0" borderId="10" xfId="0" applyNumberFormat="1" applyFont="1" applyBorder="1" applyAlignment="1">
      <alignment horizontal="center" vertical="center" wrapText="1"/>
    </xf>
    <xf numFmtId="171" fontId="44" fillId="0" borderId="0" xfId="0" applyNumberFormat="1" applyFont="1" applyBorder="1" applyAlignment="1">
      <alignment horizontal="center" vertical="center" wrapText="1"/>
    </xf>
    <xf numFmtId="0" fontId="44" fillId="0" borderId="10" xfId="0" applyFont="1" applyFill="1" applyBorder="1" applyAlignment="1">
      <alignment horizontal="center" vertical="center" wrapText="1"/>
    </xf>
    <xf numFmtId="167" fontId="44" fillId="0" borderId="10" xfId="0" applyNumberFormat="1" applyFont="1" applyFill="1" applyBorder="1" applyAlignment="1">
      <alignment horizontal="center" vertical="center" wrapText="1"/>
    </xf>
    <xf numFmtId="0" fontId="49" fillId="0" borderId="0" xfId="0" applyFont="1" applyAlignment="1">
      <alignment horizontal="center" vertical="center" wrapText="1"/>
    </xf>
    <xf numFmtId="171" fontId="51" fillId="11" borderId="83" xfId="0" applyNumberFormat="1" applyFont="1" applyFill="1" applyBorder="1" applyAlignment="1">
      <alignment horizontal="center" vertical="center"/>
    </xf>
    <xf numFmtId="0" fontId="76" fillId="37" borderId="0" xfId="0" applyFont="1" applyFill="1" applyBorder="1" applyAlignment="1">
      <alignment horizontal="center" vertical="center"/>
    </xf>
    <xf numFmtId="167" fontId="32" fillId="14" borderId="98" xfId="60" applyNumberFormat="1" applyFont="1" applyFill="1" applyBorder="1" applyAlignment="1">
      <alignment horizontal="center" vertical="center" wrapText="1"/>
      <protection/>
    </xf>
    <xf numFmtId="0" fontId="44" fillId="0" borderId="18" xfId="0" applyFont="1" applyFill="1" applyBorder="1" applyAlignment="1">
      <alignment vertical="center"/>
    </xf>
    <xf numFmtId="0" fontId="44" fillId="0" borderId="0" xfId="0" applyFont="1" applyFill="1" applyAlignment="1">
      <alignment vertical="center"/>
    </xf>
    <xf numFmtId="0" fontId="44" fillId="0" borderId="47" xfId="0" applyFont="1" applyFill="1" applyBorder="1" applyAlignment="1">
      <alignment vertical="center"/>
    </xf>
    <xf numFmtId="0" fontId="48" fillId="0" borderId="0" xfId="0" applyFont="1" applyFill="1" applyAlignment="1">
      <alignment vertical="center"/>
    </xf>
    <xf numFmtId="0" fontId="44" fillId="0" borderId="0" xfId="0" applyFont="1" applyFill="1" applyBorder="1" applyAlignment="1">
      <alignment vertical="center"/>
    </xf>
    <xf numFmtId="0" fontId="44" fillId="0" borderId="10" xfId="0" applyFont="1" applyFill="1" applyBorder="1" applyAlignment="1">
      <alignment vertical="center"/>
    </xf>
    <xf numFmtId="0" fontId="47" fillId="0" borderId="16" xfId="53" applyFont="1" applyFill="1" applyBorder="1" applyAlignment="1">
      <alignment horizontal="center" vertical="center"/>
      <protection/>
    </xf>
    <xf numFmtId="0" fontId="47" fillId="0" borderId="67" xfId="53" applyFont="1" applyFill="1" applyBorder="1" applyAlignment="1">
      <alignment horizontal="center" vertical="center"/>
      <protection/>
    </xf>
    <xf numFmtId="0" fontId="47" fillId="5" borderId="16" xfId="53" applyFont="1" applyFill="1" applyBorder="1" applyAlignment="1">
      <alignment horizontal="center" vertical="center"/>
      <protection/>
    </xf>
    <xf numFmtId="0" fontId="33" fillId="39" borderId="10" xfId="0"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5" fillId="0" borderId="10" xfId="0" applyFont="1" applyFill="1" applyBorder="1" applyAlignment="1">
      <alignment horizontal="justify" vertical="center"/>
    </xf>
    <xf numFmtId="167" fontId="45" fillId="0" borderId="10" xfId="85"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166" fontId="45" fillId="0" borderId="10" xfId="47" applyFont="1" applyFill="1" applyBorder="1" applyAlignment="1">
      <alignment vertical="center"/>
    </xf>
    <xf numFmtId="166" fontId="45" fillId="0" borderId="10" xfId="47" applyFont="1" applyFill="1" applyBorder="1" applyAlignment="1">
      <alignment horizontal="right" vertical="center"/>
    </xf>
    <xf numFmtId="166" fontId="45" fillId="0" borderId="14" xfId="47" applyFont="1" applyFill="1" applyBorder="1" applyAlignment="1">
      <alignment vertical="center"/>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5" fillId="0" borderId="10" xfId="0" applyFont="1" applyFill="1" applyBorder="1" applyAlignment="1">
      <alignment horizontal="justify" vertical="center" wrapText="1"/>
    </xf>
    <xf numFmtId="0" fontId="45" fillId="0" borderId="11" xfId="0" applyFont="1" applyFill="1" applyBorder="1" applyAlignment="1">
      <alignment horizontal="justify" vertical="center" wrapText="1"/>
    </xf>
    <xf numFmtId="4" fontId="45" fillId="0" borderId="10" xfId="0" applyNumberFormat="1" applyFont="1" applyFill="1" applyBorder="1" applyAlignment="1">
      <alignment vertical="center" wrapText="1"/>
    </xf>
    <xf numFmtId="166" fontId="45" fillId="0" borderId="10" xfId="47" applyFont="1" applyFill="1" applyBorder="1" applyAlignment="1">
      <alignment horizontal="center" vertical="center" wrapText="1"/>
    </xf>
    <xf numFmtId="49" fontId="45" fillId="0" borderId="10" xfId="85" applyNumberFormat="1" applyFont="1" applyFill="1" applyBorder="1" applyAlignment="1">
      <alignment horizontal="center" vertical="center" wrapText="1"/>
    </xf>
    <xf numFmtId="0" fontId="45" fillId="0" borderId="10" xfId="0" applyFont="1" applyFill="1" applyBorder="1" applyAlignment="1" quotePrefix="1">
      <alignment horizontal="justify" vertical="center" wrapText="1"/>
    </xf>
    <xf numFmtId="0" fontId="33" fillId="39" borderId="13" xfId="0" applyFont="1" applyFill="1" applyBorder="1" applyAlignment="1">
      <alignment horizontal="center" vertical="center" wrapText="1"/>
    </xf>
    <xf numFmtId="0" fontId="33" fillId="39" borderId="43" xfId="0" applyFont="1" applyFill="1" applyBorder="1" applyAlignment="1">
      <alignment horizontal="center" vertical="center" wrapText="1"/>
    </xf>
    <xf numFmtId="166" fontId="45" fillId="0" borderId="10" xfId="47" applyFont="1" applyFill="1" applyBorder="1" applyAlignment="1">
      <alignment horizontal="right" vertical="center" wrapText="1"/>
    </xf>
    <xf numFmtId="4" fontId="45" fillId="0" borderId="10" xfId="47" applyNumberFormat="1" applyFont="1" applyFill="1" applyBorder="1" applyAlignment="1">
      <alignment horizontal="right" vertical="center" wrapText="1"/>
    </xf>
    <xf numFmtId="0" fontId="45" fillId="0" borderId="0" xfId="0" applyFont="1" applyFill="1" applyAlignment="1">
      <alignment vertical="center"/>
    </xf>
    <xf numFmtId="166" fontId="33" fillId="35" borderId="14" xfId="47" applyFont="1" applyFill="1" applyBorder="1" applyAlignment="1">
      <alignment horizontal="right" vertical="center"/>
    </xf>
    <xf numFmtId="0" fontId="33" fillId="35" borderId="61"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45" fillId="0" borderId="10" xfId="0" applyFont="1" applyFill="1" applyBorder="1" applyAlignment="1">
      <alignment horizontal="center" vertical="center"/>
    </xf>
    <xf numFmtId="166" fontId="45" fillId="0" borderId="10" xfId="47" applyFont="1" applyFill="1" applyBorder="1" applyAlignment="1">
      <alignment vertical="center" wrapText="1"/>
    </xf>
    <xf numFmtId="0" fontId="33" fillId="35" borderId="13" xfId="0" applyFont="1" applyFill="1" applyBorder="1" applyAlignment="1">
      <alignment horizontal="center" vertical="center" wrapText="1"/>
    </xf>
    <xf numFmtId="0" fontId="33" fillId="35" borderId="43"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37" borderId="18" xfId="0" applyFont="1" applyFill="1" applyBorder="1" applyAlignment="1">
      <alignment vertical="center"/>
    </xf>
    <xf numFmtId="0" fontId="45" fillId="37" borderId="19" xfId="0" applyFont="1" applyFill="1" applyBorder="1" applyAlignment="1">
      <alignment vertical="center"/>
    </xf>
    <xf numFmtId="0" fontId="45" fillId="37" borderId="20" xfId="0" applyFont="1" applyFill="1" applyBorder="1" applyAlignment="1">
      <alignment vertical="center"/>
    </xf>
    <xf numFmtId="0" fontId="45" fillId="0" borderId="43" xfId="0" applyFont="1" applyFill="1" applyBorder="1" applyAlignment="1">
      <alignment horizontal="center" vertical="center"/>
    </xf>
    <xf numFmtId="0" fontId="45" fillId="0" borderId="43" xfId="0" applyFont="1" applyFill="1" applyBorder="1" applyAlignment="1">
      <alignment horizontal="center" vertical="center" wrapText="1"/>
    </xf>
    <xf numFmtId="2" fontId="49" fillId="0" borderId="73" xfId="0" applyNumberFormat="1" applyFont="1" applyBorder="1" applyAlignment="1">
      <alignment horizontal="center" vertical="center" wrapText="1"/>
    </xf>
    <xf numFmtId="2" fontId="49" fillId="0" borderId="10" xfId="0" applyNumberFormat="1" applyFont="1" applyBorder="1" applyAlignment="1">
      <alignment horizontal="center" vertical="center" wrapText="1"/>
    </xf>
    <xf numFmtId="2" fontId="47" fillId="5" borderId="102" xfId="53" applyNumberFormat="1" applyFont="1" applyFill="1" applyBorder="1" applyAlignment="1">
      <alignment horizontal="center" vertical="center"/>
      <protection/>
    </xf>
    <xf numFmtId="167" fontId="47" fillId="5" borderId="85" xfId="72" applyNumberFormat="1" applyFont="1" applyFill="1" applyBorder="1" applyAlignment="1">
      <alignment horizontal="center" vertical="center"/>
    </xf>
    <xf numFmtId="49" fontId="30" fillId="0" borderId="10" xfId="60" applyNumberFormat="1" applyFont="1" applyBorder="1" applyAlignment="1">
      <alignment horizontal="center" vertical="center"/>
      <protection/>
    </xf>
    <xf numFmtId="43" fontId="76" fillId="0" borderId="0" xfId="0" applyNumberFormat="1" applyFont="1" applyAlignment="1">
      <alignment horizontal="center" vertical="center"/>
    </xf>
    <xf numFmtId="0" fontId="11" fillId="5" borderId="10" xfId="0" applyFont="1" applyFill="1" applyBorder="1" applyAlignment="1">
      <alignment horizontal="center" vertical="center"/>
    </xf>
    <xf numFmtId="4" fontId="44" fillId="0" borderId="80" xfId="0" applyNumberFormat="1" applyFont="1" applyFill="1" applyBorder="1" applyAlignment="1">
      <alignment horizontal="center" vertical="center"/>
    </xf>
    <xf numFmtId="4" fontId="44" fillId="0" borderId="103" xfId="0" applyNumberFormat="1" applyFont="1" applyFill="1" applyBorder="1" applyAlignment="1">
      <alignment horizontal="center" vertical="center"/>
    </xf>
    <xf numFmtId="0" fontId="11" fillId="5" borderId="16" xfId="0" applyFont="1" applyFill="1" applyBorder="1" applyAlignment="1">
      <alignment horizontal="center" vertical="center" wrapText="1"/>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wrapText="1"/>
    </xf>
    <xf numFmtId="0" fontId="30" fillId="0" borderId="31" xfId="0" applyFont="1" applyFill="1" applyBorder="1" applyAlignment="1">
      <alignment horizontal="left" vertical="center" wrapText="1"/>
    </xf>
    <xf numFmtId="0" fontId="32" fillId="0" borderId="31" xfId="0" applyFont="1" applyFill="1" applyBorder="1" applyAlignment="1">
      <alignment horizontal="left" vertical="center"/>
    </xf>
    <xf numFmtId="0" fontId="32" fillId="0" borderId="31" xfId="0" applyFont="1" applyFill="1" applyBorder="1" applyAlignment="1">
      <alignment horizontal="left" vertical="center" wrapText="1"/>
    </xf>
    <xf numFmtId="0" fontId="30" fillId="0" borderId="38" xfId="0" applyFont="1" applyFill="1" applyBorder="1" applyAlignment="1">
      <alignment horizontal="center" vertical="center" wrapText="1"/>
    </xf>
    <xf numFmtId="44" fontId="45" fillId="0" borderId="10" xfId="47" applyNumberFormat="1" applyFont="1" applyFill="1" applyBorder="1" applyAlignment="1">
      <alignment vertical="center" wrapText="1"/>
    </xf>
    <xf numFmtId="44" fontId="45" fillId="0" borderId="10" xfId="47" applyNumberFormat="1" applyFont="1" applyFill="1" applyBorder="1" applyAlignment="1">
      <alignment horizontal="right" vertical="center" wrapText="1"/>
    </xf>
    <xf numFmtId="0" fontId="44" fillId="0" borderId="10" xfId="0" applyFont="1" applyBorder="1" applyAlignment="1">
      <alignment horizontal="center" vertical="center" wrapText="1"/>
    </xf>
    <xf numFmtId="0" fontId="33" fillId="35" borderId="12" xfId="0" applyFont="1" applyFill="1" applyBorder="1" applyAlignment="1">
      <alignment horizontal="center" vertical="center" wrapText="1"/>
    </xf>
    <xf numFmtId="0" fontId="33" fillId="0" borderId="0" xfId="0" applyFont="1" applyFill="1" applyAlignment="1">
      <alignment horizontal="center" vertical="center"/>
    </xf>
    <xf numFmtId="0" fontId="33" fillId="0" borderId="0" xfId="0" applyFont="1" applyFill="1" applyBorder="1" applyAlignment="1">
      <alignment horizontal="center" vertical="center" wrapText="1"/>
    </xf>
    <xf numFmtId="2" fontId="33" fillId="0" borderId="0" xfId="0" applyNumberFormat="1" applyFont="1" applyFill="1" applyAlignment="1">
      <alignment vertical="center"/>
    </xf>
    <xf numFmtId="0" fontId="45" fillId="0" borderId="13" xfId="0" applyFont="1" applyFill="1" applyBorder="1" applyAlignment="1">
      <alignment horizontal="center" vertical="center"/>
    </xf>
    <xf numFmtId="0" fontId="45" fillId="0" borderId="0" xfId="0" applyFont="1" applyFill="1" applyBorder="1" applyAlignment="1">
      <alignment vertical="center"/>
    </xf>
    <xf numFmtId="0" fontId="45" fillId="0" borderId="61" xfId="0" applyFont="1" applyFill="1" applyBorder="1" applyAlignment="1">
      <alignment horizontal="center" vertical="center"/>
    </xf>
    <xf numFmtId="43" fontId="45" fillId="0" borderId="0" xfId="0" applyNumberFormat="1" applyFont="1" applyFill="1" applyAlignment="1">
      <alignment vertical="center"/>
    </xf>
    <xf numFmtId="0" fontId="45" fillId="0" borderId="61" xfId="0" applyFont="1" applyFill="1" applyBorder="1" applyAlignment="1">
      <alignment horizontal="center" vertical="center" wrapText="1"/>
    </xf>
    <xf numFmtId="0" fontId="45" fillId="0" borderId="0" xfId="0" applyFont="1" applyFill="1" applyAlignment="1">
      <alignment horizontal="center" vertical="center"/>
    </xf>
    <xf numFmtId="166" fontId="45" fillId="0" borderId="0" xfId="47" applyFont="1" applyFill="1" applyAlignment="1">
      <alignment vertical="center"/>
    </xf>
    <xf numFmtId="0" fontId="33" fillId="35" borderId="73" xfId="0" applyFont="1" applyFill="1" applyBorder="1" applyAlignment="1">
      <alignment horizontal="center" vertical="center" wrapText="1"/>
    </xf>
    <xf numFmtId="10" fontId="33" fillId="35" borderId="10" xfId="65" applyNumberFormat="1" applyFont="1" applyFill="1" applyBorder="1" applyAlignment="1">
      <alignment horizontal="center" vertical="center" wrapText="1"/>
    </xf>
    <xf numFmtId="0" fontId="33" fillId="35" borderId="13" xfId="0" applyFont="1" applyFill="1" applyBorder="1" applyAlignment="1">
      <alignment horizontal="center" vertical="center"/>
    </xf>
    <xf numFmtId="166" fontId="33" fillId="35" borderId="17" xfId="47" applyFont="1" applyFill="1" applyBorder="1" applyAlignment="1">
      <alignment vertical="center"/>
    </xf>
    <xf numFmtId="0" fontId="33" fillId="39" borderId="10" xfId="0" applyFont="1" applyFill="1" applyBorder="1" applyAlignment="1">
      <alignment horizontal="justify" vertical="center" wrapText="1"/>
    </xf>
    <xf numFmtId="167" fontId="45" fillId="39" borderId="10" xfId="85" applyFont="1" applyFill="1" applyBorder="1" applyAlignment="1">
      <alignment horizontal="center" vertical="center" wrapText="1"/>
    </xf>
    <xf numFmtId="0" fontId="45" fillId="39" borderId="10" xfId="0" applyFont="1" applyFill="1" applyBorder="1" applyAlignment="1">
      <alignment horizontal="center" vertical="center" wrapText="1"/>
    </xf>
    <xf numFmtId="166" fontId="45" fillId="39" borderId="10" xfId="47" applyFont="1" applyFill="1" applyBorder="1" applyAlignment="1">
      <alignment horizontal="right" vertical="center" wrapText="1"/>
    </xf>
    <xf numFmtId="166" fontId="45" fillId="39" borderId="10" xfId="47" applyFont="1" applyFill="1" applyBorder="1" applyAlignment="1">
      <alignment horizontal="right" vertical="center"/>
    </xf>
    <xf numFmtId="166" fontId="45" fillId="39" borderId="14" xfId="47" applyFont="1" applyFill="1" applyBorder="1" applyAlignment="1">
      <alignment vertical="center"/>
    </xf>
    <xf numFmtId="0" fontId="33" fillId="39" borderId="10" xfId="0" applyFont="1" applyFill="1" applyBorder="1" applyAlignment="1">
      <alignment horizontal="center" vertical="center"/>
    </xf>
    <xf numFmtId="49" fontId="33" fillId="39" borderId="10" xfId="0" applyNumberFormat="1" applyFont="1" applyFill="1" applyBorder="1" applyAlignment="1">
      <alignment horizontal="center" vertical="center" wrapText="1"/>
    </xf>
    <xf numFmtId="2" fontId="45" fillId="39" borderId="10" xfId="0" applyNumberFormat="1" applyFont="1" applyFill="1" applyBorder="1" applyAlignment="1">
      <alignment horizontal="center" vertical="center" wrapText="1"/>
    </xf>
    <xf numFmtId="0" fontId="36" fillId="37" borderId="47" xfId="0" applyFont="1" applyFill="1" applyBorder="1" applyAlignment="1">
      <alignment horizontal="center" vertical="center" wrapText="1"/>
    </xf>
    <xf numFmtId="0" fontId="36" fillId="37" borderId="85" xfId="0" applyFont="1" applyFill="1" applyBorder="1" applyAlignment="1">
      <alignment horizontal="center" vertical="center" wrapText="1"/>
    </xf>
    <xf numFmtId="0" fontId="36" fillId="37" borderId="86" xfId="0" applyFont="1" applyFill="1" applyBorder="1" applyAlignment="1">
      <alignment horizontal="center" vertical="center" wrapText="1"/>
    </xf>
    <xf numFmtId="0" fontId="51" fillId="0" borderId="78" xfId="0" applyFont="1" applyFill="1" applyBorder="1" applyAlignment="1">
      <alignment horizontal="center" vertical="center" wrapText="1"/>
    </xf>
    <xf numFmtId="0" fontId="51" fillId="0" borderId="90" xfId="0" applyFont="1" applyFill="1" applyBorder="1" applyAlignment="1">
      <alignment horizontal="center" vertical="center" wrapText="1"/>
    </xf>
    <xf numFmtId="0" fontId="51" fillId="0" borderId="83" xfId="0" applyFont="1" applyFill="1" applyBorder="1" applyAlignment="1">
      <alignment horizontal="center" vertical="center" wrapText="1"/>
    </xf>
    <xf numFmtId="2" fontId="49" fillId="0" borderId="103" xfId="0" applyNumberFormat="1" applyFont="1" applyBorder="1" applyAlignment="1">
      <alignment horizontal="center" vertical="center"/>
    </xf>
    <xf numFmtId="2" fontId="49" fillId="0" borderId="104" xfId="0" applyNumberFormat="1" applyFont="1" applyBorder="1" applyAlignment="1">
      <alignment horizontal="center" vertical="center"/>
    </xf>
    <xf numFmtId="171" fontId="49" fillId="0" borderId="104" xfId="0" applyNumberFormat="1" applyFont="1" applyBorder="1" applyAlignment="1">
      <alignment horizontal="center" vertical="center"/>
    </xf>
    <xf numFmtId="171" fontId="49" fillId="0" borderId="105" xfId="0" applyNumberFormat="1" applyFont="1" applyBorder="1" applyAlignment="1">
      <alignment horizontal="center" vertical="center"/>
    </xf>
    <xf numFmtId="171" fontId="51" fillId="11" borderId="90" xfId="0" applyNumberFormat="1" applyFont="1" applyFill="1" applyBorder="1" applyAlignment="1">
      <alignment horizontal="center" vertical="center"/>
    </xf>
    <xf numFmtId="0" fontId="47" fillId="5" borderId="10" xfId="53" applyFont="1" applyFill="1" applyBorder="1" applyAlignment="1">
      <alignment horizontal="center" vertical="center"/>
      <protection/>
    </xf>
    <xf numFmtId="0" fontId="47" fillId="5" borderId="106" xfId="53" applyFont="1" applyFill="1" applyBorder="1" applyAlignment="1">
      <alignment horizontal="center" vertical="center"/>
      <protection/>
    </xf>
    <xf numFmtId="0" fontId="38" fillId="0" borderId="43" xfId="0" applyFont="1" applyBorder="1" applyAlignment="1">
      <alignment horizontal="center"/>
    </xf>
    <xf numFmtId="0" fontId="57" fillId="0" borderId="0" xfId="0" applyFont="1" applyFill="1" applyAlignment="1">
      <alignment horizontal="center" vertical="center"/>
    </xf>
    <xf numFmtId="0" fontId="58" fillId="5" borderId="13" xfId="53" applyFont="1" applyFill="1" applyBorder="1" applyAlignment="1">
      <alignment horizontal="center" vertical="center" wrapText="1"/>
      <protection/>
    </xf>
    <xf numFmtId="0" fontId="58" fillId="5" borderId="10" xfId="53" applyFont="1" applyFill="1" applyBorder="1" applyAlignment="1">
      <alignment horizontal="center" vertical="center" wrapText="1"/>
      <protection/>
    </xf>
    <xf numFmtId="0" fontId="58" fillId="5" borderId="11" xfId="53" applyFont="1" applyFill="1" applyBorder="1" applyAlignment="1">
      <alignment horizontal="center" vertical="center" wrapText="1"/>
      <protection/>
    </xf>
    <xf numFmtId="0" fontId="58" fillId="5" borderId="14" xfId="53" applyFont="1" applyFill="1" applyBorder="1" applyAlignment="1">
      <alignment horizontal="center" vertical="center" wrapText="1"/>
      <protection/>
    </xf>
    <xf numFmtId="0" fontId="58" fillId="5" borderId="13" xfId="53" applyFont="1" applyFill="1" applyBorder="1" applyAlignment="1">
      <alignment horizontal="center" vertical="center"/>
      <protection/>
    </xf>
    <xf numFmtId="2" fontId="58" fillId="5" borderId="10" xfId="53" applyNumberFormat="1" applyFont="1" applyFill="1" applyBorder="1" applyAlignment="1">
      <alignment horizontal="center" vertical="center"/>
      <protection/>
    </xf>
    <xf numFmtId="0" fontId="58" fillId="5" borderId="11" xfId="53" applyFont="1" applyFill="1" applyBorder="1" applyAlignment="1">
      <alignment horizontal="center" vertical="center"/>
      <protection/>
    </xf>
    <xf numFmtId="0" fontId="58" fillId="5" borderId="10" xfId="53" applyFont="1" applyFill="1" applyBorder="1" applyAlignment="1">
      <alignment horizontal="center" vertical="center"/>
      <protection/>
    </xf>
    <xf numFmtId="0" fontId="58" fillId="5" borderId="14" xfId="53" applyFont="1" applyFill="1" applyBorder="1" applyAlignment="1">
      <alignment horizontal="center" vertical="center"/>
      <protection/>
    </xf>
    <xf numFmtId="0" fontId="58" fillId="0" borderId="89" xfId="53" applyFont="1" applyFill="1" applyBorder="1" applyAlignment="1">
      <alignment horizontal="center" vertical="center"/>
      <protection/>
    </xf>
    <xf numFmtId="0" fontId="58" fillId="0" borderId="93" xfId="53" applyFont="1" applyFill="1" applyBorder="1" applyAlignment="1">
      <alignment horizontal="center" vertical="center"/>
      <protection/>
    </xf>
    <xf numFmtId="0" fontId="58" fillId="5" borderId="107" xfId="53" applyFont="1" applyFill="1" applyBorder="1" applyAlignment="1" quotePrefix="1">
      <alignment horizontal="center" vertical="center"/>
      <protection/>
    </xf>
    <xf numFmtId="0" fontId="58" fillId="5" borderId="89" xfId="53" applyFont="1" applyFill="1" applyBorder="1" applyAlignment="1" quotePrefix="1">
      <alignment horizontal="center" vertical="center"/>
      <protection/>
    </xf>
    <xf numFmtId="0" fontId="58" fillId="5" borderId="93" xfId="53" applyFont="1" applyFill="1" applyBorder="1" applyAlignment="1">
      <alignment horizontal="center" vertical="center"/>
      <protection/>
    </xf>
    <xf numFmtId="0" fontId="58" fillId="5" borderId="108" xfId="53" applyFont="1" applyFill="1" applyBorder="1" applyAlignment="1">
      <alignment horizontal="center" vertical="center"/>
      <protection/>
    </xf>
    <xf numFmtId="0" fontId="54" fillId="0" borderId="85" xfId="53" applyFont="1" applyFill="1" applyBorder="1" applyAlignment="1">
      <alignment vertical="center"/>
      <protection/>
    </xf>
    <xf numFmtId="0" fontId="48" fillId="0" borderId="87" xfId="53" applyFont="1" applyFill="1" applyBorder="1" applyAlignment="1">
      <alignment horizontal="left" vertical="center" wrapText="1"/>
      <protection/>
    </xf>
    <xf numFmtId="2" fontId="48" fillId="0" borderId="87" xfId="53" applyNumberFormat="1" applyFont="1" applyFill="1" applyBorder="1" applyAlignment="1">
      <alignment horizontal="center" vertical="center" wrapText="1"/>
      <protection/>
    </xf>
    <xf numFmtId="4" fontId="48" fillId="0" borderId="73" xfId="53" applyNumberFormat="1" applyFont="1" applyFill="1" applyBorder="1" applyAlignment="1">
      <alignment horizontal="center" vertical="center"/>
      <protection/>
    </xf>
    <xf numFmtId="0" fontId="51" fillId="0" borderId="0" xfId="0" applyFont="1" applyAlignment="1">
      <alignment horizontal="center" vertical="center"/>
    </xf>
    <xf numFmtId="0" fontId="51" fillId="11" borderId="78" xfId="0" applyFont="1" applyFill="1" applyBorder="1" applyAlignment="1">
      <alignment horizontal="center" vertical="center"/>
    </xf>
    <xf numFmtId="0" fontId="51" fillId="11" borderId="90" xfId="0" applyFont="1" applyFill="1" applyBorder="1" applyAlignment="1">
      <alignment horizontal="center" vertical="center"/>
    </xf>
    <xf numFmtId="0" fontId="52" fillId="0" borderId="0" xfId="0" applyFont="1" applyAlignment="1">
      <alignment horizontal="center" vertical="center"/>
    </xf>
    <xf numFmtId="0" fontId="34" fillId="0" borderId="18" xfId="0" applyFont="1" applyBorder="1" applyAlignment="1">
      <alignment horizontal="center"/>
    </xf>
    <xf numFmtId="0" fontId="34" fillId="0" borderId="19" xfId="0" applyFont="1" applyBorder="1" applyAlignment="1">
      <alignment horizontal="center"/>
    </xf>
    <xf numFmtId="0" fontId="34" fillId="0" borderId="20" xfId="0" applyFont="1" applyBorder="1" applyAlignment="1">
      <alignment horizontal="center"/>
    </xf>
    <xf numFmtId="0" fontId="43" fillId="37" borderId="44"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45" xfId="0" applyFont="1" applyFill="1" applyBorder="1" applyAlignment="1">
      <alignment horizontal="center" vertical="center" wrapText="1"/>
    </xf>
    <xf numFmtId="0" fontId="36" fillId="37" borderId="44" xfId="0" applyFont="1" applyFill="1" applyBorder="1" applyAlignment="1">
      <alignment horizontal="center" vertical="center" wrapText="1"/>
    </xf>
    <xf numFmtId="0" fontId="36" fillId="37" borderId="0"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43" fillId="14" borderId="47" xfId="0" applyFont="1" applyFill="1" applyBorder="1" applyAlignment="1">
      <alignment horizontal="center" vertical="center" wrapText="1"/>
    </xf>
    <xf numFmtId="0" fontId="43" fillId="14" borderId="85" xfId="0" applyFont="1" applyFill="1" applyBorder="1" applyAlignment="1">
      <alignment horizontal="center" vertical="center" wrapText="1"/>
    </xf>
    <xf numFmtId="0" fontId="43" fillId="14" borderId="86" xfId="0" applyFont="1" applyFill="1" applyBorder="1" applyAlignment="1">
      <alignment horizontal="center" vertical="center" wrapText="1"/>
    </xf>
    <xf numFmtId="0" fontId="43" fillId="0" borderId="44"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45" xfId="0" applyFont="1" applyBorder="1" applyAlignment="1">
      <alignment horizontal="center" vertical="center" wrapText="1"/>
    </xf>
    <xf numFmtId="0" fontId="45" fillId="37" borderId="44"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45" xfId="0" applyFont="1" applyFill="1" applyBorder="1" applyAlignment="1">
      <alignment horizontal="center" vertical="center" wrapText="1"/>
    </xf>
    <xf numFmtId="0" fontId="33" fillId="37" borderId="47" xfId="0" applyFont="1" applyFill="1" applyBorder="1" applyAlignment="1">
      <alignment horizontal="right" vertical="center" wrapText="1"/>
    </xf>
    <xf numFmtId="0" fontId="33" fillId="37" borderId="85" xfId="0" applyFont="1" applyFill="1" applyBorder="1" applyAlignment="1">
      <alignment horizontal="right" vertical="center" wrapText="1"/>
    </xf>
    <xf numFmtId="0" fontId="33" fillId="37" borderId="86" xfId="0" applyFont="1" applyFill="1" applyBorder="1" applyAlignment="1">
      <alignment horizontal="right" vertical="center" wrapText="1"/>
    </xf>
    <xf numFmtId="0" fontId="45" fillId="0" borderId="0" xfId="0" applyFont="1" applyFill="1" applyAlignment="1">
      <alignment horizontal="center" vertical="center"/>
    </xf>
    <xf numFmtId="0" fontId="33" fillId="35" borderId="61" xfId="0" applyFont="1" applyFill="1" applyBorder="1" applyAlignment="1">
      <alignment horizontal="right" vertical="center" wrapText="1"/>
    </xf>
    <xf numFmtId="0" fontId="33" fillId="35" borderId="12" xfId="0" applyFont="1" applyFill="1" applyBorder="1" applyAlignment="1">
      <alignment horizontal="right" vertical="center" wrapText="1"/>
    </xf>
    <xf numFmtId="0" fontId="33" fillId="35" borderId="43" xfId="0" applyFont="1" applyFill="1" applyBorder="1" applyAlignment="1">
      <alignment horizontal="right" vertical="center" wrapText="1"/>
    </xf>
    <xf numFmtId="0" fontId="33" fillId="35" borderId="12" xfId="0" applyFont="1" applyFill="1" applyBorder="1" applyAlignment="1">
      <alignment horizontal="center" vertical="center" wrapText="1"/>
    </xf>
    <xf numFmtId="0" fontId="33" fillId="35" borderId="72" xfId="0" applyFont="1" applyFill="1" applyBorder="1" applyAlignment="1">
      <alignment horizontal="center" vertical="center" wrapText="1"/>
    </xf>
    <xf numFmtId="0" fontId="33" fillId="35" borderId="57" xfId="0" applyFont="1" applyFill="1" applyBorder="1" applyAlignment="1">
      <alignment horizontal="right" vertical="center"/>
    </xf>
    <xf numFmtId="0" fontId="33" fillId="35" borderId="58" xfId="0" applyFont="1" applyFill="1" applyBorder="1" applyAlignment="1">
      <alignment horizontal="right" vertical="center"/>
    </xf>
    <xf numFmtId="0" fontId="33" fillId="35" borderId="59" xfId="0" applyFont="1" applyFill="1" applyBorder="1" applyAlignment="1">
      <alignment horizontal="right" vertical="center"/>
    </xf>
    <xf numFmtId="0" fontId="33" fillId="37" borderId="44" xfId="0" applyFont="1" applyFill="1" applyBorder="1" applyAlignment="1">
      <alignment horizontal="center" vertical="center" wrapText="1"/>
    </xf>
    <xf numFmtId="0" fontId="33" fillId="37" borderId="0" xfId="0" applyFont="1" applyFill="1" applyBorder="1" applyAlignment="1">
      <alignment horizontal="center" vertical="center" wrapText="1"/>
    </xf>
    <xf numFmtId="0" fontId="33" fillId="37" borderId="45" xfId="0" applyFont="1" applyFill="1" applyBorder="1" applyAlignment="1">
      <alignment horizontal="center" vertical="center" wrapText="1"/>
    </xf>
    <xf numFmtId="0" fontId="33" fillId="44" borderId="47" xfId="0" applyFont="1" applyFill="1" applyBorder="1" applyAlignment="1">
      <alignment horizontal="center" vertical="center" wrapText="1"/>
    </xf>
    <xf numFmtId="0" fontId="33" fillId="44" borderId="85" xfId="0" applyFont="1" applyFill="1" applyBorder="1" applyAlignment="1">
      <alignment horizontal="center" vertical="center" wrapText="1"/>
    </xf>
    <xf numFmtId="0" fontId="33" fillId="44" borderId="86" xfId="0" applyFont="1" applyFill="1" applyBorder="1" applyAlignment="1">
      <alignment horizontal="center" vertical="center" wrapText="1"/>
    </xf>
    <xf numFmtId="0" fontId="33" fillId="35" borderId="12" xfId="0" applyFont="1" applyFill="1" applyBorder="1" applyAlignment="1">
      <alignment horizontal="center" vertical="center"/>
    </xf>
    <xf numFmtId="0" fontId="33" fillId="35" borderId="72" xfId="0" applyFont="1" applyFill="1" applyBorder="1" applyAlignment="1">
      <alignment horizontal="center" vertical="center"/>
    </xf>
    <xf numFmtId="0" fontId="33" fillId="44" borderId="48" xfId="0" applyFont="1" applyFill="1" applyBorder="1" applyAlignment="1">
      <alignment horizontal="center" vertical="center" wrapText="1"/>
    </xf>
    <xf numFmtId="0" fontId="33" fillId="44" borderId="49" xfId="0" applyFont="1" applyFill="1" applyBorder="1" applyAlignment="1">
      <alignment horizontal="center" vertical="center" wrapText="1"/>
    </xf>
    <xf numFmtId="0" fontId="33" fillId="44" borderId="65" xfId="0" applyFont="1" applyFill="1" applyBorder="1" applyAlignment="1">
      <alignment horizontal="center" vertical="center" wrapText="1"/>
    </xf>
    <xf numFmtId="0" fontId="33" fillId="35" borderId="61" xfId="0" applyFont="1" applyFill="1" applyBorder="1" applyAlignment="1">
      <alignment horizontal="right" vertical="center"/>
    </xf>
    <xf numFmtId="0" fontId="33" fillId="35" borderId="12" xfId="0" applyFont="1" applyFill="1" applyBorder="1" applyAlignment="1">
      <alignment horizontal="right" vertical="center"/>
    </xf>
    <xf numFmtId="0" fontId="33" fillId="35" borderId="43" xfId="0" applyFont="1" applyFill="1" applyBorder="1" applyAlignment="1">
      <alignment horizontal="right" vertical="center"/>
    </xf>
    <xf numFmtId="0" fontId="33" fillId="35" borderId="109" xfId="0" applyFont="1" applyFill="1" applyBorder="1" applyAlignment="1">
      <alignment horizontal="center" vertical="center" wrapText="1"/>
    </xf>
    <xf numFmtId="0" fontId="33" fillId="35" borderId="52" xfId="0" applyFont="1" applyFill="1" applyBorder="1" applyAlignment="1">
      <alignment horizontal="center" vertical="center" wrapText="1"/>
    </xf>
    <xf numFmtId="0" fontId="33" fillId="35" borderId="103" xfId="0" applyFont="1" applyFill="1" applyBorder="1" applyAlignment="1">
      <alignment horizontal="center" vertical="center" wrapText="1"/>
    </xf>
    <xf numFmtId="0" fontId="33" fillId="35" borderId="73" xfId="0" applyFont="1" applyFill="1" applyBorder="1" applyAlignment="1">
      <alignment horizontal="center" vertical="center" wrapText="1"/>
    </xf>
    <xf numFmtId="0" fontId="33" fillId="0" borderId="0" xfId="0" applyFont="1" applyFill="1" applyBorder="1" applyAlignment="1">
      <alignment horizontal="center" vertical="center" wrapText="1"/>
    </xf>
    <xf numFmtId="2" fontId="33" fillId="0" borderId="0" xfId="0" applyNumberFormat="1" applyFont="1" applyFill="1" applyAlignment="1">
      <alignment vertical="center"/>
    </xf>
    <xf numFmtId="0" fontId="33" fillId="35" borderId="11" xfId="0" applyFont="1" applyFill="1" applyBorder="1" applyAlignment="1">
      <alignment horizontal="center" vertical="center"/>
    </xf>
    <xf numFmtId="0" fontId="33" fillId="35" borderId="11"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56" xfId="0" applyFont="1" applyFill="1" applyBorder="1" applyAlignment="1">
      <alignment horizontal="center" vertical="center" wrapText="1"/>
    </xf>
    <xf numFmtId="0" fontId="33" fillId="35" borderId="14" xfId="0" applyFont="1" applyFill="1" applyBorder="1" applyAlignment="1">
      <alignment horizontal="center" vertical="center" wrapText="1"/>
    </xf>
    <xf numFmtId="0" fontId="11" fillId="0" borderId="10" xfId="0" applyFont="1" applyBorder="1" applyAlignment="1">
      <alignment horizontal="center" vertical="center"/>
    </xf>
    <xf numFmtId="2" fontId="11" fillId="0" borderId="10" xfId="0" applyNumberFormat="1" applyFont="1" applyBorder="1" applyAlignment="1">
      <alignment horizontal="center" vertical="center" wrapText="1"/>
    </xf>
    <xf numFmtId="2" fontId="44" fillId="0" borderId="10" xfId="0" applyNumberFormat="1" applyFont="1" applyBorder="1" applyAlignment="1">
      <alignment horizontal="center" vertical="center" wrapText="1"/>
    </xf>
    <xf numFmtId="2" fontId="44" fillId="0" borderId="11" xfId="0" applyNumberFormat="1" applyFont="1" applyBorder="1" applyAlignment="1">
      <alignment horizontal="center" vertical="center" wrapText="1"/>
    </xf>
    <xf numFmtId="2" fontId="44" fillId="0" borderId="12" xfId="0" applyNumberFormat="1" applyFont="1" applyBorder="1" applyAlignment="1">
      <alignment horizontal="center" vertical="center" wrapText="1"/>
    </xf>
    <xf numFmtId="2" fontId="44" fillId="0" borderId="43" xfId="0" applyNumberFormat="1" applyFont="1" applyBorder="1" applyAlignment="1">
      <alignment horizontal="center" vertical="center" wrapText="1"/>
    </xf>
    <xf numFmtId="0" fontId="11" fillId="11" borderId="10" xfId="0" applyFont="1" applyFill="1" applyBorder="1" applyAlignment="1">
      <alignment horizontal="center" vertical="center"/>
    </xf>
    <xf numFmtId="0" fontId="44" fillId="0" borderId="10" xfId="0" applyFont="1" applyBorder="1" applyAlignment="1">
      <alignment horizontal="center" vertical="center" wrapText="1"/>
    </xf>
    <xf numFmtId="0" fontId="11" fillId="0" borderId="69" xfId="0" applyFont="1" applyFill="1" applyBorder="1" applyAlignment="1">
      <alignment horizontal="center" vertical="center"/>
    </xf>
    <xf numFmtId="0" fontId="11" fillId="0" borderId="70"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20" xfId="0" applyFont="1" applyFill="1" applyBorder="1" applyAlignment="1">
      <alignment horizontal="center" vertical="center"/>
    </xf>
    <xf numFmtId="0" fontId="53" fillId="5" borderId="110" xfId="0" applyFont="1" applyFill="1" applyBorder="1" applyAlignment="1">
      <alignment horizontal="center" vertical="center"/>
    </xf>
    <xf numFmtId="0" fontId="53" fillId="5" borderId="13" xfId="0" applyFont="1" applyFill="1" applyBorder="1" applyAlignment="1">
      <alignment horizontal="center" vertical="center"/>
    </xf>
    <xf numFmtId="0" fontId="53" fillId="5" borderId="15" xfId="0" applyFont="1" applyFill="1" applyBorder="1" applyAlignment="1">
      <alignment horizontal="center" vertical="center"/>
    </xf>
    <xf numFmtId="0" fontId="53" fillId="5" borderId="82" xfId="0" applyFont="1" applyFill="1" applyBorder="1" applyAlignment="1">
      <alignment horizontal="center" vertical="center"/>
    </xf>
    <xf numFmtId="0" fontId="53" fillId="5" borderId="10" xfId="0" applyFont="1" applyFill="1" applyBorder="1" applyAlignment="1">
      <alignment horizontal="center" vertical="center"/>
    </xf>
    <xf numFmtId="0" fontId="53" fillId="5" borderId="16" xfId="0" applyFont="1" applyFill="1" applyBorder="1" applyAlignment="1">
      <alignment horizontal="center" vertical="center"/>
    </xf>
    <xf numFmtId="0" fontId="11" fillId="5" borderId="82"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82"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111" xfId="0" applyFont="1" applyFill="1" applyBorder="1" applyAlignment="1">
      <alignment horizontal="center" vertical="center"/>
    </xf>
    <xf numFmtId="0" fontId="11" fillId="5" borderId="103" xfId="0" applyFont="1" applyFill="1" applyBorder="1" applyAlignment="1">
      <alignment horizontal="center" vertical="center"/>
    </xf>
    <xf numFmtId="0" fontId="11" fillId="5" borderId="73" xfId="0" applyFont="1" applyFill="1" applyBorder="1" applyAlignment="1">
      <alignment horizontal="center" vertical="center"/>
    </xf>
    <xf numFmtId="0" fontId="11" fillId="5" borderId="53"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37" borderId="44" xfId="0" applyFont="1" applyFill="1" applyBorder="1" applyAlignment="1">
      <alignment horizontal="center"/>
    </xf>
    <xf numFmtId="0" fontId="11" fillId="37" borderId="0" xfId="0" applyFont="1" applyFill="1" applyBorder="1" applyAlignment="1">
      <alignment horizontal="center"/>
    </xf>
    <xf numFmtId="0" fontId="11" fillId="37" borderId="45" xfId="0" applyFont="1" applyFill="1" applyBorder="1" applyAlignment="1">
      <alignment horizontal="center"/>
    </xf>
    <xf numFmtId="167" fontId="11" fillId="14" borderId="47" xfId="60" applyNumberFormat="1" applyFont="1" applyFill="1" applyBorder="1" applyAlignment="1">
      <alignment horizontal="center" vertical="center" wrapText="1"/>
      <protection/>
    </xf>
    <xf numFmtId="167" fontId="11" fillId="14" borderId="85" xfId="60" applyNumberFormat="1" applyFont="1" applyFill="1" applyBorder="1" applyAlignment="1">
      <alignment horizontal="center" vertical="center" wrapText="1"/>
      <protection/>
    </xf>
    <xf numFmtId="167" fontId="11" fillId="14" borderId="86" xfId="60" applyNumberFormat="1" applyFont="1" applyFill="1" applyBorder="1" applyAlignment="1">
      <alignment horizontal="center" vertical="center" wrapText="1"/>
      <protection/>
    </xf>
    <xf numFmtId="0" fontId="11" fillId="0" borderId="44" xfId="0" applyFont="1" applyBorder="1" applyAlignment="1">
      <alignment horizontal="center" vertical="center"/>
    </xf>
    <xf numFmtId="0" fontId="11" fillId="0" borderId="0" xfId="0" applyFont="1" applyBorder="1" applyAlignment="1">
      <alignment horizontal="center" vertical="center"/>
    </xf>
    <xf numFmtId="0" fontId="11" fillId="0" borderId="45" xfId="0" applyFont="1" applyBorder="1" applyAlignment="1">
      <alignment horizontal="center" vertical="center"/>
    </xf>
    <xf numFmtId="0" fontId="44" fillId="0" borderId="11" xfId="0" applyFont="1" applyBorder="1" applyAlignment="1">
      <alignment horizontal="center" vertical="center" wrapText="1"/>
    </xf>
    <xf numFmtId="0" fontId="44" fillId="0" borderId="43" xfId="0" applyFont="1" applyBorder="1" applyAlignment="1">
      <alignment horizontal="center" vertical="center" wrapText="1"/>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43" xfId="0" applyFont="1" applyBorder="1" applyAlignment="1">
      <alignment horizontal="center" vertical="center"/>
    </xf>
    <xf numFmtId="0" fontId="54" fillId="37" borderId="44" xfId="0" applyFont="1" applyFill="1" applyBorder="1" applyAlignment="1">
      <alignment horizontal="center" vertical="center" wrapText="1"/>
    </xf>
    <xf numFmtId="0" fontId="54" fillId="37" borderId="0" xfId="0" applyFont="1" applyFill="1" applyBorder="1" applyAlignment="1">
      <alignment horizontal="center" vertical="center" wrapText="1"/>
    </xf>
    <xf numFmtId="0" fontId="48" fillId="37" borderId="44" xfId="0" applyFont="1" applyFill="1" applyBorder="1" applyAlignment="1">
      <alignment horizontal="center" vertical="center" wrapText="1"/>
    </xf>
    <xf numFmtId="0" fontId="48" fillId="37" borderId="0" xfId="0" applyFont="1" applyFill="1" applyBorder="1" applyAlignment="1">
      <alignment horizontal="center" vertical="center" wrapText="1"/>
    </xf>
    <xf numFmtId="0" fontId="54" fillId="14" borderId="47" xfId="0" applyFont="1" applyFill="1" applyBorder="1" applyAlignment="1">
      <alignment horizontal="center" vertical="center"/>
    </xf>
    <xf numFmtId="0" fontId="54" fillId="14" borderId="85"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0" xfId="0" applyFont="1" applyFill="1" applyBorder="1" applyAlignment="1">
      <alignment horizontal="center" vertical="center"/>
    </xf>
    <xf numFmtId="0" fontId="47" fillId="0" borderId="18" xfId="53" applyFont="1" applyFill="1" applyBorder="1" applyAlignment="1">
      <alignment horizontal="center" vertical="center" wrapText="1"/>
      <protection/>
    </xf>
    <xf numFmtId="0" fontId="47" fillId="0" borderId="19" xfId="53" applyFont="1" applyFill="1" applyBorder="1" applyAlignment="1">
      <alignment horizontal="center" vertical="center" wrapText="1"/>
      <protection/>
    </xf>
    <xf numFmtId="0" fontId="47" fillId="0" borderId="44" xfId="53" applyFont="1" applyFill="1" applyBorder="1" applyAlignment="1">
      <alignment horizontal="center" vertical="center" wrapText="1"/>
      <protection/>
    </xf>
    <xf numFmtId="0" fontId="47" fillId="0" borderId="0" xfId="53" applyFont="1" applyFill="1" applyBorder="1" applyAlignment="1">
      <alignment horizontal="center" vertical="center" wrapText="1"/>
      <protection/>
    </xf>
    <xf numFmtId="0" fontId="47" fillId="0" borderId="111" xfId="53" applyFont="1" applyFill="1" applyBorder="1" applyAlignment="1">
      <alignment horizontal="center" vertical="center"/>
      <protection/>
    </xf>
    <xf numFmtId="0" fontId="47" fillId="0" borderId="103" xfId="53" applyFont="1" applyFill="1" applyBorder="1" applyAlignment="1">
      <alignment horizontal="center" vertical="center"/>
      <protection/>
    </xf>
    <xf numFmtId="0" fontId="47" fillId="0" borderId="73" xfId="53" applyFont="1" applyFill="1" applyBorder="1" applyAlignment="1">
      <alignment horizontal="center" vertical="center"/>
      <protection/>
    </xf>
    <xf numFmtId="0" fontId="47" fillId="0" borderId="112" xfId="53" applyFont="1" applyFill="1" applyBorder="1" applyAlignment="1">
      <alignment horizontal="center" vertical="center" wrapText="1"/>
      <protection/>
    </xf>
    <xf numFmtId="0" fontId="47" fillId="0" borderId="104" xfId="53" applyFont="1" applyFill="1" applyBorder="1" applyAlignment="1">
      <alignment horizontal="center" vertical="center" wrapText="1"/>
      <protection/>
    </xf>
    <xf numFmtId="0" fontId="47" fillId="0" borderId="84" xfId="53" applyFont="1" applyFill="1" applyBorder="1" applyAlignment="1">
      <alignment horizontal="center" vertical="center" wrapText="1"/>
      <protection/>
    </xf>
    <xf numFmtId="0" fontId="47" fillId="5" borderId="82" xfId="53" applyFont="1" applyFill="1" applyBorder="1" applyAlignment="1">
      <alignment horizontal="center" vertical="center"/>
      <protection/>
    </xf>
    <xf numFmtId="0" fontId="47" fillId="5" borderId="10" xfId="53" applyFont="1" applyFill="1" applyBorder="1" applyAlignment="1">
      <alignment horizontal="center" vertical="center"/>
      <protection/>
    </xf>
    <xf numFmtId="0" fontId="47" fillId="5" borderId="14" xfId="53" applyFont="1" applyFill="1" applyBorder="1" applyAlignment="1">
      <alignment horizontal="center" vertical="center"/>
      <protection/>
    </xf>
    <xf numFmtId="14" fontId="11" fillId="2" borderId="69" xfId="53" applyNumberFormat="1" applyFont="1" applyFill="1" applyBorder="1" applyAlignment="1">
      <alignment horizontal="center" vertical="center"/>
      <protection/>
    </xf>
    <xf numFmtId="14" fontId="11" fillId="2" borderId="70" xfId="53" applyNumberFormat="1" applyFont="1" applyFill="1" applyBorder="1" applyAlignment="1">
      <alignment horizontal="center" vertical="center"/>
      <protection/>
    </xf>
    <xf numFmtId="0" fontId="47" fillId="5" borderId="113" xfId="53" applyFont="1" applyFill="1" applyBorder="1" applyAlignment="1">
      <alignment horizontal="center" vertical="center"/>
      <protection/>
    </xf>
    <xf numFmtId="0" fontId="11" fillId="0" borderId="66" xfId="53" applyFont="1" applyFill="1" applyBorder="1" applyAlignment="1">
      <alignment horizontal="center" vertical="center"/>
      <protection/>
    </xf>
    <xf numFmtId="0" fontId="11" fillId="0" borderId="114" xfId="53" applyFont="1" applyFill="1" applyBorder="1" applyAlignment="1">
      <alignment horizontal="center" vertical="center"/>
      <protection/>
    </xf>
    <xf numFmtId="0" fontId="11" fillId="0" borderId="80" xfId="53" applyFont="1" applyFill="1" applyBorder="1" applyAlignment="1">
      <alignment horizontal="center" vertical="center"/>
      <protection/>
    </xf>
    <xf numFmtId="0" fontId="11" fillId="0" borderId="115" xfId="53" applyFont="1" applyFill="1" applyBorder="1" applyAlignment="1">
      <alignment horizontal="center" vertical="center"/>
      <protection/>
    </xf>
    <xf numFmtId="0" fontId="11" fillId="0" borderId="49" xfId="0" applyFont="1" applyFill="1" applyBorder="1" applyAlignment="1">
      <alignment horizontal="center" vertical="center" wrapText="1"/>
    </xf>
    <xf numFmtId="0" fontId="58" fillId="0" borderId="0" xfId="53" applyFont="1" applyFill="1" applyBorder="1" applyAlignment="1">
      <alignment horizontal="center" vertical="center" wrapText="1"/>
      <protection/>
    </xf>
    <xf numFmtId="0" fontId="47" fillId="5" borderId="87" xfId="53" applyFont="1" applyFill="1" applyBorder="1" applyAlignment="1">
      <alignment horizontal="center" vertical="center"/>
      <protection/>
    </xf>
    <xf numFmtId="0" fontId="47" fillId="5" borderId="73" xfId="53" applyFont="1" applyFill="1" applyBorder="1" applyAlignment="1">
      <alignment horizontal="center" vertical="center"/>
      <protection/>
    </xf>
    <xf numFmtId="0" fontId="47" fillId="5" borderId="56" xfId="53" applyFont="1" applyFill="1" applyBorder="1" applyAlignment="1">
      <alignment horizontal="center" vertical="center"/>
      <protection/>
    </xf>
    <xf numFmtId="0" fontId="58" fillId="5" borderId="53" xfId="53" applyFont="1" applyFill="1" applyBorder="1" applyAlignment="1">
      <alignment horizontal="center" vertical="center"/>
      <protection/>
    </xf>
    <xf numFmtId="0" fontId="58" fillId="5" borderId="116" xfId="53" applyFont="1" applyFill="1" applyBorder="1" applyAlignment="1">
      <alignment horizontal="center" vertical="center"/>
      <protection/>
    </xf>
    <xf numFmtId="0" fontId="47" fillId="5" borderId="117" xfId="53" applyFont="1" applyFill="1" applyBorder="1" applyAlignment="1">
      <alignment horizontal="center" vertical="center"/>
      <protection/>
    </xf>
    <xf numFmtId="0" fontId="47" fillId="5" borderId="106" xfId="53" applyFont="1" applyFill="1" applyBorder="1" applyAlignment="1">
      <alignment horizontal="center" vertical="center"/>
      <protection/>
    </xf>
    <xf numFmtId="0" fontId="58" fillId="5" borderId="52" xfId="53" applyFont="1" applyFill="1" applyBorder="1" applyAlignment="1">
      <alignment horizontal="center" vertical="center"/>
      <protection/>
    </xf>
    <xf numFmtId="0" fontId="58" fillId="5" borderId="73" xfId="53" applyFont="1" applyFill="1" applyBorder="1" applyAlignment="1">
      <alignment horizontal="center" vertical="center"/>
      <protection/>
    </xf>
    <xf numFmtId="0" fontId="58" fillId="5" borderId="84" xfId="53" applyFont="1" applyFill="1" applyBorder="1" applyAlignment="1">
      <alignment horizontal="center" vertical="center"/>
      <protection/>
    </xf>
    <xf numFmtId="0" fontId="58" fillId="0" borderId="103" xfId="53" applyFont="1" applyFill="1" applyBorder="1" applyAlignment="1">
      <alignment horizontal="center" vertical="center"/>
      <protection/>
    </xf>
    <xf numFmtId="0" fontId="58" fillId="0" borderId="73" xfId="53" applyFont="1" applyFill="1" applyBorder="1" applyAlignment="1">
      <alignment horizontal="center" vertical="center"/>
      <protection/>
    </xf>
    <xf numFmtId="0" fontId="58" fillId="0" borderId="104" xfId="53" applyFont="1" applyFill="1" applyBorder="1" applyAlignment="1">
      <alignment horizontal="center" vertical="center" wrapText="1"/>
      <protection/>
    </xf>
    <xf numFmtId="0" fontId="58" fillId="0" borderId="84" xfId="53" applyFont="1" applyFill="1" applyBorder="1" applyAlignment="1">
      <alignment horizontal="center" vertical="center" wrapText="1"/>
      <protection/>
    </xf>
    <xf numFmtId="0" fontId="54" fillId="0" borderId="80" xfId="53" applyFont="1" applyFill="1" applyBorder="1" applyAlignment="1">
      <alignment horizontal="center" vertical="center"/>
      <protection/>
    </xf>
    <xf numFmtId="0" fontId="54" fillId="0" borderId="98" xfId="53" applyFont="1" applyFill="1" applyBorder="1" applyAlignment="1">
      <alignment horizontal="center" vertical="center"/>
      <protection/>
    </xf>
    <xf numFmtId="0" fontId="32" fillId="0" borderId="13" xfId="0" applyFont="1" applyBorder="1" applyAlignment="1">
      <alignment horizontal="center" vertical="center"/>
    </xf>
    <xf numFmtId="0" fontId="32" fillId="0" borderId="82" xfId="0" applyFont="1" applyBorder="1" applyAlignment="1">
      <alignment horizontal="center" vertical="center"/>
    </xf>
    <xf numFmtId="0" fontId="32" fillId="0" borderId="10" xfId="0" applyFont="1" applyBorder="1" applyAlignment="1">
      <alignment horizontal="center" vertical="center"/>
    </xf>
    <xf numFmtId="0" fontId="32" fillId="0" borderId="110" xfId="0" applyFont="1" applyBorder="1" applyAlignment="1">
      <alignment horizontal="center" vertical="center"/>
    </xf>
    <xf numFmtId="0" fontId="51" fillId="37" borderId="44" xfId="0" applyFont="1" applyFill="1" applyBorder="1" applyAlignment="1">
      <alignment horizontal="center" vertical="center"/>
    </xf>
    <xf numFmtId="0" fontId="51" fillId="37" borderId="0" xfId="0" applyFont="1" applyFill="1" applyBorder="1" applyAlignment="1">
      <alignment horizontal="center" vertical="center"/>
    </xf>
    <xf numFmtId="0" fontId="51" fillId="37" borderId="45" xfId="0" applyFont="1" applyFill="1" applyBorder="1" applyAlignment="1">
      <alignment horizontal="center" vertical="center"/>
    </xf>
    <xf numFmtId="0" fontId="38" fillId="37" borderId="44" xfId="0" applyFont="1" applyFill="1" applyBorder="1" applyAlignment="1">
      <alignment horizontal="center" vertical="center"/>
    </xf>
    <xf numFmtId="0" fontId="38" fillId="37" borderId="0" xfId="0" applyFont="1" applyFill="1" applyBorder="1" applyAlignment="1">
      <alignment horizontal="center" vertical="center"/>
    </xf>
    <xf numFmtId="0" fontId="38" fillId="37" borderId="45" xfId="0" applyFont="1" applyFill="1" applyBorder="1" applyAlignment="1">
      <alignment horizontal="center" vertical="center"/>
    </xf>
    <xf numFmtId="49" fontId="38" fillId="37" borderId="44" xfId="0" applyNumberFormat="1" applyFont="1" applyFill="1" applyBorder="1" applyAlignment="1">
      <alignment horizontal="center" vertical="center"/>
    </xf>
    <xf numFmtId="49" fontId="38" fillId="37" borderId="0" xfId="0" applyNumberFormat="1" applyFont="1" applyFill="1" applyBorder="1" applyAlignment="1">
      <alignment horizontal="center" vertical="center"/>
    </xf>
    <xf numFmtId="49" fontId="38" fillId="37" borderId="45" xfId="0" applyNumberFormat="1" applyFont="1" applyFill="1" applyBorder="1" applyAlignment="1">
      <alignment horizontal="center" vertical="center"/>
    </xf>
    <xf numFmtId="49" fontId="32" fillId="37" borderId="47" xfId="0" applyNumberFormat="1" applyFont="1" applyFill="1" applyBorder="1" applyAlignment="1">
      <alignment horizontal="left" vertical="center"/>
    </xf>
    <xf numFmtId="49" fontId="32" fillId="37" borderId="85" xfId="0" applyNumberFormat="1" applyFont="1" applyFill="1" applyBorder="1" applyAlignment="1">
      <alignment horizontal="left" vertical="center"/>
    </xf>
    <xf numFmtId="49" fontId="32" fillId="37" borderId="86" xfId="0" applyNumberFormat="1" applyFont="1" applyFill="1" applyBorder="1" applyAlignment="1">
      <alignment horizontal="left" vertical="center"/>
    </xf>
    <xf numFmtId="49" fontId="43" fillId="14" borderId="47" xfId="0" applyNumberFormat="1" applyFont="1" applyFill="1" applyBorder="1" applyAlignment="1">
      <alignment horizontal="center" vertical="center"/>
    </xf>
    <xf numFmtId="49" fontId="43" fillId="14" borderId="85" xfId="0" applyNumberFormat="1" applyFont="1" applyFill="1" applyBorder="1" applyAlignment="1">
      <alignment horizontal="center" vertical="center"/>
    </xf>
    <xf numFmtId="49" fontId="43" fillId="14" borderId="86" xfId="0" applyNumberFormat="1" applyFont="1" applyFill="1" applyBorder="1" applyAlignment="1">
      <alignment horizontal="center" vertical="center"/>
    </xf>
    <xf numFmtId="0" fontId="32" fillId="0" borderId="113" xfId="0" applyFont="1" applyBorder="1" applyAlignment="1">
      <alignment horizontal="center" vertical="justify"/>
    </xf>
    <xf numFmtId="0" fontId="32" fillId="0" borderId="14" xfId="0" applyFont="1" applyBorder="1" applyAlignment="1">
      <alignment horizontal="center" vertical="justify"/>
    </xf>
    <xf numFmtId="0" fontId="32" fillId="0" borderId="44"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45" xfId="0" applyFont="1" applyBorder="1" applyAlignment="1">
      <alignment horizontal="center" vertical="center" wrapText="1"/>
    </xf>
    <xf numFmtId="0" fontId="81" fillId="0" borderId="10" xfId="0" applyFont="1" applyBorder="1" applyAlignment="1">
      <alignment horizontal="left" vertical="center"/>
    </xf>
    <xf numFmtId="0" fontId="81" fillId="0" borderId="11" xfId="0" applyFont="1" applyBorder="1" applyAlignment="1">
      <alignment horizontal="left" vertical="center"/>
    </xf>
    <xf numFmtId="0" fontId="81" fillId="0" borderId="43" xfId="0" applyFont="1" applyBorder="1" applyAlignment="1">
      <alignment horizontal="left" vertical="center"/>
    </xf>
    <xf numFmtId="0" fontId="32" fillId="0" borderId="31" xfId="0" applyFont="1" applyFill="1" applyBorder="1" applyAlignment="1">
      <alignment horizontal="left" vertical="center" wrapText="1"/>
    </xf>
    <xf numFmtId="0" fontId="32" fillId="0" borderId="24" xfId="0" applyFont="1" applyFill="1" applyBorder="1" applyAlignment="1">
      <alignment horizontal="left" vertical="center" wrapText="1"/>
    </xf>
    <xf numFmtId="0" fontId="32" fillId="0" borderId="74" xfId="0" applyFont="1" applyFill="1" applyBorder="1" applyAlignment="1">
      <alignment horizontal="left" vertical="center" wrapText="1"/>
    </xf>
    <xf numFmtId="0" fontId="30" fillId="0" borderId="38" xfId="0" applyFont="1" applyFill="1" applyBorder="1" applyAlignment="1">
      <alignment horizontal="right" vertical="center"/>
    </xf>
    <xf numFmtId="0" fontId="30" fillId="0" borderId="34" xfId="0" applyFont="1" applyFill="1" applyBorder="1" applyAlignment="1">
      <alignment horizontal="right" vertical="center"/>
    </xf>
    <xf numFmtId="0" fontId="30" fillId="0" borderId="75" xfId="0" applyFont="1" applyFill="1" applyBorder="1" applyAlignment="1">
      <alignment horizontal="right" vertical="center"/>
    </xf>
    <xf numFmtId="0" fontId="32" fillId="0" borderId="118" xfId="0" applyFont="1" applyFill="1" applyBorder="1" applyAlignment="1">
      <alignment horizontal="right" vertical="center"/>
    </xf>
    <xf numFmtId="0" fontId="32" fillId="0" borderId="119" xfId="0" applyFont="1" applyFill="1" applyBorder="1" applyAlignment="1">
      <alignment horizontal="right" vertical="center"/>
    </xf>
    <xf numFmtId="0" fontId="83" fillId="2" borderId="10" xfId="0" applyFont="1" applyFill="1" applyBorder="1" applyAlignment="1">
      <alignment horizontal="center"/>
    </xf>
    <xf numFmtId="0" fontId="38" fillId="0" borderId="11" xfId="0" applyFont="1" applyBorder="1" applyAlignment="1">
      <alignment horizontal="center" vertical="center"/>
    </xf>
    <xf numFmtId="0" fontId="38" fillId="0" borderId="43" xfId="0" applyFont="1" applyBorder="1" applyAlignment="1">
      <alignment horizontal="center" vertical="center"/>
    </xf>
    <xf numFmtId="0" fontId="38" fillId="0" borderId="11" xfId="0" applyFont="1" applyBorder="1" applyAlignment="1">
      <alignment horizontal="center"/>
    </xf>
    <xf numFmtId="0" fontId="38" fillId="0" borderId="43" xfId="0" applyFont="1" applyBorder="1" applyAlignment="1">
      <alignment horizontal="center"/>
    </xf>
    <xf numFmtId="1" fontId="32" fillId="0" borderId="120" xfId="0" applyNumberFormat="1" applyFont="1" applyFill="1" applyBorder="1" applyAlignment="1">
      <alignment horizontal="center" vertical="center" wrapText="1"/>
    </xf>
    <xf numFmtId="1" fontId="32" fillId="0" borderId="121" xfId="0" applyNumberFormat="1" applyFont="1" applyFill="1" applyBorder="1" applyAlignment="1">
      <alignment horizontal="center" vertical="center" wrapText="1"/>
    </xf>
    <xf numFmtId="1" fontId="32" fillId="0" borderId="122" xfId="0" applyNumberFormat="1" applyFont="1" applyFill="1" applyBorder="1" applyAlignment="1">
      <alignment horizontal="center" vertical="center" wrapText="1"/>
    </xf>
    <xf numFmtId="0" fontId="32" fillId="39" borderId="46" xfId="0" applyFont="1" applyFill="1" applyBorder="1" applyAlignment="1">
      <alignment horizontal="left" vertical="center"/>
    </xf>
    <xf numFmtId="0" fontId="32" fillId="39" borderId="34" xfId="0" applyFont="1" applyFill="1" applyBorder="1" applyAlignment="1">
      <alignment horizontal="left" vertical="center"/>
    </xf>
    <xf numFmtId="0" fontId="32" fillId="39" borderId="75" xfId="0" applyFont="1" applyFill="1" applyBorder="1" applyAlignment="1">
      <alignment horizontal="left" vertical="center"/>
    </xf>
    <xf numFmtId="0" fontId="30" fillId="0" borderId="31" xfId="0" applyFont="1" applyFill="1" applyBorder="1" applyAlignment="1">
      <alignment horizontal="left" vertical="center" wrapText="1"/>
    </xf>
    <xf numFmtId="0" fontId="30" fillId="0" borderId="24" xfId="0" applyFont="1" applyFill="1" applyBorder="1" applyAlignment="1">
      <alignment horizontal="left" vertical="center" wrapText="1"/>
    </xf>
    <xf numFmtId="0" fontId="30" fillId="0" borderId="74" xfId="0" applyFont="1" applyFill="1" applyBorder="1" applyAlignment="1">
      <alignment horizontal="left" vertical="center" wrapText="1"/>
    </xf>
    <xf numFmtId="0" fontId="30" fillId="0" borderId="31" xfId="0" applyFont="1" applyFill="1" applyBorder="1" applyAlignment="1">
      <alignment horizontal="left" vertical="center"/>
    </xf>
    <xf numFmtId="0" fontId="30" fillId="0" borderId="24" xfId="0" applyFont="1" applyFill="1" applyBorder="1" applyAlignment="1">
      <alignment horizontal="left" vertical="center"/>
    </xf>
    <xf numFmtId="0" fontId="30" fillId="0" borderId="74" xfId="0" applyFont="1" applyFill="1" applyBorder="1" applyAlignment="1">
      <alignment horizontal="left" vertical="center"/>
    </xf>
    <xf numFmtId="0" fontId="32" fillId="0" borderId="31" xfId="0" applyFont="1" applyFill="1" applyBorder="1" applyAlignment="1">
      <alignment horizontal="left" vertical="center"/>
    </xf>
    <xf numFmtId="0" fontId="32" fillId="0" borderId="24" xfId="0" applyFont="1" applyFill="1" applyBorder="1" applyAlignment="1">
      <alignment horizontal="left" vertical="center"/>
    </xf>
    <xf numFmtId="0" fontId="32" fillId="0" borderId="74" xfId="0" applyFont="1" applyFill="1" applyBorder="1" applyAlignment="1">
      <alignment horizontal="left" vertical="center"/>
    </xf>
    <xf numFmtId="0" fontId="32" fillId="37" borderId="18" xfId="54" applyFont="1" applyFill="1" applyBorder="1" applyAlignment="1">
      <alignment horizontal="center" vertical="center"/>
      <protection/>
    </xf>
    <xf numFmtId="0" fontId="32" fillId="37" borderId="19" xfId="54" applyFont="1" applyFill="1" applyBorder="1" applyAlignment="1">
      <alignment horizontal="center" vertical="center"/>
      <protection/>
    </xf>
    <xf numFmtId="0" fontId="32" fillId="37" borderId="20" xfId="54" applyFont="1" applyFill="1" applyBorder="1" applyAlignment="1">
      <alignment horizontal="center" vertical="center"/>
      <protection/>
    </xf>
    <xf numFmtId="0" fontId="32" fillId="37" borderId="44" xfId="54" applyFont="1" applyFill="1" applyBorder="1" applyAlignment="1">
      <alignment horizontal="center" vertical="center"/>
      <protection/>
    </xf>
    <xf numFmtId="0" fontId="32" fillId="37" borderId="0" xfId="54" applyFont="1" applyFill="1" applyBorder="1" applyAlignment="1">
      <alignment horizontal="center" vertical="center"/>
      <protection/>
    </xf>
    <xf numFmtId="0" fontId="32" fillId="37" borderId="45" xfId="54" applyFont="1" applyFill="1" applyBorder="1" applyAlignment="1">
      <alignment horizontal="center" vertical="center"/>
      <protection/>
    </xf>
    <xf numFmtId="0" fontId="30" fillId="37" borderId="44" xfId="54" applyFont="1" applyFill="1" applyBorder="1" applyAlignment="1">
      <alignment horizontal="center" vertical="center"/>
      <protection/>
    </xf>
    <xf numFmtId="0" fontId="30" fillId="37" borderId="0" xfId="54" applyFont="1" applyFill="1" applyBorder="1" applyAlignment="1">
      <alignment horizontal="center" vertical="center"/>
      <protection/>
    </xf>
    <xf numFmtId="0" fontId="30" fillId="37" borderId="45" xfId="54" applyFont="1" applyFill="1" applyBorder="1" applyAlignment="1">
      <alignment horizontal="center" vertical="center"/>
      <protection/>
    </xf>
    <xf numFmtId="0" fontId="32" fillId="37" borderId="123" xfId="54" applyFont="1" applyFill="1" applyBorder="1" applyAlignment="1">
      <alignment horizontal="center" vertical="center"/>
      <protection/>
    </xf>
    <xf numFmtId="0" fontId="32" fillId="37" borderId="124" xfId="54" applyFont="1" applyFill="1" applyBorder="1" applyAlignment="1">
      <alignment horizontal="center" vertical="center"/>
      <protection/>
    </xf>
    <xf numFmtId="0" fontId="32" fillId="37" borderId="125" xfId="54" applyFont="1" applyFill="1" applyBorder="1" applyAlignment="1">
      <alignment horizontal="center" vertical="center"/>
      <protection/>
    </xf>
    <xf numFmtId="0" fontId="32" fillId="14" borderId="95" xfId="0" applyFont="1" applyFill="1" applyBorder="1" applyAlignment="1">
      <alignment horizontal="center" vertical="center"/>
    </xf>
    <xf numFmtId="0" fontId="32" fillId="14" borderId="126" xfId="0" applyFont="1" applyFill="1" applyBorder="1" applyAlignment="1">
      <alignment horizontal="center" vertical="center"/>
    </xf>
    <xf numFmtId="0" fontId="77" fillId="37" borderId="44" xfId="0" applyFont="1" applyFill="1" applyBorder="1" applyAlignment="1">
      <alignment horizontal="center"/>
    </xf>
    <xf numFmtId="0" fontId="77" fillId="37" borderId="0" xfId="0" applyFont="1" applyFill="1" applyBorder="1" applyAlignment="1">
      <alignment horizontal="center"/>
    </xf>
    <xf numFmtId="0" fontId="77" fillId="37" borderId="45" xfId="0" applyFont="1" applyFill="1" applyBorder="1" applyAlignment="1">
      <alignment horizontal="center"/>
    </xf>
    <xf numFmtId="0" fontId="76" fillId="37" borderId="44" xfId="0" applyFont="1" applyFill="1" applyBorder="1" applyAlignment="1">
      <alignment horizontal="center"/>
    </xf>
    <xf numFmtId="0" fontId="76" fillId="37" borderId="0" xfId="0" applyFont="1" applyFill="1" applyBorder="1" applyAlignment="1">
      <alignment horizontal="center"/>
    </xf>
    <xf numFmtId="0" fontId="76" fillId="37" borderId="45" xfId="0" applyFont="1" applyFill="1" applyBorder="1" applyAlignment="1">
      <alignment horizontal="center"/>
    </xf>
    <xf numFmtId="0" fontId="76" fillId="37" borderId="44" xfId="0" applyFont="1" applyFill="1" applyBorder="1" applyAlignment="1">
      <alignment horizontal="center" vertical="center"/>
    </xf>
    <xf numFmtId="0" fontId="76" fillId="37" borderId="0" xfId="0" applyFont="1" applyFill="1" applyBorder="1" applyAlignment="1">
      <alignment horizontal="center" vertical="center"/>
    </xf>
    <xf numFmtId="0" fontId="76" fillId="37" borderId="45" xfId="0" applyFont="1" applyFill="1" applyBorder="1" applyAlignment="1">
      <alignment horizontal="center" vertical="center"/>
    </xf>
    <xf numFmtId="0" fontId="77" fillId="37" borderId="47" xfId="0" applyFont="1" applyFill="1" applyBorder="1" applyAlignment="1">
      <alignment horizontal="center" vertical="center"/>
    </xf>
    <xf numFmtId="0" fontId="77" fillId="37" borderId="85" xfId="0" applyFont="1" applyFill="1" applyBorder="1" applyAlignment="1">
      <alignment horizontal="center" vertical="center"/>
    </xf>
    <xf numFmtId="0" fontId="77" fillId="37" borderId="86" xfId="0" applyFont="1" applyFill="1" applyBorder="1" applyAlignment="1">
      <alignment horizontal="center" vertical="center"/>
    </xf>
    <xf numFmtId="167" fontId="32" fillId="14" borderId="98" xfId="60" applyNumberFormat="1" applyFont="1" applyFill="1" applyBorder="1" applyAlignment="1">
      <alignment horizontal="center" vertical="center" wrapText="1"/>
      <protection/>
    </xf>
    <xf numFmtId="167" fontId="32" fillId="0" borderId="127" xfId="60" applyNumberFormat="1" applyFont="1" applyFill="1" applyBorder="1" applyAlignment="1">
      <alignment horizontal="center" vertical="center" wrapText="1"/>
      <protection/>
    </xf>
    <xf numFmtId="167" fontId="32" fillId="0" borderId="128" xfId="60" applyNumberFormat="1" applyFont="1" applyFill="1" applyBorder="1" applyAlignment="1">
      <alignment horizontal="center" vertical="center" wrapText="1"/>
      <protection/>
    </xf>
    <xf numFmtId="167" fontId="32" fillId="0" borderId="129" xfId="60" applyNumberFormat="1" applyFont="1" applyFill="1" applyBorder="1" applyAlignment="1">
      <alignment horizontal="center" vertical="center" wrapText="1"/>
      <protection/>
    </xf>
    <xf numFmtId="0" fontId="32" fillId="2" borderId="61" xfId="54" applyFont="1" applyFill="1" applyBorder="1" applyAlignment="1">
      <alignment horizontal="center" vertical="center"/>
      <protection/>
    </xf>
    <xf numFmtId="0" fontId="32" fillId="2" borderId="12" xfId="54" applyFont="1" applyFill="1" applyBorder="1" applyAlignment="1">
      <alignment horizontal="center" vertical="center"/>
      <protection/>
    </xf>
    <xf numFmtId="0" fontId="32" fillId="2" borderId="72" xfId="54" applyFont="1" applyFill="1" applyBorder="1" applyAlignment="1">
      <alignment horizontal="center" vertical="center"/>
      <protection/>
    </xf>
    <xf numFmtId="0" fontId="30" fillId="0" borderId="11" xfId="60" applyFont="1" applyBorder="1" applyAlignment="1">
      <alignment horizontal="center" vertical="center"/>
      <protection/>
    </xf>
    <xf numFmtId="0" fontId="30" fillId="0" borderId="43" xfId="60" applyFont="1" applyBorder="1" applyAlignment="1">
      <alignment horizontal="center" vertical="center"/>
      <protection/>
    </xf>
    <xf numFmtId="0" fontId="30" fillId="0" borderId="11" xfId="60" applyFont="1" applyFill="1" applyBorder="1" applyAlignment="1">
      <alignment horizontal="center" vertical="center" wrapText="1"/>
      <protection/>
    </xf>
    <xf numFmtId="0" fontId="30" fillId="0" borderId="43" xfId="60" applyFont="1" applyFill="1" applyBorder="1" applyAlignment="1">
      <alignment horizontal="center" vertical="center" wrapText="1"/>
      <protection/>
    </xf>
    <xf numFmtId="167" fontId="30" fillId="35" borderId="13" xfId="60" applyNumberFormat="1" applyFont="1" applyFill="1" applyBorder="1" applyAlignment="1">
      <alignment horizontal="right" vertical="center"/>
      <protection/>
    </xf>
    <xf numFmtId="167" fontId="30" fillId="35" borderId="10" xfId="60" applyNumberFormat="1" applyFont="1" applyFill="1" applyBorder="1" applyAlignment="1">
      <alignment horizontal="right" vertical="center"/>
      <protection/>
    </xf>
    <xf numFmtId="167" fontId="30" fillId="35" borderId="10" xfId="60" applyNumberFormat="1" applyFont="1" applyFill="1" applyBorder="1" applyAlignment="1">
      <alignment horizontal="center" vertical="center"/>
      <protection/>
    </xf>
    <xf numFmtId="167" fontId="30" fillId="35" borderId="14" xfId="60" applyNumberFormat="1" applyFont="1" applyFill="1" applyBorder="1" applyAlignment="1">
      <alignment horizontal="center" vertical="center"/>
      <protection/>
    </xf>
    <xf numFmtId="0" fontId="32" fillId="2" borderId="81" xfId="54" applyFont="1" applyFill="1" applyBorder="1" applyAlignment="1">
      <alignment horizontal="center" vertical="center"/>
      <protection/>
    </xf>
    <xf numFmtId="0" fontId="32" fillId="2" borderId="102" xfId="54" applyFont="1" applyFill="1" applyBorder="1" applyAlignment="1">
      <alignment horizontal="center" vertical="center"/>
      <protection/>
    </xf>
    <xf numFmtId="0" fontId="32" fillId="2" borderId="130" xfId="54" applyFont="1" applyFill="1" applyBorder="1" applyAlignment="1">
      <alignment horizontal="center" vertical="center"/>
      <protection/>
    </xf>
    <xf numFmtId="0" fontId="30" fillId="0" borderId="11" xfId="60" applyFont="1" applyFill="1" applyBorder="1" applyAlignment="1">
      <alignment horizontal="center" vertical="center"/>
      <protection/>
    </xf>
    <xf numFmtId="0" fontId="30" fillId="0" borderId="43" xfId="60" applyFont="1" applyFill="1" applyBorder="1" applyAlignment="1">
      <alignment horizontal="center" vertical="center"/>
      <protection/>
    </xf>
    <xf numFmtId="167" fontId="32" fillId="8" borderId="10" xfId="60" applyNumberFormat="1" applyFont="1" applyFill="1" applyBorder="1" applyAlignment="1">
      <alignment horizontal="left" vertical="center"/>
      <protection/>
    </xf>
    <xf numFmtId="167" fontId="30" fillId="35" borderId="61" xfId="60" applyNumberFormat="1" applyFont="1" applyFill="1" applyBorder="1" applyAlignment="1">
      <alignment horizontal="right" vertical="center"/>
      <protection/>
    </xf>
    <xf numFmtId="167" fontId="30" fillId="35" borderId="12" xfId="60" applyNumberFormat="1" applyFont="1" applyFill="1" applyBorder="1" applyAlignment="1">
      <alignment horizontal="right" vertical="center"/>
      <protection/>
    </xf>
    <xf numFmtId="167" fontId="30" fillId="35" borderId="43" xfId="60" applyNumberFormat="1" applyFont="1" applyFill="1" applyBorder="1" applyAlignment="1">
      <alignment horizontal="right" vertical="center"/>
      <protection/>
    </xf>
    <xf numFmtId="0" fontId="83" fillId="2" borderId="13" xfId="0" applyFont="1" applyFill="1" applyBorder="1" applyAlignment="1">
      <alignment horizontal="center"/>
    </xf>
    <xf numFmtId="0" fontId="83" fillId="2" borderId="14" xfId="0" applyFont="1" applyFill="1" applyBorder="1" applyAlignment="1">
      <alignment horizontal="center"/>
    </xf>
    <xf numFmtId="0" fontId="30" fillId="0" borderId="61" xfId="0" applyFont="1" applyBorder="1" applyAlignment="1">
      <alignment horizontal="center" vertical="center"/>
    </xf>
    <xf numFmtId="0" fontId="30" fillId="0" borderId="43" xfId="0" applyFont="1" applyBorder="1" applyAlignment="1">
      <alignment horizontal="center" vertical="center"/>
    </xf>
    <xf numFmtId="0" fontId="30" fillId="0" borderId="11" xfId="0" applyFont="1" applyBorder="1" applyAlignment="1">
      <alignment horizontal="center"/>
    </xf>
    <xf numFmtId="0" fontId="30" fillId="0" borderId="43" xfId="0" applyFont="1" applyBorder="1" applyAlignment="1">
      <alignment horizontal="center"/>
    </xf>
    <xf numFmtId="0" fontId="78" fillId="0" borderId="13" xfId="0" applyFont="1" applyBorder="1" applyAlignment="1">
      <alignment horizontal="left" vertical="center"/>
    </xf>
    <xf numFmtId="0" fontId="78" fillId="0" borderId="10" xfId="0" applyFont="1" applyBorder="1" applyAlignment="1">
      <alignment horizontal="left" vertical="center"/>
    </xf>
    <xf numFmtId="0" fontId="78" fillId="0" borderId="15" xfId="0" applyFont="1" applyBorder="1" applyAlignment="1">
      <alignment horizontal="left" vertical="center" wrapText="1"/>
    </xf>
    <xf numFmtId="0" fontId="78" fillId="0" borderId="16" xfId="0" applyFont="1" applyBorder="1" applyAlignment="1">
      <alignment horizontal="left" vertical="center" wrapText="1"/>
    </xf>
    <xf numFmtId="167" fontId="32" fillId="0" borderId="13" xfId="60" applyNumberFormat="1" applyFont="1" applyBorder="1" applyAlignment="1">
      <alignment horizontal="center" vertical="center"/>
      <protection/>
    </xf>
    <xf numFmtId="167" fontId="32" fillId="0" borderId="10" xfId="60" applyNumberFormat="1" applyFont="1" applyBorder="1" applyAlignment="1">
      <alignment horizontal="center" vertical="center"/>
      <protection/>
    </xf>
    <xf numFmtId="167" fontId="32" fillId="0" borderId="14" xfId="60" applyNumberFormat="1" applyFont="1" applyBorder="1" applyAlignment="1">
      <alignment horizontal="center" vertical="center"/>
      <protection/>
    </xf>
    <xf numFmtId="167" fontId="30" fillId="0" borderId="10" xfId="60" applyNumberFormat="1" applyFont="1" applyBorder="1" applyAlignment="1">
      <alignment horizontal="left" vertical="center"/>
      <protection/>
    </xf>
    <xf numFmtId="167" fontId="32" fillId="0" borderId="10" xfId="60" applyNumberFormat="1" applyFont="1" applyBorder="1" applyAlignment="1">
      <alignment horizontal="left" vertical="center"/>
      <protection/>
    </xf>
    <xf numFmtId="0" fontId="32" fillId="14" borderId="95" xfId="0" applyFont="1" applyFill="1" applyBorder="1" applyAlignment="1">
      <alignment horizontal="center" vertical="center" wrapText="1"/>
    </xf>
    <xf numFmtId="0" fontId="32" fillId="14" borderId="96" xfId="0" applyFont="1" applyFill="1" applyBorder="1" applyAlignment="1">
      <alignment horizontal="center" vertical="center" wrapText="1"/>
    </xf>
    <xf numFmtId="0" fontId="32" fillId="14" borderId="131" xfId="0" applyFont="1" applyFill="1" applyBorder="1" applyAlignment="1">
      <alignment horizontal="center" vertical="center" wrapText="1"/>
    </xf>
    <xf numFmtId="0" fontId="0" fillId="37" borderId="10" xfId="0" applyFill="1" applyBorder="1" applyAlignment="1">
      <alignment horizontal="center"/>
    </xf>
    <xf numFmtId="0" fontId="75" fillId="37" borderId="10" xfId="0" applyFont="1" applyFill="1" applyBorder="1" applyAlignment="1">
      <alignment horizontal="center"/>
    </xf>
    <xf numFmtId="0" fontId="75" fillId="37" borderId="10" xfId="0" applyFont="1" applyFill="1" applyBorder="1" applyAlignment="1">
      <alignment horizontal="center" wrapText="1"/>
    </xf>
    <xf numFmtId="0" fontId="0" fillId="0" borderId="10" xfId="0" applyBorder="1" applyAlignment="1">
      <alignment horizontal="center"/>
    </xf>
    <xf numFmtId="0" fontId="32" fillId="0" borderId="76" xfId="0" applyFont="1" applyFill="1" applyBorder="1" applyAlignment="1">
      <alignment horizontal="right" vertical="center"/>
    </xf>
    <xf numFmtId="0" fontId="75" fillId="0" borderId="102" xfId="0" applyFont="1" applyBorder="1" applyAlignment="1">
      <alignment horizontal="center" wrapText="1"/>
    </xf>
    <xf numFmtId="0" fontId="75" fillId="11" borderId="11" xfId="0" applyFont="1" applyFill="1" applyBorder="1" applyAlignment="1">
      <alignment horizontal="center" vertical="center" wrapText="1"/>
    </xf>
    <xf numFmtId="0" fontId="75" fillId="11" borderId="12" xfId="0" applyFont="1" applyFill="1" applyBorder="1" applyAlignment="1">
      <alignment horizontal="center" vertical="center" wrapText="1"/>
    </xf>
    <xf numFmtId="0" fontId="75" fillId="11" borderId="43" xfId="0" applyFont="1" applyFill="1" applyBorder="1" applyAlignment="1">
      <alignment horizontal="center" vertical="center" wrapText="1"/>
    </xf>
    <xf numFmtId="0" fontId="75" fillId="11" borderId="10" xfId="0" applyFont="1" applyFill="1" applyBorder="1" applyAlignment="1">
      <alignment horizontal="center" wrapText="1"/>
    </xf>
    <xf numFmtId="0" fontId="50" fillId="0" borderId="11" xfId="0" applyFont="1" applyBorder="1" applyAlignment="1">
      <alignment horizontal="center" vertical="center"/>
    </xf>
    <xf numFmtId="0" fontId="50" fillId="0" borderId="43" xfId="0" applyFont="1" applyBorder="1" applyAlignment="1">
      <alignment horizontal="center" vertical="center"/>
    </xf>
    <xf numFmtId="0" fontId="81" fillId="0" borderId="10" xfId="0" applyFont="1" applyBorder="1" applyAlignment="1">
      <alignment horizontal="center" vertical="center"/>
    </xf>
    <xf numFmtId="0" fontId="82" fillId="0" borderId="10" xfId="0" applyFont="1" applyBorder="1" applyAlignment="1">
      <alignment horizontal="right" vertical="center"/>
    </xf>
    <xf numFmtId="167" fontId="30" fillId="0" borderId="132" xfId="60" applyNumberFormat="1" applyFont="1" applyBorder="1" applyAlignment="1">
      <alignment horizontal="center" vertical="center"/>
      <protection/>
    </xf>
    <xf numFmtId="167" fontId="30" fillId="0" borderId="133" xfId="60" applyNumberFormat="1" applyFont="1" applyBorder="1" applyAlignment="1">
      <alignment horizontal="center" vertical="center"/>
      <protection/>
    </xf>
    <xf numFmtId="0" fontId="32" fillId="39" borderId="81" xfId="0" applyFont="1" applyFill="1" applyBorder="1" applyAlignment="1">
      <alignment horizontal="center" vertical="center"/>
    </xf>
    <xf numFmtId="0" fontId="32" fillId="39" borderId="102" xfId="0" applyFont="1" applyFill="1" applyBorder="1" applyAlignment="1">
      <alignment horizontal="center" vertical="center"/>
    </xf>
    <xf numFmtId="0" fontId="32" fillId="39" borderId="130" xfId="0" applyFont="1" applyFill="1" applyBorder="1" applyAlignment="1">
      <alignment horizontal="center" vertical="center"/>
    </xf>
    <xf numFmtId="167" fontId="30" fillId="0" borderId="46" xfId="60" applyNumberFormat="1" applyFont="1" applyBorder="1" applyAlignment="1">
      <alignment horizontal="center" vertical="center"/>
      <protection/>
    </xf>
    <xf numFmtId="167" fontId="30" fillId="0" borderId="134" xfId="60" applyNumberFormat="1" applyFont="1" applyBorder="1" applyAlignment="1">
      <alignment horizontal="center" vertical="center"/>
      <protection/>
    </xf>
    <xf numFmtId="0" fontId="32" fillId="39" borderId="81" xfId="0" applyFont="1" applyFill="1" applyBorder="1" applyAlignment="1">
      <alignment horizontal="center" vertical="center" wrapText="1"/>
    </xf>
    <xf numFmtId="0" fontId="32" fillId="39" borderId="102" xfId="0" applyFont="1" applyFill="1" applyBorder="1" applyAlignment="1">
      <alignment horizontal="center" vertical="center" wrapText="1"/>
    </xf>
    <xf numFmtId="0" fontId="32" fillId="39" borderId="130" xfId="0" applyFont="1" applyFill="1" applyBorder="1" applyAlignment="1">
      <alignment horizontal="center" vertical="center" wrapText="1"/>
    </xf>
    <xf numFmtId="1" fontId="32" fillId="0" borderId="127" xfId="0" applyNumberFormat="1" applyFont="1" applyFill="1" applyBorder="1" applyAlignment="1">
      <alignment horizontal="center" vertical="center" wrapText="1"/>
    </xf>
    <xf numFmtId="1" fontId="32" fillId="0" borderId="128" xfId="0" applyNumberFormat="1" applyFont="1" applyFill="1" applyBorder="1" applyAlignment="1">
      <alignment horizontal="center" vertical="center" wrapText="1"/>
    </xf>
    <xf numFmtId="1" fontId="32" fillId="0" borderId="129" xfId="0" applyNumberFormat="1" applyFont="1" applyFill="1" applyBorder="1" applyAlignment="1">
      <alignment horizontal="center" vertical="center" wrapText="1"/>
    </xf>
    <xf numFmtId="0" fontId="32" fillId="39" borderId="61" xfId="0" applyFont="1" applyFill="1" applyBorder="1" applyAlignment="1">
      <alignment horizontal="center" vertical="center"/>
    </xf>
    <xf numFmtId="0" fontId="32" fillId="39" borderId="12" xfId="0" applyFont="1" applyFill="1" applyBorder="1" applyAlignment="1">
      <alignment horizontal="center" vertical="center"/>
    </xf>
    <xf numFmtId="0" fontId="32" fillId="39" borderId="72" xfId="0" applyFont="1" applyFill="1" applyBorder="1" applyAlignment="1">
      <alignment horizontal="center" vertical="center"/>
    </xf>
    <xf numFmtId="0" fontId="32" fillId="37" borderId="85" xfId="54" applyFont="1" applyFill="1" applyBorder="1" applyAlignment="1">
      <alignment horizontal="center" vertical="center"/>
      <protection/>
    </xf>
    <xf numFmtId="0" fontId="32" fillId="37" borderId="86" xfId="54" applyFont="1" applyFill="1" applyBorder="1" applyAlignment="1">
      <alignment horizontal="center" vertical="center"/>
      <protection/>
    </xf>
    <xf numFmtId="167" fontId="32" fillId="14" borderId="135" xfId="60" applyNumberFormat="1" applyFont="1" applyFill="1" applyBorder="1" applyAlignment="1">
      <alignment horizontal="center" vertical="center" wrapText="1"/>
      <protection/>
    </xf>
    <xf numFmtId="167" fontId="32" fillId="14" borderId="136" xfId="60" applyNumberFormat="1" applyFont="1" applyFill="1" applyBorder="1" applyAlignment="1">
      <alignment horizontal="center" vertical="center" wrapText="1"/>
      <protection/>
    </xf>
    <xf numFmtId="167" fontId="32" fillId="8" borderId="16" xfId="60" applyNumberFormat="1" applyFont="1" applyFill="1" applyBorder="1" applyAlignment="1">
      <alignment horizontal="left" vertical="center"/>
      <protection/>
    </xf>
    <xf numFmtId="167" fontId="32" fillId="35" borderId="78" xfId="60" applyNumberFormat="1" applyFont="1" applyFill="1" applyBorder="1" applyAlignment="1">
      <alignment horizontal="right" vertical="center"/>
      <protection/>
    </xf>
    <xf numFmtId="167" fontId="32" fillId="35" borderId="90" xfId="60" applyNumberFormat="1" applyFont="1" applyFill="1" applyBorder="1" applyAlignment="1">
      <alignment horizontal="right" vertical="center"/>
      <protection/>
    </xf>
    <xf numFmtId="167" fontId="32" fillId="35" borderId="90" xfId="60" applyNumberFormat="1" applyFont="1" applyFill="1" applyBorder="1" applyAlignment="1">
      <alignment horizontal="center" vertical="center"/>
      <protection/>
    </xf>
    <xf numFmtId="167" fontId="32" fillId="35" borderId="83" xfId="60" applyNumberFormat="1" applyFont="1" applyFill="1" applyBorder="1" applyAlignment="1">
      <alignment horizontal="center" vertical="center"/>
      <protection/>
    </xf>
    <xf numFmtId="167" fontId="32" fillId="0" borderId="81" xfId="60" applyNumberFormat="1" applyFont="1" applyBorder="1" applyAlignment="1">
      <alignment horizontal="center" vertical="center"/>
      <protection/>
    </xf>
    <xf numFmtId="167" fontId="32" fillId="0" borderId="102" xfId="60" applyNumberFormat="1" applyFont="1" applyBorder="1" applyAlignment="1">
      <alignment horizontal="center" vertical="center"/>
      <protection/>
    </xf>
    <xf numFmtId="167" fontId="32" fillId="0" borderId="130" xfId="60" applyNumberFormat="1" applyFont="1" applyBorder="1" applyAlignment="1">
      <alignment horizontal="center" vertical="center"/>
      <protection/>
    </xf>
    <xf numFmtId="167" fontId="32" fillId="0" borderId="120" xfId="60" applyNumberFormat="1" applyFont="1" applyFill="1" applyBorder="1" applyAlignment="1">
      <alignment horizontal="center" vertical="center" wrapText="1"/>
      <protection/>
    </xf>
    <xf numFmtId="167" fontId="32" fillId="0" borderId="121" xfId="60" applyNumberFormat="1" applyFont="1" applyFill="1" applyBorder="1" applyAlignment="1">
      <alignment horizontal="center" vertical="center" wrapText="1"/>
      <protection/>
    </xf>
    <xf numFmtId="167" fontId="32" fillId="0" borderId="122" xfId="60" applyNumberFormat="1" applyFont="1" applyFill="1" applyBorder="1" applyAlignment="1">
      <alignment horizontal="center" vertical="center" wrapText="1"/>
      <protection/>
    </xf>
    <xf numFmtId="0" fontId="84" fillId="37" borderId="18" xfId="0" applyFont="1" applyFill="1" applyBorder="1" applyAlignment="1">
      <alignment horizontal="center" vertical="center"/>
    </xf>
    <xf numFmtId="0" fontId="84" fillId="37" borderId="19" xfId="0" applyFont="1" applyFill="1" applyBorder="1" applyAlignment="1">
      <alignment horizontal="center" vertical="center"/>
    </xf>
    <xf numFmtId="0" fontId="84" fillId="37" borderId="20" xfId="0" applyFont="1" applyFill="1" applyBorder="1" applyAlignment="1">
      <alignment horizontal="center" vertical="center"/>
    </xf>
    <xf numFmtId="0" fontId="80" fillId="37" borderId="44" xfId="0" applyFont="1" applyFill="1" applyBorder="1" applyAlignment="1">
      <alignment horizontal="center" vertical="center"/>
    </xf>
    <xf numFmtId="0" fontId="80" fillId="37" borderId="0" xfId="0" applyFont="1" applyFill="1" applyBorder="1" applyAlignment="1">
      <alignment horizontal="center" vertical="center"/>
    </xf>
    <xf numFmtId="0" fontId="80" fillId="37" borderId="45" xfId="0" applyFont="1" applyFill="1" applyBorder="1" applyAlignment="1">
      <alignment horizontal="center" vertical="center"/>
    </xf>
    <xf numFmtId="0" fontId="79" fillId="37" borderId="44" xfId="0" applyFont="1" applyFill="1" applyBorder="1" applyAlignment="1">
      <alignment horizontal="center" vertical="center"/>
    </xf>
    <xf numFmtId="0" fontId="79" fillId="37" borderId="0" xfId="0" applyFont="1" applyFill="1" applyBorder="1" applyAlignment="1">
      <alignment horizontal="center" vertical="center"/>
    </xf>
    <xf numFmtId="0" fontId="79" fillId="37" borderId="45" xfId="0" applyFont="1" applyFill="1" applyBorder="1" applyAlignment="1">
      <alignment horizontal="center" vertical="center"/>
    </xf>
    <xf numFmtId="0" fontId="84" fillId="37" borderId="47" xfId="0" applyFont="1" applyFill="1" applyBorder="1" applyAlignment="1">
      <alignment horizontal="center" vertical="center"/>
    </xf>
    <xf numFmtId="0" fontId="84" fillId="37" borderId="85" xfId="0" applyFont="1" applyFill="1" applyBorder="1" applyAlignment="1">
      <alignment horizontal="center" vertical="center"/>
    </xf>
    <xf numFmtId="0" fontId="84" fillId="37" borderId="86" xfId="0" applyFont="1" applyFill="1" applyBorder="1" applyAlignment="1">
      <alignment horizontal="center" vertical="center"/>
    </xf>
    <xf numFmtId="0" fontId="80" fillId="14" borderId="97" xfId="0" applyFont="1" applyFill="1" applyBorder="1" applyAlignment="1">
      <alignment horizontal="center" vertical="center"/>
    </xf>
    <xf numFmtId="0" fontId="80" fillId="14" borderId="98" xfId="0" applyFont="1" applyFill="1" applyBorder="1" applyAlignment="1">
      <alignment horizontal="center" vertical="center"/>
    </xf>
    <xf numFmtId="0" fontId="80" fillId="14" borderId="99" xfId="0" applyFont="1" applyFill="1" applyBorder="1" applyAlignment="1">
      <alignment horizontal="center" vertical="center"/>
    </xf>
    <xf numFmtId="0" fontId="80" fillId="0" borderId="120" xfId="0" applyFont="1" applyFill="1" applyBorder="1" applyAlignment="1">
      <alignment horizontal="center" vertical="center" wrapText="1"/>
    </xf>
    <xf numFmtId="0" fontId="80" fillId="0" borderId="121" xfId="0" applyFont="1" applyFill="1" applyBorder="1" applyAlignment="1">
      <alignment horizontal="center" vertical="center" wrapText="1"/>
    </xf>
    <xf numFmtId="0" fontId="80" fillId="0" borderId="122" xfId="0" applyFont="1" applyFill="1" applyBorder="1" applyAlignment="1">
      <alignment horizontal="center" vertical="center" wrapText="1"/>
    </xf>
    <xf numFmtId="0" fontId="80" fillId="39" borderId="52" xfId="0" applyFont="1" applyFill="1" applyBorder="1" applyAlignment="1">
      <alignment horizontal="center" vertical="center"/>
    </xf>
    <xf numFmtId="0" fontId="80" fillId="39" borderId="13" xfId="0" applyFont="1" applyFill="1" applyBorder="1" applyAlignment="1">
      <alignment horizontal="center" vertical="center"/>
    </xf>
    <xf numFmtId="0" fontId="80" fillId="39" borderId="0" xfId="0" applyFont="1" applyFill="1" applyBorder="1" applyAlignment="1">
      <alignment horizontal="center" vertical="center"/>
    </xf>
    <xf numFmtId="0" fontId="80" fillId="39" borderId="102" xfId="0" applyFont="1" applyFill="1" applyBorder="1" applyAlignment="1">
      <alignment horizontal="center" vertical="center"/>
    </xf>
    <xf numFmtId="0" fontId="80" fillId="39" borderId="84" xfId="0" applyFont="1" applyFill="1" applyBorder="1" applyAlignment="1">
      <alignment horizontal="center" vertical="center"/>
    </xf>
    <xf numFmtId="0" fontId="80" fillId="39" borderId="87" xfId="0" applyFont="1" applyFill="1" applyBorder="1" applyAlignment="1">
      <alignment horizontal="center" vertical="center"/>
    </xf>
    <xf numFmtId="0" fontId="80" fillId="39" borderId="130" xfId="0" applyFont="1" applyFill="1" applyBorder="1" applyAlignment="1">
      <alignment horizontal="center" vertical="center"/>
    </xf>
    <xf numFmtId="0" fontId="80" fillId="0" borderId="61" xfId="0" applyFont="1" applyBorder="1" applyAlignment="1">
      <alignment horizontal="center" vertical="center"/>
    </xf>
    <xf numFmtId="0" fontId="80" fillId="0" borderId="12" xfId="0" applyFont="1" applyBorder="1" applyAlignment="1">
      <alignment horizontal="center" vertical="center"/>
    </xf>
    <xf numFmtId="0" fontId="80" fillId="0" borderId="43" xfId="0" applyFont="1" applyBorder="1" applyAlignment="1">
      <alignment horizontal="center" vertical="center"/>
    </xf>
    <xf numFmtId="0" fontId="80" fillId="0" borderId="81" xfId="0" applyFont="1" applyBorder="1" applyAlignment="1">
      <alignment horizontal="center" vertical="center"/>
    </xf>
    <xf numFmtId="0" fontId="80" fillId="0" borderId="102" xfId="0" applyFont="1" applyBorder="1" applyAlignment="1">
      <alignment horizontal="center" vertical="center"/>
    </xf>
    <xf numFmtId="0" fontId="80" fillId="0" borderId="87" xfId="0" applyFont="1" applyBorder="1" applyAlignment="1">
      <alignment horizontal="center" vertical="center"/>
    </xf>
    <xf numFmtId="0" fontId="80" fillId="35" borderId="15" xfId="0" applyFont="1" applyFill="1" applyBorder="1" applyAlignment="1">
      <alignment horizontal="center" vertical="center"/>
    </xf>
    <xf numFmtId="0" fontId="80" fillId="35" borderId="16" xfId="0" applyFont="1" applyFill="1" applyBorder="1" applyAlignment="1">
      <alignment horizontal="center" vertical="center"/>
    </xf>
    <xf numFmtId="0" fontId="79" fillId="0" borderId="0" xfId="0" applyFont="1" applyFill="1" applyBorder="1" applyAlignment="1">
      <alignment horizontal="left" vertical="center"/>
    </xf>
    <xf numFmtId="0" fontId="43" fillId="14" borderId="137" xfId="62" applyFont="1" applyFill="1" applyBorder="1" applyAlignment="1">
      <alignment horizontal="center" vertical="center" wrapText="1"/>
      <protection/>
    </xf>
    <xf numFmtId="0" fontId="43" fillId="14" borderId="138" xfId="62" applyFont="1" applyFill="1" applyBorder="1" applyAlignment="1">
      <alignment horizontal="center" vertical="center" wrapText="1"/>
      <protection/>
    </xf>
    <xf numFmtId="0" fontId="43" fillId="14" borderId="136" xfId="62" applyFont="1" applyFill="1" applyBorder="1" applyAlignment="1">
      <alignment horizontal="center" vertical="center" wrapText="1"/>
      <protection/>
    </xf>
    <xf numFmtId="0" fontId="43" fillId="0" borderId="120" xfId="62" applyFont="1" applyFill="1" applyBorder="1" applyAlignment="1">
      <alignment horizontal="center" vertical="center" wrapText="1"/>
      <protection/>
    </xf>
    <xf numFmtId="0" fontId="43" fillId="0" borderId="121" xfId="62" applyFont="1" applyFill="1" applyBorder="1" applyAlignment="1">
      <alignment horizontal="center" vertical="center" wrapText="1"/>
      <protection/>
    </xf>
    <xf numFmtId="0" fontId="43" fillId="0" borderId="122" xfId="62" applyFont="1" applyFill="1" applyBorder="1" applyAlignment="1">
      <alignment horizontal="center" vertical="center" wrapText="1"/>
      <protection/>
    </xf>
    <xf numFmtId="0" fontId="36" fillId="0" borderId="0" xfId="0" applyFont="1" applyAlignment="1">
      <alignment horizontal="left" wrapText="1"/>
    </xf>
    <xf numFmtId="0" fontId="36" fillId="0" borderId="45" xfId="0" applyFont="1" applyBorder="1" applyAlignment="1">
      <alignment horizontal="left" wrapText="1"/>
    </xf>
    <xf numFmtId="0" fontId="36" fillId="0" borderId="49" xfId="0" applyFont="1" applyBorder="1" applyAlignment="1">
      <alignment horizontal="left" wrapText="1"/>
    </xf>
    <xf numFmtId="0" fontId="36" fillId="0" borderId="65" xfId="0" applyFont="1" applyBorder="1" applyAlignment="1">
      <alignment horizontal="left" wrapText="1"/>
    </xf>
    <xf numFmtId="0" fontId="37" fillId="37" borderId="18" xfId="0" applyFont="1" applyFill="1" applyBorder="1" applyAlignment="1" applyProtection="1">
      <alignment horizontal="center" vertical="center"/>
      <protection locked="0"/>
    </xf>
    <xf numFmtId="0" fontId="37" fillId="37" borderId="19" xfId="0" applyFont="1" applyFill="1" applyBorder="1" applyAlignment="1" applyProtection="1">
      <alignment horizontal="center" vertical="center"/>
      <protection locked="0"/>
    </xf>
    <xf numFmtId="0" fontId="37" fillId="37" borderId="20" xfId="0" applyFont="1" applyFill="1" applyBorder="1" applyAlignment="1" applyProtection="1">
      <alignment horizontal="center" vertical="center"/>
      <protection locked="0"/>
    </xf>
    <xf numFmtId="2" fontId="43" fillId="37" borderId="44" xfId="63" applyNumberFormat="1" applyFont="1" applyFill="1" applyBorder="1" applyAlignment="1" applyProtection="1">
      <alignment horizontal="center" vertical="center"/>
      <protection locked="0"/>
    </xf>
    <xf numFmtId="2" fontId="43" fillId="37" borderId="0" xfId="63" applyNumberFormat="1" applyFont="1" applyFill="1" applyAlignment="1" applyProtection="1">
      <alignment horizontal="center" vertical="center"/>
      <protection locked="0"/>
    </xf>
    <xf numFmtId="2" fontId="43" fillId="37" borderId="45" xfId="63" applyNumberFormat="1" applyFont="1" applyFill="1" applyBorder="1" applyAlignment="1" applyProtection="1">
      <alignment horizontal="center" vertical="center"/>
      <protection locked="0"/>
    </xf>
    <xf numFmtId="2" fontId="36" fillId="37" borderId="44" xfId="63" applyNumberFormat="1" applyFont="1" applyFill="1" applyBorder="1" applyAlignment="1" applyProtection="1">
      <alignment horizontal="center" vertical="center"/>
      <protection locked="0"/>
    </xf>
    <xf numFmtId="2" fontId="36" fillId="37" borderId="0" xfId="63" applyNumberFormat="1" applyFont="1" applyFill="1" applyAlignment="1" applyProtection="1">
      <alignment horizontal="center" vertical="center"/>
      <protection locked="0"/>
    </xf>
    <xf numFmtId="2" fontId="36" fillId="37" borderId="45" xfId="63" applyNumberFormat="1" applyFont="1" applyFill="1" applyBorder="1" applyAlignment="1" applyProtection="1">
      <alignment horizontal="center" vertical="center"/>
      <protection locked="0"/>
    </xf>
    <xf numFmtId="0" fontId="38" fillId="37" borderId="85" xfId="63" applyFont="1" applyFill="1" applyBorder="1" applyAlignment="1" applyProtection="1">
      <alignment horizontal="center" vertical="center"/>
      <protection locked="0"/>
    </xf>
    <xf numFmtId="171" fontId="38" fillId="37" borderId="85" xfId="0" applyNumberFormat="1" applyFont="1" applyFill="1" applyBorder="1" applyAlignment="1" applyProtection="1">
      <alignment horizontal="center" vertical="center"/>
      <protection locked="0"/>
    </xf>
    <xf numFmtId="171" fontId="38" fillId="37" borderId="86" xfId="0" applyNumberFormat="1" applyFont="1" applyFill="1" applyBorder="1" applyAlignment="1" applyProtection="1">
      <alignment horizontal="center" vertical="center"/>
      <protection locked="0"/>
    </xf>
    <xf numFmtId="0" fontId="44" fillId="0" borderId="139" xfId="0" applyFont="1" applyFill="1" applyBorder="1" applyAlignment="1">
      <alignment/>
    </xf>
    <xf numFmtId="0" fontId="11" fillId="37" borderId="63" xfId="53" applyFont="1" applyFill="1" applyBorder="1" applyAlignment="1">
      <alignment vertical="center"/>
      <protection/>
    </xf>
    <xf numFmtId="0" fontId="11" fillId="37" borderId="140" xfId="53" applyFont="1" applyFill="1" applyBorder="1" applyAlignment="1">
      <alignment vertical="center"/>
      <protection/>
    </xf>
    <xf numFmtId="0" fontId="54" fillId="37" borderId="104" xfId="0" applyFont="1" applyFill="1" applyBorder="1" applyAlignment="1">
      <alignment horizontal="center" vertical="center" wrapText="1"/>
    </xf>
    <xf numFmtId="0" fontId="54" fillId="37" borderId="141" xfId="0" applyFont="1" applyFill="1" applyBorder="1" applyAlignment="1">
      <alignment horizontal="center" vertical="center" wrapText="1"/>
    </xf>
    <xf numFmtId="0" fontId="48" fillId="37" borderId="104" xfId="0" applyFont="1" applyFill="1" applyBorder="1" applyAlignment="1">
      <alignment horizontal="center" vertical="center" wrapText="1"/>
    </xf>
    <xf numFmtId="0" fontId="48" fillId="37" borderId="141" xfId="0" applyFont="1" applyFill="1" applyBorder="1" applyAlignment="1">
      <alignment horizontal="center" vertical="center" wrapText="1"/>
    </xf>
    <xf numFmtId="0" fontId="44" fillId="0" borderId="142" xfId="0" applyFont="1" applyFill="1" applyBorder="1" applyAlignment="1">
      <alignment/>
    </xf>
    <xf numFmtId="0" fontId="11" fillId="37" borderId="143" xfId="53" applyFont="1" applyFill="1" applyBorder="1" applyAlignment="1">
      <alignment vertical="center"/>
      <protection/>
    </xf>
    <xf numFmtId="0" fontId="54" fillId="14" borderId="142" xfId="0" applyFont="1" applyFill="1" applyBorder="1" applyAlignment="1">
      <alignment horizontal="center" vertical="center"/>
    </xf>
    <xf numFmtId="0" fontId="54" fillId="14" borderId="143" xfId="0" applyFont="1" applyFill="1" applyBorder="1" applyAlignment="1">
      <alignment horizontal="center" vertical="center"/>
    </xf>
    <xf numFmtId="0" fontId="11" fillId="0" borderId="144"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47" fillId="5" borderId="145" xfId="53" applyFont="1" applyFill="1" applyBorder="1" applyAlignment="1">
      <alignment horizontal="center" vertical="center" wrapText="1"/>
      <protection/>
    </xf>
    <xf numFmtId="0" fontId="47" fillId="5" borderId="52" xfId="53" applyFont="1" applyFill="1" applyBorder="1" applyAlignment="1">
      <alignment horizontal="center" vertical="center" wrapText="1"/>
      <protection/>
    </xf>
    <xf numFmtId="2" fontId="47" fillId="5" borderId="52" xfId="53" applyNumberFormat="1" applyFont="1" applyFill="1" applyBorder="1" applyAlignment="1">
      <alignment horizontal="center" vertical="center"/>
      <protection/>
    </xf>
    <xf numFmtId="167" fontId="47" fillId="5" borderId="97" xfId="72" applyNumberFormat="1" applyFont="1" applyFill="1" applyBorder="1" applyAlignment="1">
      <alignment horizontal="center" vertical="center"/>
    </xf>
    <xf numFmtId="0" fontId="54" fillId="0" borderId="142" xfId="53" applyFont="1" applyFill="1" applyBorder="1" applyAlignment="1">
      <alignment vertical="center"/>
      <protection/>
    </xf>
    <xf numFmtId="0" fontId="11" fillId="0" borderId="143" xfId="53" applyFont="1" applyFill="1" applyBorder="1" applyAlignment="1">
      <alignment horizontal="center" vertical="center"/>
      <protection/>
    </xf>
    <xf numFmtId="0" fontId="48" fillId="0" borderId="73" xfId="0" applyFont="1" applyFill="1" applyBorder="1" applyAlignment="1">
      <alignment horizontal="center" vertical="center"/>
    </xf>
    <xf numFmtId="4" fontId="44" fillId="0" borderId="146" xfId="53" applyNumberFormat="1" applyFont="1" applyFill="1" applyBorder="1" applyAlignment="1">
      <alignment horizontal="center" vertical="center"/>
      <protection/>
    </xf>
    <xf numFmtId="0" fontId="48" fillId="0" borderId="10" xfId="0" applyFont="1" applyFill="1" applyBorder="1" applyAlignment="1">
      <alignment horizontal="center" vertical="center"/>
    </xf>
    <xf numFmtId="4" fontId="44" fillId="0" borderId="10" xfId="53" applyNumberFormat="1" applyFont="1" applyFill="1" applyBorder="1" applyAlignment="1">
      <alignment horizontal="center" vertical="center"/>
      <protection/>
    </xf>
    <xf numFmtId="0" fontId="44" fillId="0" borderId="10" xfId="0" applyFont="1" applyFill="1" applyBorder="1" applyAlignment="1">
      <alignment horizontal="center" vertical="center"/>
    </xf>
    <xf numFmtId="0" fontId="44" fillId="0" borderId="80" xfId="0" applyFont="1" applyFill="1" applyBorder="1" applyAlignment="1">
      <alignment horizontal="center" vertical="center"/>
    </xf>
    <xf numFmtId="14" fontId="56" fillId="2" borderId="53" xfId="53" applyNumberFormat="1" applyFont="1" applyFill="1" applyBorder="1" applyAlignment="1">
      <alignment horizontal="center" vertical="center"/>
      <protection/>
    </xf>
    <xf numFmtId="14" fontId="56" fillId="2" borderId="54" xfId="53" applyNumberFormat="1" applyFont="1" applyFill="1" applyBorder="1" applyAlignment="1">
      <alignment horizontal="center" vertical="center"/>
      <protection/>
    </xf>
    <xf numFmtId="4" fontId="56" fillId="2" borderId="82" xfId="89" applyNumberFormat="1" applyFont="1" applyFill="1" applyBorder="1" applyAlignment="1">
      <alignment horizontal="center" vertical="center"/>
    </xf>
    <xf numFmtId="4" fontId="56" fillId="2" borderId="113" xfId="89" applyNumberFormat="1" applyFont="1" applyFill="1" applyBorder="1" applyAlignment="1">
      <alignment horizontal="center" vertical="center"/>
    </xf>
    <xf numFmtId="0" fontId="51" fillId="2" borderId="110" xfId="0" applyFont="1" applyFill="1" applyBorder="1" applyAlignment="1">
      <alignment horizontal="center" vertical="center"/>
    </xf>
    <xf numFmtId="0" fontId="51" fillId="2" borderId="82" xfId="0" applyFont="1" applyFill="1" applyBorder="1" applyAlignment="1">
      <alignment horizontal="center" vertical="center"/>
    </xf>
    <xf numFmtId="0" fontId="51" fillId="2" borderId="113" xfId="0" applyFont="1" applyFill="1" applyBorder="1" applyAlignment="1">
      <alignment horizontal="center" vertical="center"/>
    </xf>
    <xf numFmtId="0" fontId="51" fillId="2" borderId="13" xfId="0" applyFont="1" applyFill="1" applyBorder="1" applyAlignment="1">
      <alignment horizontal="center"/>
    </xf>
    <xf numFmtId="0" fontId="51" fillId="2" borderId="14" xfId="0" applyFont="1" applyFill="1" applyBorder="1" applyAlignment="1">
      <alignment horizontal="center"/>
    </xf>
    <xf numFmtId="0" fontId="51" fillId="2" borderId="43" xfId="0" applyFont="1" applyFill="1" applyBorder="1" applyAlignment="1">
      <alignment horizontal="center"/>
    </xf>
    <xf numFmtId="0" fontId="50" fillId="0" borderId="13" xfId="0" applyFont="1" applyBorder="1" applyAlignment="1">
      <alignment horizontal="center" vertical="center"/>
    </xf>
    <xf numFmtId="0" fontId="50" fillId="0" borderId="10" xfId="0" applyFont="1" applyBorder="1" applyAlignment="1">
      <alignment horizontal="justify" vertical="center" wrapText="1"/>
    </xf>
    <xf numFmtId="10" fontId="50" fillId="0" borderId="10" xfId="67" applyNumberFormat="1" applyFont="1" applyFill="1" applyBorder="1" applyAlignment="1" applyProtection="1">
      <alignment horizontal="center" vertical="center"/>
      <protection/>
    </xf>
    <xf numFmtId="191" fontId="50" fillId="0" borderId="14" xfId="76" applyFont="1" applyFill="1" applyBorder="1" applyAlignment="1" applyProtection="1">
      <alignment horizontal="center" vertical="center"/>
      <protection/>
    </xf>
    <xf numFmtId="10" fontId="38" fillId="0" borderId="13" xfId="67" applyNumberFormat="1" applyFont="1" applyFill="1" applyBorder="1" applyAlignment="1" applyProtection="1">
      <alignment horizontal="right" vertical="center"/>
      <protection/>
    </xf>
    <xf numFmtId="192" fontId="38" fillId="0" borderId="14" xfId="76" applyNumberFormat="1" applyFont="1" applyFill="1" applyBorder="1" applyAlignment="1" applyProtection="1">
      <alignment horizontal="right" vertical="center"/>
      <protection/>
    </xf>
    <xf numFmtId="10" fontId="38" fillId="0" borderId="43" xfId="67" applyNumberFormat="1" applyFont="1" applyFill="1" applyBorder="1" applyAlignment="1" applyProtection="1">
      <alignment horizontal="right" vertical="center"/>
      <protection/>
    </xf>
    <xf numFmtId="192" fontId="38" fillId="45" borderId="13" xfId="76" applyNumberFormat="1" applyFont="1" applyFill="1" applyBorder="1" applyAlignment="1" applyProtection="1">
      <alignment horizontal="right" vertical="center"/>
      <protection/>
    </xf>
    <xf numFmtId="192" fontId="38" fillId="45" borderId="14" xfId="76" applyNumberFormat="1" applyFont="1" applyFill="1" applyBorder="1" applyAlignment="1" applyProtection="1">
      <alignment horizontal="right" vertical="center"/>
      <protection/>
    </xf>
    <xf numFmtId="10" fontId="38" fillId="45" borderId="43" xfId="66" applyNumberFormat="1" applyFont="1" applyFill="1" applyBorder="1" applyAlignment="1" applyProtection="1">
      <alignment horizontal="right" vertical="center"/>
      <protection/>
    </xf>
    <xf numFmtId="192" fontId="38" fillId="45" borderId="43" xfId="76" applyNumberFormat="1" applyFont="1" applyFill="1" applyBorder="1" applyAlignment="1" applyProtection="1">
      <alignment horizontal="right" vertical="center"/>
      <protection/>
    </xf>
    <xf numFmtId="10" fontId="38" fillId="0" borderId="43" xfId="66" applyNumberFormat="1" applyFont="1" applyFill="1" applyBorder="1" applyAlignment="1" applyProtection="1">
      <alignment horizontal="right" vertical="center"/>
      <protection/>
    </xf>
    <xf numFmtId="192" fontId="38" fillId="0" borderId="13" xfId="76" applyNumberFormat="1" applyFont="1" applyFill="1" applyBorder="1" applyAlignment="1" applyProtection="1">
      <alignment horizontal="right" vertical="center"/>
      <protection/>
    </xf>
    <xf numFmtId="10" fontId="38" fillId="0" borderId="13" xfId="67" applyNumberFormat="1" applyFont="1" applyFill="1" applyBorder="1" applyAlignment="1" applyProtection="1">
      <alignment horizontal="right"/>
      <protection/>
    </xf>
    <xf numFmtId="192" fontId="38" fillId="0" borderId="14" xfId="76" applyNumberFormat="1" applyFont="1" applyFill="1" applyBorder="1" applyAlignment="1" applyProtection="1">
      <alignment horizontal="right"/>
      <protection/>
    </xf>
    <xf numFmtId="10" fontId="38" fillId="0" borderId="43" xfId="66" applyNumberFormat="1" applyFont="1" applyFill="1" applyBorder="1" applyAlignment="1" applyProtection="1">
      <alignment horizontal="right"/>
      <protection/>
    </xf>
    <xf numFmtId="10" fontId="38" fillId="46" borderId="43" xfId="66" applyNumberFormat="1" applyFont="1" applyFill="1" applyBorder="1" applyAlignment="1" applyProtection="1">
      <alignment horizontal="right"/>
      <protection/>
    </xf>
    <xf numFmtId="192" fontId="38" fillId="46" borderId="14" xfId="76" applyNumberFormat="1" applyFont="1" applyFill="1" applyBorder="1" applyAlignment="1" applyProtection="1">
      <alignment horizontal="right"/>
      <protection/>
    </xf>
    <xf numFmtId="0" fontId="59" fillId="0" borderId="13" xfId="0" applyFont="1" applyBorder="1" applyAlignment="1">
      <alignment horizontal="center" vertical="center"/>
    </xf>
    <xf numFmtId="0" fontId="59" fillId="0" borderId="10" xfId="0" applyFont="1" applyBorder="1" applyAlignment="1">
      <alignment horizontal="center" vertical="center"/>
    </xf>
    <xf numFmtId="10" fontId="59" fillId="0" borderId="10" xfId="67" applyNumberFormat="1" applyFont="1" applyFill="1" applyBorder="1" applyAlignment="1" applyProtection="1">
      <alignment horizontal="center" vertical="center"/>
      <protection/>
    </xf>
    <xf numFmtId="191" fontId="59" fillId="0" borderId="14" xfId="76" applyFont="1" applyFill="1" applyBorder="1" applyAlignment="1" applyProtection="1">
      <alignment horizontal="center" vertical="center"/>
      <protection/>
    </xf>
    <xf numFmtId="0" fontId="38" fillId="0" borderId="13" xfId="0" applyFont="1" applyBorder="1" applyAlignment="1">
      <alignment horizontal="center"/>
    </xf>
    <xf numFmtId="0" fontId="38" fillId="0" borderId="14" xfId="0" applyFont="1" applyBorder="1" applyAlignment="1">
      <alignment horizontal="center"/>
    </xf>
    <xf numFmtId="10" fontId="50" fillId="0" borderId="13" xfId="67" applyNumberFormat="1" applyFont="1" applyFill="1" applyBorder="1" applyAlignment="1" applyProtection="1">
      <alignment horizontal="center" vertical="center"/>
      <protection/>
    </xf>
    <xf numFmtId="191" fontId="50" fillId="0" borderId="14" xfId="76" applyFont="1" applyFill="1" applyBorder="1" applyAlignment="1" applyProtection="1">
      <alignment horizontal="center" vertical="center"/>
      <protection/>
    </xf>
    <xf numFmtId="10" fontId="50" fillId="0" borderId="43" xfId="66" applyNumberFormat="1" applyFont="1" applyFill="1" applyBorder="1" applyAlignment="1" applyProtection="1">
      <alignment horizontal="center" vertical="center"/>
      <protection/>
    </xf>
    <xf numFmtId="0" fontId="50" fillId="0" borderId="15" xfId="0" applyFont="1" applyBorder="1" applyAlignment="1">
      <alignment horizontal="center" vertical="center"/>
    </xf>
    <xf numFmtId="0" fontId="50" fillId="0" borderId="16" xfId="0" applyFont="1" applyBorder="1" applyAlignment="1">
      <alignment horizontal="center" vertical="center"/>
    </xf>
    <xf numFmtId="10" fontId="50" fillId="0" borderId="16" xfId="67" applyNumberFormat="1" applyFont="1" applyFill="1" applyBorder="1" applyAlignment="1" applyProtection="1">
      <alignment horizontal="center" vertical="center"/>
      <protection/>
    </xf>
    <xf numFmtId="191" fontId="50" fillId="0" borderId="17" xfId="76" applyFont="1" applyFill="1" applyBorder="1" applyAlignment="1" applyProtection="1">
      <alignment horizontal="center" vertical="center"/>
      <protection/>
    </xf>
    <xf numFmtId="10" fontId="50" fillId="0" borderId="15" xfId="67" applyNumberFormat="1" applyFont="1" applyFill="1" applyBorder="1" applyAlignment="1" applyProtection="1">
      <alignment horizontal="center" vertical="center"/>
      <protection/>
    </xf>
    <xf numFmtId="191" fontId="50" fillId="0" borderId="17" xfId="76" applyFont="1" applyFill="1" applyBorder="1" applyAlignment="1" applyProtection="1">
      <alignment horizontal="center" vertical="center"/>
      <protection/>
    </xf>
    <xf numFmtId="10" fontId="50" fillId="0" borderId="59" xfId="66" applyNumberFormat="1" applyFont="1" applyFill="1" applyBorder="1" applyAlignment="1" applyProtection="1">
      <alignment horizontal="center" vertical="center"/>
      <protection/>
    </xf>
  </cellXfs>
  <cellStyles count="7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10" xfId="50"/>
    <cellStyle name="Normal 12" xfId="51"/>
    <cellStyle name="Normal 2" xfId="52"/>
    <cellStyle name="Normal 2 2" xfId="53"/>
    <cellStyle name="Normal 2 2 2" xfId="54"/>
    <cellStyle name="Normal 2 3" xfId="55"/>
    <cellStyle name="Normal 3" xfId="56"/>
    <cellStyle name="Normal 4" xfId="57"/>
    <cellStyle name="Normal 5" xfId="58"/>
    <cellStyle name="Normal 5 2" xfId="59"/>
    <cellStyle name="Normal 6" xfId="60"/>
    <cellStyle name="Normal 7" xfId="61"/>
    <cellStyle name="Normal_F-06-09" xfId="62"/>
    <cellStyle name="Normal_Plan1" xfId="63"/>
    <cellStyle name="Nota" xfId="64"/>
    <cellStyle name="Percent" xfId="65"/>
    <cellStyle name="Porcentagem 2" xfId="66"/>
    <cellStyle name="Porcentagem 4" xfId="67"/>
    <cellStyle name="Saída" xfId="68"/>
    <cellStyle name="Comma [0]" xfId="69"/>
    <cellStyle name="Separador de milhares 2 2" xfId="70"/>
    <cellStyle name="Separador de milhares 2 2 5" xfId="71"/>
    <cellStyle name="Separador de milhares 2 2 5 2" xfId="72"/>
    <cellStyle name="Separador de milhares 2 2 6" xfId="73"/>
    <cellStyle name="Separador de milhares 3" xfId="74"/>
    <cellStyle name="Separador de milhares 4" xfId="75"/>
    <cellStyle name="Separador de milhares_Projeto Completo Água - Água  Boa(alterado)" xfId="76"/>
    <cellStyle name="Texto de Aviso" xfId="77"/>
    <cellStyle name="Texto Explicativo" xfId="78"/>
    <cellStyle name="Título" xfId="79"/>
    <cellStyle name="Título 1" xfId="80"/>
    <cellStyle name="Título 2" xfId="81"/>
    <cellStyle name="Título 3" xfId="82"/>
    <cellStyle name="Título 4" xfId="83"/>
    <cellStyle name="Total" xfId="84"/>
    <cellStyle name="Comma" xfId="85"/>
    <cellStyle name="Vírgula 12" xfId="86"/>
    <cellStyle name="Vírgula 2" xfId="87"/>
    <cellStyle name="Vírgula 5" xfId="88"/>
    <cellStyle name="Vírgula 5 6" xfId="89"/>
  </cellStyles>
  <dxfs count="193">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theme="0" tint="-0.149959996342659"/>
        </patternFill>
      </fill>
    </dxf>
    <dxf>
      <fill>
        <patternFill>
          <bgColor indexed="47"/>
        </patternFill>
      </fill>
    </dxf>
    <dxf>
      <fill>
        <patternFill>
          <bgColor rgb="FFFFFFFF"/>
        </patternFill>
      </fill>
    </dxf>
    <dxf>
      <fill>
        <patternFill>
          <bgColor theme="0" tint="-0.149959996342659"/>
        </patternFill>
      </fill>
    </dxf>
    <dxf>
      <fill>
        <patternFill>
          <bgColor theme="0" tint="-0.149959996342659"/>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0</xdr:row>
      <xdr:rowOff>123825</xdr:rowOff>
    </xdr:from>
    <xdr:to>
      <xdr:col>3</xdr:col>
      <xdr:colOff>1076325</xdr:colOff>
      <xdr:row>0</xdr:row>
      <xdr:rowOff>190500</xdr:rowOff>
    </xdr:to>
    <xdr:pic>
      <xdr:nvPicPr>
        <xdr:cNvPr id="1" name="Imagem 2" descr="Descrição: logo100"/>
        <xdr:cNvPicPr preferRelativeResize="1">
          <a:picLocks noChangeAspect="1"/>
        </xdr:cNvPicPr>
      </xdr:nvPicPr>
      <xdr:blipFill>
        <a:blip r:embed="rId1"/>
        <a:stretch>
          <a:fillRect/>
        </a:stretch>
      </xdr:blipFill>
      <xdr:spPr>
        <a:xfrm>
          <a:off x="4876800" y="123825"/>
          <a:ext cx="0" cy="66675"/>
        </a:xfrm>
        <a:prstGeom prst="rect">
          <a:avLst/>
        </a:prstGeom>
        <a:noFill/>
        <a:ln w="9525" cmpd="sng">
          <a:noFill/>
        </a:ln>
      </xdr:spPr>
    </xdr:pic>
    <xdr:clientData/>
  </xdr:twoCellAnchor>
  <xdr:twoCellAnchor editAs="oneCell">
    <xdr:from>
      <xdr:col>0</xdr:col>
      <xdr:colOff>228600</xdr:colOff>
      <xdr:row>0</xdr:row>
      <xdr:rowOff>142875</xdr:rowOff>
    </xdr:from>
    <xdr:to>
      <xdr:col>1</xdr:col>
      <xdr:colOff>1143000</xdr:colOff>
      <xdr:row>3</xdr:row>
      <xdr:rowOff>142875</xdr:rowOff>
    </xdr:to>
    <xdr:pic>
      <xdr:nvPicPr>
        <xdr:cNvPr id="2" name="Imagem 3"/>
        <xdr:cNvPicPr preferRelativeResize="1">
          <a:picLocks noChangeAspect="1"/>
        </xdr:cNvPicPr>
      </xdr:nvPicPr>
      <xdr:blipFill>
        <a:blip r:embed="rId2"/>
        <a:stretch>
          <a:fillRect/>
        </a:stretch>
      </xdr:blipFill>
      <xdr:spPr>
        <a:xfrm>
          <a:off x="228600" y="142875"/>
          <a:ext cx="131445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1</xdr:row>
      <xdr:rowOff>66675</xdr:rowOff>
    </xdr:from>
    <xdr:to>
      <xdr:col>1</xdr:col>
      <xdr:colOff>1123950</xdr:colOff>
      <xdr:row>3</xdr:row>
      <xdr:rowOff>161925</xdr:rowOff>
    </xdr:to>
    <xdr:pic>
      <xdr:nvPicPr>
        <xdr:cNvPr id="1" name="Imagem 3"/>
        <xdr:cNvPicPr preferRelativeResize="1">
          <a:picLocks noChangeAspect="1"/>
        </xdr:cNvPicPr>
      </xdr:nvPicPr>
      <xdr:blipFill>
        <a:blip r:embed="rId1"/>
        <a:stretch>
          <a:fillRect/>
        </a:stretch>
      </xdr:blipFill>
      <xdr:spPr>
        <a:xfrm>
          <a:off x="238125" y="228600"/>
          <a:ext cx="1504950" cy="590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161925</xdr:rowOff>
    </xdr:from>
    <xdr:to>
      <xdr:col>2</xdr:col>
      <xdr:colOff>247650</xdr:colOff>
      <xdr:row>4</xdr:row>
      <xdr:rowOff>47625</xdr:rowOff>
    </xdr:to>
    <xdr:pic>
      <xdr:nvPicPr>
        <xdr:cNvPr id="1" name="Imagem 3"/>
        <xdr:cNvPicPr preferRelativeResize="1">
          <a:picLocks noChangeAspect="1"/>
        </xdr:cNvPicPr>
      </xdr:nvPicPr>
      <xdr:blipFill>
        <a:blip r:embed="rId1"/>
        <a:stretch>
          <a:fillRect/>
        </a:stretch>
      </xdr:blipFill>
      <xdr:spPr>
        <a:xfrm>
          <a:off x="238125" y="161925"/>
          <a:ext cx="12382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2</xdr:col>
      <xdr:colOff>542925</xdr:colOff>
      <xdr:row>4</xdr:row>
      <xdr:rowOff>142875</xdr:rowOff>
    </xdr:to>
    <xdr:pic>
      <xdr:nvPicPr>
        <xdr:cNvPr id="1" name="Imagem 3"/>
        <xdr:cNvPicPr preferRelativeResize="1">
          <a:picLocks noChangeAspect="1"/>
        </xdr:cNvPicPr>
      </xdr:nvPicPr>
      <xdr:blipFill>
        <a:blip r:embed="rId1"/>
        <a:stretch>
          <a:fillRect/>
        </a:stretch>
      </xdr:blipFill>
      <xdr:spPr>
        <a:xfrm>
          <a:off x="133350" y="38100"/>
          <a:ext cx="1638300" cy="7524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66675</xdr:rowOff>
    </xdr:from>
    <xdr:to>
      <xdr:col>2</xdr:col>
      <xdr:colOff>314325</xdr:colOff>
      <xdr:row>4</xdr:row>
      <xdr:rowOff>28575</xdr:rowOff>
    </xdr:to>
    <xdr:pic>
      <xdr:nvPicPr>
        <xdr:cNvPr id="1" name="Imagem 3"/>
        <xdr:cNvPicPr preferRelativeResize="1">
          <a:picLocks noChangeAspect="1"/>
        </xdr:cNvPicPr>
      </xdr:nvPicPr>
      <xdr:blipFill>
        <a:blip r:embed="rId1"/>
        <a:stretch>
          <a:fillRect/>
        </a:stretch>
      </xdr:blipFill>
      <xdr:spPr>
        <a:xfrm>
          <a:off x="200025" y="66675"/>
          <a:ext cx="1343025"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85725</xdr:rowOff>
    </xdr:from>
    <xdr:to>
      <xdr:col>1</xdr:col>
      <xdr:colOff>1647825</xdr:colOff>
      <xdr:row>4</xdr:row>
      <xdr:rowOff>95250</xdr:rowOff>
    </xdr:to>
    <xdr:pic>
      <xdr:nvPicPr>
        <xdr:cNvPr id="1" name="Imagem 2"/>
        <xdr:cNvPicPr preferRelativeResize="1">
          <a:picLocks noChangeAspect="1"/>
        </xdr:cNvPicPr>
      </xdr:nvPicPr>
      <xdr:blipFill>
        <a:blip r:embed="rId1"/>
        <a:stretch>
          <a:fillRect/>
        </a:stretch>
      </xdr:blipFill>
      <xdr:spPr>
        <a:xfrm>
          <a:off x="257175" y="85725"/>
          <a:ext cx="2286000" cy="10001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9525</xdr:rowOff>
    </xdr:from>
    <xdr:to>
      <xdr:col>1</xdr:col>
      <xdr:colOff>476250</xdr:colOff>
      <xdr:row>4</xdr:row>
      <xdr:rowOff>95250</xdr:rowOff>
    </xdr:to>
    <xdr:pic>
      <xdr:nvPicPr>
        <xdr:cNvPr id="1" name="Imagem 3"/>
        <xdr:cNvPicPr preferRelativeResize="1">
          <a:picLocks noChangeAspect="1"/>
        </xdr:cNvPicPr>
      </xdr:nvPicPr>
      <xdr:blipFill>
        <a:blip r:embed="rId1"/>
        <a:stretch>
          <a:fillRect/>
        </a:stretch>
      </xdr:blipFill>
      <xdr:spPr>
        <a:xfrm>
          <a:off x="200025" y="180975"/>
          <a:ext cx="1714500" cy="6000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85725</xdr:rowOff>
    </xdr:from>
    <xdr:to>
      <xdr:col>2</xdr:col>
      <xdr:colOff>676275</xdr:colOff>
      <xdr:row>4</xdr:row>
      <xdr:rowOff>0</xdr:rowOff>
    </xdr:to>
    <xdr:pic>
      <xdr:nvPicPr>
        <xdr:cNvPr id="1" name="Imagem 3"/>
        <xdr:cNvPicPr preferRelativeResize="1">
          <a:picLocks noChangeAspect="1"/>
        </xdr:cNvPicPr>
      </xdr:nvPicPr>
      <xdr:blipFill>
        <a:blip r:embed="rId1"/>
        <a:stretch>
          <a:fillRect/>
        </a:stretch>
      </xdr:blipFill>
      <xdr:spPr>
        <a:xfrm>
          <a:off x="352425" y="85725"/>
          <a:ext cx="15525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685800</xdr:colOff>
      <xdr:row>0</xdr:row>
      <xdr:rowOff>200025</xdr:rowOff>
    </xdr:from>
    <xdr:to>
      <xdr:col>4</xdr:col>
      <xdr:colOff>800100</xdr:colOff>
      <xdr:row>4</xdr:row>
      <xdr:rowOff>28575</xdr:rowOff>
    </xdr:to>
    <xdr:pic>
      <xdr:nvPicPr>
        <xdr:cNvPr id="1" name="Imagem 3"/>
        <xdr:cNvPicPr preferRelativeResize="1">
          <a:picLocks noChangeAspect="1"/>
        </xdr:cNvPicPr>
      </xdr:nvPicPr>
      <xdr:blipFill>
        <a:blip r:embed="rId1"/>
        <a:stretch>
          <a:fillRect/>
        </a:stretch>
      </xdr:blipFill>
      <xdr:spPr>
        <a:xfrm>
          <a:off x="685800" y="200025"/>
          <a:ext cx="2343150" cy="1038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161925</xdr:rowOff>
    </xdr:from>
    <xdr:to>
      <xdr:col>3</xdr:col>
      <xdr:colOff>209550</xdr:colOff>
      <xdr:row>4</xdr:row>
      <xdr:rowOff>161925</xdr:rowOff>
    </xdr:to>
    <xdr:pic>
      <xdr:nvPicPr>
        <xdr:cNvPr id="1" name="Imagem 3"/>
        <xdr:cNvPicPr preferRelativeResize="1">
          <a:picLocks noChangeAspect="1"/>
        </xdr:cNvPicPr>
      </xdr:nvPicPr>
      <xdr:blipFill>
        <a:blip r:embed="rId1"/>
        <a:stretch>
          <a:fillRect/>
        </a:stretch>
      </xdr:blipFill>
      <xdr:spPr>
        <a:xfrm>
          <a:off x="1009650" y="161925"/>
          <a:ext cx="269557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0</xdr:row>
      <xdr:rowOff>419100</xdr:rowOff>
    </xdr:from>
    <xdr:to>
      <xdr:col>3</xdr:col>
      <xdr:colOff>1733550</xdr:colOff>
      <xdr:row>4</xdr:row>
      <xdr:rowOff>95250</xdr:rowOff>
    </xdr:to>
    <xdr:pic>
      <xdr:nvPicPr>
        <xdr:cNvPr id="1" name="Imagem 3"/>
        <xdr:cNvPicPr preferRelativeResize="1">
          <a:picLocks noChangeAspect="1"/>
        </xdr:cNvPicPr>
      </xdr:nvPicPr>
      <xdr:blipFill>
        <a:blip r:embed="rId1"/>
        <a:stretch>
          <a:fillRect/>
        </a:stretch>
      </xdr:blipFill>
      <xdr:spPr>
        <a:xfrm>
          <a:off x="1076325" y="419100"/>
          <a:ext cx="5105400" cy="1695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0</xdr:row>
      <xdr:rowOff>466725</xdr:rowOff>
    </xdr:from>
    <xdr:to>
      <xdr:col>1</xdr:col>
      <xdr:colOff>2143125</xdr:colOff>
      <xdr:row>3</xdr:row>
      <xdr:rowOff>381000</xdr:rowOff>
    </xdr:to>
    <xdr:pic>
      <xdr:nvPicPr>
        <xdr:cNvPr id="1" name="Imagem 3"/>
        <xdr:cNvPicPr preferRelativeResize="1">
          <a:picLocks noChangeAspect="1"/>
        </xdr:cNvPicPr>
      </xdr:nvPicPr>
      <xdr:blipFill>
        <a:blip r:embed="rId1"/>
        <a:stretch>
          <a:fillRect/>
        </a:stretch>
      </xdr:blipFill>
      <xdr:spPr>
        <a:xfrm>
          <a:off x="590550" y="466725"/>
          <a:ext cx="3048000" cy="1428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123825</xdr:rowOff>
    </xdr:from>
    <xdr:to>
      <xdr:col>1</xdr:col>
      <xdr:colOff>1562100</xdr:colOff>
      <xdr:row>4</xdr:row>
      <xdr:rowOff>76200</xdr:rowOff>
    </xdr:to>
    <xdr:pic>
      <xdr:nvPicPr>
        <xdr:cNvPr id="1" name="Imagem 3"/>
        <xdr:cNvPicPr preferRelativeResize="1">
          <a:picLocks noChangeAspect="1"/>
        </xdr:cNvPicPr>
      </xdr:nvPicPr>
      <xdr:blipFill>
        <a:blip r:embed="rId1"/>
        <a:stretch>
          <a:fillRect/>
        </a:stretch>
      </xdr:blipFill>
      <xdr:spPr>
        <a:xfrm>
          <a:off x="361950" y="123825"/>
          <a:ext cx="1752600" cy="809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314325</xdr:colOff>
      <xdr:row>4</xdr:row>
      <xdr:rowOff>152400</xdr:rowOff>
    </xdr:to>
    <xdr:pic>
      <xdr:nvPicPr>
        <xdr:cNvPr id="1" name="Imagem 2"/>
        <xdr:cNvPicPr preferRelativeResize="1">
          <a:picLocks noChangeAspect="1"/>
        </xdr:cNvPicPr>
      </xdr:nvPicPr>
      <xdr:blipFill>
        <a:blip r:embed="rId1"/>
        <a:stretch>
          <a:fillRect/>
        </a:stretch>
      </xdr:blipFill>
      <xdr:spPr>
        <a:xfrm>
          <a:off x="123825" y="123825"/>
          <a:ext cx="141922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2</xdr:col>
      <xdr:colOff>161925</xdr:colOff>
      <xdr:row>4</xdr:row>
      <xdr:rowOff>28575</xdr:rowOff>
    </xdr:to>
    <xdr:pic>
      <xdr:nvPicPr>
        <xdr:cNvPr id="1" name="Imagem 3"/>
        <xdr:cNvPicPr preferRelativeResize="1">
          <a:picLocks noChangeAspect="1"/>
        </xdr:cNvPicPr>
      </xdr:nvPicPr>
      <xdr:blipFill>
        <a:blip r:embed="rId1"/>
        <a:stretch>
          <a:fillRect/>
        </a:stretch>
      </xdr:blipFill>
      <xdr:spPr>
        <a:xfrm>
          <a:off x="133350" y="95250"/>
          <a:ext cx="1123950"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152400</xdr:rowOff>
    </xdr:from>
    <xdr:to>
      <xdr:col>1</xdr:col>
      <xdr:colOff>1123950</xdr:colOff>
      <xdr:row>4</xdr:row>
      <xdr:rowOff>0</xdr:rowOff>
    </xdr:to>
    <xdr:pic>
      <xdr:nvPicPr>
        <xdr:cNvPr id="1" name="Imagem 3"/>
        <xdr:cNvPicPr preferRelativeResize="1">
          <a:picLocks noChangeAspect="1"/>
        </xdr:cNvPicPr>
      </xdr:nvPicPr>
      <xdr:blipFill>
        <a:blip r:embed="rId1"/>
        <a:stretch>
          <a:fillRect/>
        </a:stretch>
      </xdr:blipFill>
      <xdr:spPr>
        <a:xfrm>
          <a:off x="104775" y="152400"/>
          <a:ext cx="1638300"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LANILHAS%20-%20EMENDA%20-%20DEZ-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eniffer.nascimento\Downloads\Composicao%20ORSE%20-%20121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ÇAMENTO GERAL"/>
      <sheetName val="MC-DRE"/>
      <sheetName val="MC-PAV"/>
      <sheetName val="CRONOGRAMA"/>
      <sheetName val="ENCARGOS"/>
      <sheetName val="BDI"/>
      <sheetName val="CPU-1"/>
      <sheetName val="CPU-2.1"/>
      <sheetName val="CPU-2.2"/>
      <sheetName val="CPU-3"/>
      <sheetName val="CPU-4"/>
    </sheetNames>
    <sheetDataSet>
      <sheetData sheetId="0">
        <row r="6">
          <cell r="C6" t="str">
            <v>EXECUÇÃO DOS SERVIÇOS ...  - NO MUNICÍPIO DE ANANINDEUA - PA.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osição ORSE"/>
    </sheetNames>
    <sheetDataSet>
      <sheetData sheetId="0">
        <row r="12">
          <cell r="H12" t="str">
            <v> 0,0059524</v>
          </cell>
        </row>
        <row r="20">
          <cell r="H20" t="str">
            <v> 0,0178571</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O39"/>
  <sheetViews>
    <sheetView view="pageBreakPreview" zoomScale="70" zoomScaleSheetLayoutView="70" zoomScalePageLayoutView="0" workbookViewId="0" topLeftCell="A1">
      <selection activeCell="L10" sqref="L10"/>
    </sheetView>
  </sheetViews>
  <sheetFormatPr defaultColWidth="9.140625" defaultRowHeight="12.75"/>
  <cols>
    <col min="1" max="1" width="6.00390625" style="1" bestFit="1" customWidth="1"/>
    <col min="2" max="2" width="20.7109375" style="1" customWidth="1"/>
    <col min="3" max="3" width="25.7109375" style="1" bestFit="1" customWidth="1"/>
    <col min="4" max="4" width="20.7109375" style="1" customWidth="1"/>
    <col min="5" max="5" width="11.00390625" style="1" bestFit="1" customWidth="1"/>
    <col min="6" max="6" width="10.57421875" style="1" bestFit="1" customWidth="1"/>
    <col min="7" max="7" width="17.28125" style="1" bestFit="1" customWidth="1"/>
    <col min="8" max="8" width="13.8515625" style="1" bestFit="1" customWidth="1"/>
    <col min="9" max="9" width="15.421875" style="1" bestFit="1" customWidth="1"/>
    <col min="10" max="10" width="18.28125" style="1" bestFit="1" customWidth="1"/>
    <col min="11" max="11" width="20.140625" style="1" bestFit="1" customWidth="1"/>
    <col min="12" max="12" width="17.28125" style="1" bestFit="1" customWidth="1"/>
    <col min="13" max="13" width="9.140625" style="1" customWidth="1"/>
    <col min="14" max="14" width="15.421875" style="1" bestFit="1" customWidth="1"/>
    <col min="15" max="15" width="13.8515625" style="1" bestFit="1" customWidth="1"/>
    <col min="16" max="16384" width="9.140625" style="1" customWidth="1"/>
  </cols>
  <sheetData>
    <row r="1" spans="1:12" s="58" customFormat="1" ht="15" customHeight="1">
      <c r="A1" s="578"/>
      <c r="B1" s="579"/>
      <c r="C1" s="579"/>
      <c r="D1" s="579"/>
      <c r="E1" s="579"/>
      <c r="F1" s="579"/>
      <c r="G1" s="579"/>
      <c r="H1" s="579"/>
      <c r="I1" s="579"/>
      <c r="J1" s="579"/>
      <c r="K1" s="579"/>
      <c r="L1" s="580"/>
    </row>
    <row r="2" spans="1:12" s="58" customFormat="1" ht="15" customHeight="1">
      <c r="A2" s="581" t="s">
        <v>20</v>
      </c>
      <c r="B2" s="582"/>
      <c r="C2" s="582"/>
      <c r="D2" s="582"/>
      <c r="E2" s="582"/>
      <c r="F2" s="582"/>
      <c r="G2" s="582"/>
      <c r="H2" s="582"/>
      <c r="I2" s="582"/>
      <c r="J2" s="582"/>
      <c r="K2" s="582"/>
      <c r="L2" s="583"/>
    </row>
    <row r="3" spans="1:12" s="58" customFormat="1" ht="15" customHeight="1">
      <c r="A3" s="584" t="s">
        <v>199</v>
      </c>
      <c r="B3" s="585"/>
      <c r="C3" s="585"/>
      <c r="D3" s="585"/>
      <c r="E3" s="585"/>
      <c r="F3" s="585"/>
      <c r="G3" s="585"/>
      <c r="H3" s="585"/>
      <c r="I3" s="585"/>
      <c r="J3" s="585"/>
      <c r="K3" s="585"/>
      <c r="L3" s="586"/>
    </row>
    <row r="4" spans="1:12" s="58" customFormat="1" ht="15" customHeight="1">
      <c r="A4" s="584" t="s">
        <v>19</v>
      </c>
      <c r="B4" s="585"/>
      <c r="C4" s="585"/>
      <c r="D4" s="585"/>
      <c r="E4" s="585"/>
      <c r="F4" s="585"/>
      <c r="G4" s="585"/>
      <c r="H4" s="585"/>
      <c r="I4" s="585"/>
      <c r="J4" s="585"/>
      <c r="K4" s="585"/>
      <c r="L4" s="586"/>
    </row>
    <row r="5" spans="1:12" s="58" customFormat="1" ht="15" customHeight="1" thickBot="1">
      <c r="A5" s="540"/>
      <c r="B5" s="541"/>
      <c r="C5" s="541"/>
      <c r="D5" s="541"/>
      <c r="E5" s="541"/>
      <c r="F5" s="541"/>
      <c r="G5" s="541"/>
      <c r="H5" s="541"/>
      <c r="I5" s="541"/>
      <c r="J5" s="541"/>
      <c r="K5" s="541"/>
      <c r="L5" s="542"/>
    </row>
    <row r="6" spans="1:12" s="58" customFormat="1" ht="41.25" customHeight="1" thickBot="1" thickTop="1">
      <c r="A6" s="587" t="s">
        <v>572</v>
      </c>
      <c r="B6" s="588"/>
      <c r="C6" s="588"/>
      <c r="D6" s="588"/>
      <c r="E6" s="588"/>
      <c r="F6" s="588"/>
      <c r="G6" s="588"/>
      <c r="H6" s="588"/>
      <c r="I6" s="588"/>
      <c r="J6" s="588"/>
      <c r="K6" s="588"/>
      <c r="L6" s="589"/>
    </row>
    <row r="7" spans="1:12" s="58" customFormat="1" ht="52.5" customHeight="1" thickBot="1" thickTop="1">
      <c r="A7" s="590" t="str">
        <f>'ORÇAMENTO GERAL'!C7</f>
        <v>EXECUÇÃO DOS SERVIÇOS DE DRENAGEM SUPERFICIAL E PROFUNDA NA RUA DO PORTO E RUA DO PORTO 2 - DISTRITO INDUSTRIAL - NO MUNICÍPIO DE ANANINDEUA - PA.</v>
      </c>
      <c r="B7" s="591"/>
      <c r="C7" s="591"/>
      <c r="D7" s="591"/>
      <c r="E7" s="591"/>
      <c r="F7" s="591"/>
      <c r="G7" s="591"/>
      <c r="H7" s="591"/>
      <c r="I7" s="591"/>
      <c r="J7" s="591"/>
      <c r="K7" s="591"/>
      <c r="L7" s="592"/>
    </row>
    <row r="8" spans="1:12" ht="60" customHeight="1" thickBot="1">
      <c r="A8" s="543" t="s">
        <v>7</v>
      </c>
      <c r="B8" s="544" t="s">
        <v>241</v>
      </c>
      <c r="C8" s="544" t="s">
        <v>391</v>
      </c>
      <c r="D8" s="544" t="s">
        <v>392</v>
      </c>
      <c r="E8" s="544" t="s">
        <v>413</v>
      </c>
      <c r="F8" s="544" t="s">
        <v>389</v>
      </c>
      <c r="G8" s="544" t="s">
        <v>557</v>
      </c>
      <c r="H8" s="544" t="s">
        <v>560</v>
      </c>
      <c r="I8" s="544" t="s">
        <v>559</v>
      </c>
      <c r="J8" s="544" t="s">
        <v>416</v>
      </c>
      <c r="K8" s="544" t="s">
        <v>558</v>
      </c>
      <c r="L8" s="545" t="s">
        <v>24</v>
      </c>
    </row>
    <row r="9" spans="1:15" s="410" customFormat="1" ht="60" customHeight="1" hidden="1">
      <c r="A9" s="404">
        <v>1</v>
      </c>
      <c r="B9" s="405" t="s">
        <v>667</v>
      </c>
      <c r="C9" s="497"/>
      <c r="D9" s="406" t="s">
        <v>670</v>
      </c>
      <c r="E9" s="406"/>
      <c r="F9" s="407"/>
      <c r="G9" s="408">
        <f>'MC-DRE'!AD14+'MC-DRE'!AD42+'MC-DRE'!AD70+'MC-DRE'!AD98+'MC-DRE'!AD126+'MC-DRE'!AD154+'MC-DRE'!AD178+'MC-DRE'!AD202+'MC-DRE'!AD226+'MC-DRE'!AD250+'MC-DRE'!AD274</f>
        <v>0</v>
      </c>
      <c r="H9" s="408">
        <f>'MC-PAV'!W13</f>
        <v>0</v>
      </c>
      <c r="I9" s="408">
        <f>'MC-PAV'!AC13</f>
        <v>0</v>
      </c>
      <c r="J9" s="408">
        <f>'MC-TER'!AH14</f>
        <v>0</v>
      </c>
      <c r="K9" s="408">
        <f>'MC-PAV'!AJ13</f>
        <v>0</v>
      </c>
      <c r="L9" s="409">
        <f>G9+H9+I9+J9+K9+$O$9</f>
        <v>1695.73</v>
      </c>
      <c r="N9" s="449" t="s">
        <v>597</v>
      </c>
      <c r="O9" s="444">
        <f>('ORÇAMENTO GERAL'!K16+'ORÇAMENTO GERAL'!K126)/3</f>
        <v>1695.73</v>
      </c>
    </row>
    <row r="10" spans="1:12" s="410" customFormat="1" ht="60" customHeight="1">
      <c r="A10" s="411">
        <v>1</v>
      </c>
      <c r="B10" s="412" t="s">
        <v>668</v>
      </c>
      <c r="C10" s="498"/>
      <c r="D10" s="406" t="s">
        <v>670</v>
      </c>
      <c r="E10" s="406">
        <v>230.91</v>
      </c>
      <c r="F10" s="407">
        <v>5</v>
      </c>
      <c r="G10" s="408">
        <f>'MC-DRE'!AD15+'MC-DRE'!AD43+'MC-DRE'!AD71+'MC-DRE'!AD99+'MC-DRE'!AD127+'MC-DRE'!AD155+'MC-DRE'!AD179+'MC-DRE'!AD203+'MC-DRE'!AD227+'MC-DRE'!AD251+'MC-DRE'!AD275</f>
        <v>217894.59</v>
      </c>
      <c r="H10" s="408">
        <f>'MC-PAV'!W14</f>
        <v>0</v>
      </c>
      <c r="I10" s="408">
        <f>'MC-PAV'!AC14</f>
        <v>48494.39</v>
      </c>
      <c r="J10" s="408">
        <f>'MC-TER'!AH15</f>
        <v>0</v>
      </c>
      <c r="K10" s="408">
        <f>'MC-PAV'!AJ14</f>
        <v>0</v>
      </c>
      <c r="L10" s="409">
        <f aca="true" t="shared" si="0" ref="L10:L28">G10+H10+I10+J10+K10+$O$9</f>
        <v>268084.71</v>
      </c>
    </row>
    <row r="11" spans="1:12" s="410" customFormat="1" ht="60" customHeight="1" thickBot="1">
      <c r="A11" s="411">
        <v>2</v>
      </c>
      <c r="B11" s="412" t="s">
        <v>669</v>
      </c>
      <c r="C11" s="498"/>
      <c r="D11" s="406" t="s">
        <v>670</v>
      </c>
      <c r="E11" s="406">
        <v>137.79</v>
      </c>
      <c r="F11" s="407">
        <v>5</v>
      </c>
      <c r="G11" s="408">
        <f>'MC-DRE'!AD16+'MC-DRE'!AD44+'MC-DRE'!AD72+'MC-DRE'!AD100+'MC-DRE'!AD128+'MC-DRE'!AD156+'MC-DRE'!AD180+'MC-DRE'!AD204+'MC-DRE'!AD228+'MC-DRE'!AD252+'MC-DRE'!AD276</f>
        <v>29835.67</v>
      </c>
      <c r="H11" s="408">
        <f>'MC-PAV'!W15</f>
        <v>0</v>
      </c>
      <c r="I11" s="408">
        <f>'MC-PAV'!AC15</f>
        <v>28937.73</v>
      </c>
      <c r="J11" s="408">
        <f>'MC-TER'!AH16</f>
        <v>0</v>
      </c>
      <c r="K11" s="408">
        <f>'MC-PAV'!AJ15</f>
        <v>0</v>
      </c>
      <c r="L11" s="409">
        <f t="shared" si="0"/>
        <v>60469.13</v>
      </c>
    </row>
    <row r="12" spans="1:12" s="410" customFormat="1" ht="39.75" customHeight="1" hidden="1">
      <c r="A12" s="411">
        <v>4</v>
      </c>
      <c r="B12" s="412"/>
      <c r="C12" s="498"/>
      <c r="D12" s="413"/>
      <c r="E12" s="406"/>
      <c r="F12" s="407"/>
      <c r="G12" s="408">
        <f>'MC-DRE'!AD17+'MC-DRE'!AD45+'MC-DRE'!AD73+'MC-DRE'!AD101+'MC-DRE'!AD129+'MC-DRE'!AD157+'MC-DRE'!AD181+'MC-DRE'!AD205+'MC-DRE'!AD229+'MC-DRE'!AD253+'MC-DRE'!AD277</f>
        <v>0</v>
      </c>
      <c r="H12" s="408">
        <f>'MC-PAV'!W16</f>
        <v>0</v>
      </c>
      <c r="I12" s="408">
        <f>'MC-PAV'!AC16</f>
        <v>0</v>
      </c>
      <c r="J12" s="408">
        <f>'MC-TER'!AH17</f>
        <v>0</v>
      </c>
      <c r="K12" s="408">
        <f>'MC-PAV'!AJ16</f>
        <v>0</v>
      </c>
      <c r="L12" s="409">
        <f t="shared" si="0"/>
        <v>1695.73</v>
      </c>
    </row>
    <row r="13" spans="1:12" s="410" customFormat="1" ht="39.75" customHeight="1" hidden="1">
      <c r="A13" s="411">
        <v>5</v>
      </c>
      <c r="B13" s="412"/>
      <c r="C13" s="498"/>
      <c r="D13" s="413"/>
      <c r="E13" s="406"/>
      <c r="F13" s="407"/>
      <c r="G13" s="408">
        <f>'MC-DRE'!AD18+'MC-DRE'!AD46+'MC-DRE'!AD74+'MC-DRE'!AD102+'MC-DRE'!AD130+'MC-DRE'!AD158+'MC-DRE'!AD182+'MC-DRE'!AD206+'MC-DRE'!AD230+'MC-DRE'!AD254+'MC-DRE'!AD278</f>
        <v>0</v>
      </c>
      <c r="H13" s="408">
        <f>'MC-PAV'!W17</f>
        <v>0</v>
      </c>
      <c r="I13" s="408">
        <f>'MC-PAV'!AC17</f>
        <v>0</v>
      </c>
      <c r="J13" s="408">
        <f>'MC-TER'!AH18</f>
        <v>0</v>
      </c>
      <c r="K13" s="408">
        <f>'MC-PAV'!AJ17</f>
        <v>0</v>
      </c>
      <c r="L13" s="409">
        <f t="shared" si="0"/>
        <v>1695.73</v>
      </c>
    </row>
    <row r="14" spans="1:12" s="410" customFormat="1" ht="39.75" customHeight="1" hidden="1">
      <c r="A14" s="411">
        <v>6</v>
      </c>
      <c r="B14" s="412"/>
      <c r="C14" s="413"/>
      <c r="D14" s="413"/>
      <c r="E14" s="406"/>
      <c r="F14" s="407"/>
      <c r="G14" s="408">
        <f>'MC-DRE'!AD19+'MC-DRE'!AD47+'MC-DRE'!AD75+'MC-DRE'!AD103+'MC-DRE'!AD131+'MC-DRE'!AD159+'MC-DRE'!AD183+'MC-DRE'!AD207+'MC-DRE'!AD231+'MC-DRE'!AD255+'MC-DRE'!AD279</f>
        <v>0</v>
      </c>
      <c r="H14" s="408">
        <f>'MC-PAV'!W18</f>
        <v>0</v>
      </c>
      <c r="I14" s="408">
        <f>'MC-PAV'!AC18</f>
        <v>0</v>
      </c>
      <c r="J14" s="408">
        <f>'MC-TER'!AH19</f>
        <v>0</v>
      </c>
      <c r="K14" s="408">
        <f>'MC-PAV'!AJ18</f>
        <v>0</v>
      </c>
      <c r="L14" s="409">
        <f t="shared" si="0"/>
        <v>1695.73</v>
      </c>
    </row>
    <row r="15" spans="1:12" s="410" customFormat="1" ht="39.75" customHeight="1" hidden="1">
      <c r="A15" s="411">
        <v>7</v>
      </c>
      <c r="B15" s="412"/>
      <c r="C15" s="413"/>
      <c r="D15" s="413"/>
      <c r="E15" s="406"/>
      <c r="F15" s="407"/>
      <c r="G15" s="408">
        <f>'MC-DRE'!AD20+'MC-DRE'!AD48+'MC-DRE'!AD76+'MC-DRE'!AD104+'MC-DRE'!AD132+'MC-DRE'!AD160+'MC-DRE'!AD184+'MC-DRE'!AD208+'MC-DRE'!AD232+'MC-DRE'!AD256+'MC-DRE'!AD280</f>
        <v>0</v>
      </c>
      <c r="H15" s="408">
        <f>'MC-PAV'!W19</f>
        <v>0</v>
      </c>
      <c r="I15" s="408">
        <f>'MC-PAV'!AC19</f>
        <v>0</v>
      </c>
      <c r="J15" s="408">
        <f>'MC-TER'!AH20</f>
        <v>0</v>
      </c>
      <c r="K15" s="408">
        <f>'MC-PAV'!AJ19</f>
        <v>0</v>
      </c>
      <c r="L15" s="409">
        <f t="shared" si="0"/>
        <v>1695.73</v>
      </c>
    </row>
    <row r="16" spans="1:12" s="410" customFormat="1" ht="39.75" customHeight="1" hidden="1">
      <c r="A16" s="411">
        <v>8</v>
      </c>
      <c r="B16" s="412"/>
      <c r="C16" s="413"/>
      <c r="D16" s="413"/>
      <c r="E16" s="406"/>
      <c r="F16" s="407"/>
      <c r="G16" s="408">
        <f>'MC-DRE'!AD21+'MC-DRE'!AD49+'MC-DRE'!AD77+'MC-DRE'!AD105+'MC-DRE'!AD133+'MC-DRE'!AD161+'MC-DRE'!AD185+'MC-DRE'!AD209+'MC-DRE'!AD233+'MC-DRE'!AD257+'MC-DRE'!AD281</f>
        <v>0</v>
      </c>
      <c r="H16" s="408">
        <f>'MC-PAV'!W20</f>
        <v>0</v>
      </c>
      <c r="I16" s="408">
        <f>'MC-PAV'!AC20</f>
        <v>0</v>
      </c>
      <c r="J16" s="408">
        <f>'MC-TER'!AH21</f>
        <v>0</v>
      </c>
      <c r="K16" s="408">
        <f>'MC-PAV'!AJ20</f>
        <v>0</v>
      </c>
      <c r="L16" s="409">
        <f t="shared" si="0"/>
        <v>1695.73</v>
      </c>
    </row>
    <row r="17" spans="1:12" s="410" customFormat="1" ht="39.75" customHeight="1" hidden="1">
      <c r="A17" s="411">
        <v>9</v>
      </c>
      <c r="B17" s="412"/>
      <c r="C17" s="413"/>
      <c r="D17" s="413"/>
      <c r="E17" s="406"/>
      <c r="F17" s="407"/>
      <c r="G17" s="408">
        <f>'MC-DRE'!AD22+'MC-DRE'!AD50+'MC-DRE'!AD78+'MC-DRE'!AD106+'MC-DRE'!AD134+'MC-DRE'!AD162+'MC-DRE'!AD186+'MC-DRE'!AD210+'MC-DRE'!AD234+'MC-DRE'!AD258+'MC-DRE'!AD282</f>
        <v>0</v>
      </c>
      <c r="H17" s="408">
        <f>'MC-PAV'!W21</f>
        <v>0</v>
      </c>
      <c r="I17" s="408">
        <f>'MC-PAV'!AC21</f>
        <v>0</v>
      </c>
      <c r="J17" s="408">
        <f>'MC-TER'!AH22</f>
        <v>0</v>
      </c>
      <c r="K17" s="408">
        <f>'MC-PAV'!AJ21</f>
        <v>0</v>
      </c>
      <c r="L17" s="409">
        <f t="shared" si="0"/>
        <v>1695.73</v>
      </c>
    </row>
    <row r="18" spans="1:12" s="410" customFormat="1" ht="39.75" customHeight="1" hidden="1">
      <c r="A18" s="411">
        <v>10</v>
      </c>
      <c r="B18" s="412"/>
      <c r="C18" s="413"/>
      <c r="D18" s="413"/>
      <c r="E18" s="406"/>
      <c r="F18" s="407"/>
      <c r="G18" s="408">
        <f>'MC-DRE'!AD23+'MC-DRE'!AD51+'MC-DRE'!AD79+'MC-DRE'!AD107+'MC-DRE'!AD135+'MC-DRE'!AD163+'MC-DRE'!AD187+'MC-DRE'!AD211+'MC-DRE'!AD235+'MC-DRE'!AD259+'MC-DRE'!AD283</f>
        <v>0</v>
      </c>
      <c r="H18" s="408">
        <f>'MC-PAV'!W22</f>
        <v>0</v>
      </c>
      <c r="I18" s="408">
        <f>'MC-PAV'!AC22</f>
        <v>0</v>
      </c>
      <c r="J18" s="408">
        <f>'MC-TER'!AH23</f>
        <v>0</v>
      </c>
      <c r="K18" s="408">
        <f>'MC-PAV'!AJ22</f>
        <v>0</v>
      </c>
      <c r="L18" s="409">
        <f t="shared" si="0"/>
        <v>1695.73</v>
      </c>
    </row>
    <row r="19" spans="1:12" s="410" customFormat="1" ht="39.75" customHeight="1" hidden="1">
      <c r="A19" s="411">
        <v>11</v>
      </c>
      <c r="B19" s="412"/>
      <c r="C19" s="413"/>
      <c r="D19" s="413"/>
      <c r="E19" s="406"/>
      <c r="F19" s="407"/>
      <c r="G19" s="408">
        <f>'MC-DRE'!AD24+'MC-DRE'!AD52+'MC-DRE'!AD80+'MC-DRE'!AD108+'MC-DRE'!AD136+'MC-DRE'!AD164+'MC-DRE'!AD188+'MC-DRE'!AD212+'MC-DRE'!AD236+'MC-DRE'!AD260+'MC-DRE'!AD284</f>
        <v>0</v>
      </c>
      <c r="H19" s="408">
        <f>'MC-PAV'!W23</f>
        <v>0</v>
      </c>
      <c r="I19" s="408">
        <f>'MC-PAV'!AC23</f>
        <v>0</v>
      </c>
      <c r="J19" s="408">
        <f>'MC-TER'!AH24</f>
        <v>0</v>
      </c>
      <c r="K19" s="408">
        <f>'MC-PAV'!AJ23</f>
        <v>0</v>
      </c>
      <c r="L19" s="409">
        <f t="shared" si="0"/>
        <v>1695.73</v>
      </c>
    </row>
    <row r="20" spans="1:12" s="410" customFormat="1" ht="39.75" customHeight="1" hidden="1">
      <c r="A20" s="411">
        <v>12</v>
      </c>
      <c r="B20" s="412"/>
      <c r="C20" s="413"/>
      <c r="D20" s="413"/>
      <c r="E20" s="406"/>
      <c r="F20" s="407"/>
      <c r="G20" s="408">
        <f>'MC-DRE'!AD25+'MC-DRE'!AD53+'MC-DRE'!AD81+'MC-DRE'!AD109+'MC-DRE'!AD137+'MC-DRE'!AD165+'MC-DRE'!AD189+'MC-DRE'!AD213+'MC-DRE'!AD237+'MC-DRE'!AD261+'MC-DRE'!AD285</f>
        <v>0</v>
      </c>
      <c r="H20" s="408">
        <f>'MC-PAV'!W24</f>
        <v>0</v>
      </c>
      <c r="I20" s="408">
        <f>'MC-PAV'!AC24</f>
        <v>0</v>
      </c>
      <c r="J20" s="408">
        <f>'MC-TER'!AH25</f>
        <v>0</v>
      </c>
      <c r="K20" s="408">
        <f>'MC-PAV'!AJ24</f>
        <v>0</v>
      </c>
      <c r="L20" s="409">
        <f t="shared" si="0"/>
        <v>1695.73</v>
      </c>
    </row>
    <row r="21" spans="1:12" s="410" customFormat="1" ht="39.75" customHeight="1" hidden="1">
      <c r="A21" s="411">
        <v>13</v>
      </c>
      <c r="B21" s="412"/>
      <c r="C21" s="413"/>
      <c r="D21" s="413"/>
      <c r="E21" s="406"/>
      <c r="F21" s="407"/>
      <c r="G21" s="408">
        <f>'MC-DRE'!AD26+'MC-DRE'!AD54+'MC-DRE'!AD82+'MC-DRE'!AD110+'MC-DRE'!AD138+'MC-DRE'!AD166+'MC-DRE'!AD190+'MC-DRE'!AD214+'MC-DRE'!AD238+'MC-DRE'!AD262+'MC-DRE'!AD286</f>
        <v>0</v>
      </c>
      <c r="H21" s="408">
        <f>'MC-PAV'!W25</f>
        <v>0</v>
      </c>
      <c r="I21" s="408">
        <f>'MC-PAV'!AC25</f>
        <v>0</v>
      </c>
      <c r="J21" s="408">
        <f>'MC-TER'!AH26</f>
        <v>0</v>
      </c>
      <c r="K21" s="408">
        <f>'MC-PAV'!AJ25</f>
        <v>0</v>
      </c>
      <c r="L21" s="409">
        <f t="shared" si="0"/>
        <v>1695.73</v>
      </c>
    </row>
    <row r="22" spans="1:12" s="410" customFormat="1" ht="39.75" customHeight="1" hidden="1">
      <c r="A22" s="411">
        <v>14</v>
      </c>
      <c r="B22" s="412"/>
      <c r="C22" s="413"/>
      <c r="D22" s="413"/>
      <c r="E22" s="406"/>
      <c r="F22" s="407"/>
      <c r="G22" s="408">
        <f>'MC-DRE'!AD27+'MC-DRE'!AD55+'MC-DRE'!AD83+'MC-DRE'!AD111+'MC-DRE'!AD139+'MC-DRE'!AD167+'MC-DRE'!AD191+'MC-DRE'!AD215+'MC-DRE'!AD239+'MC-DRE'!AD263+'MC-DRE'!AD287</f>
        <v>0</v>
      </c>
      <c r="H22" s="408">
        <f>'MC-PAV'!W26</f>
        <v>0</v>
      </c>
      <c r="I22" s="408">
        <f>'MC-PAV'!AC26</f>
        <v>0</v>
      </c>
      <c r="J22" s="408">
        <f>'MC-TER'!AH27</f>
        <v>0</v>
      </c>
      <c r="K22" s="408">
        <f>'MC-PAV'!AJ26</f>
        <v>0</v>
      </c>
      <c r="L22" s="409">
        <f t="shared" si="0"/>
        <v>1695.73</v>
      </c>
    </row>
    <row r="23" spans="1:12" s="410" customFormat="1" ht="39.75" customHeight="1" hidden="1">
      <c r="A23" s="411">
        <v>15</v>
      </c>
      <c r="B23" s="412"/>
      <c r="C23" s="413"/>
      <c r="D23" s="413"/>
      <c r="E23" s="406"/>
      <c r="F23" s="407"/>
      <c r="G23" s="408">
        <f>'MC-DRE'!AD28+'MC-DRE'!AD56+'MC-DRE'!AD84+'MC-DRE'!AD112+'MC-DRE'!AD140+'MC-DRE'!AD168+'MC-DRE'!AD192+'MC-DRE'!AD216+'MC-DRE'!AD240+'MC-DRE'!AD264+'MC-DRE'!AD288</f>
        <v>0</v>
      </c>
      <c r="H23" s="408">
        <f>'MC-PAV'!W27</f>
        <v>0</v>
      </c>
      <c r="I23" s="408">
        <f>'MC-PAV'!AC27</f>
        <v>0</v>
      </c>
      <c r="J23" s="408">
        <f>'MC-TER'!AH28</f>
        <v>0</v>
      </c>
      <c r="K23" s="408">
        <f>'MC-PAV'!AJ27</f>
        <v>0</v>
      </c>
      <c r="L23" s="409">
        <f t="shared" si="0"/>
        <v>1695.73</v>
      </c>
    </row>
    <row r="24" spans="1:12" s="410" customFormat="1" ht="39.75" customHeight="1" hidden="1">
      <c r="A24" s="411">
        <v>16</v>
      </c>
      <c r="B24" s="412"/>
      <c r="C24" s="413"/>
      <c r="D24" s="413"/>
      <c r="E24" s="406"/>
      <c r="F24" s="407"/>
      <c r="G24" s="408">
        <f>'MC-DRE'!AD29+'MC-DRE'!AD57+'MC-DRE'!AD85+'MC-DRE'!AD113+'MC-DRE'!AD141+'MC-DRE'!AD169+'MC-DRE'!AD193+'MC-DRE'!AD217+'MC-DRE'!AD241+'MC-DRE'!AD265+'MC-DRE'!AD289</f>
        <v>0</v>
      </c>
      <c r="H24" s="408">
        <f>'MC-PAV'!W28</f>
        <v>0</v>
      </c>
      <c r="I24" s="408">
        <f>'MC-PAV'!AC28</f>
        <v>0</v>
      </c>
      <c r="J24" s="408">
        <f>'MC-TER'!AH29</f>
        <v>0</v>
      </c>
      <c r="K24" s="408">
        <f>'MC-PAV'!AJ28</f>
        <v>0</v>
      </c>
      <c r="L24" s="409">
        <f t="shared" si="0"/>
        <v>1695.73</v>
      </c>
    </row>
    <row r="25" spans="1:12" s="410" customFormat="1" ht="39.75" customHeight="1" hidden="1">
      <c r="A25" s="411">
        <v>17</v>
      </c>
      <c r="B25" s="412"/>
      <c r="C25" s="413"/>
      <c r="D25" s="413"/>
      <c r="E25" s="406"/>
      <c r="F25" s="407"/>
      <c r="G25" s="408">
        <f>'MC-DRE'!AD30+'MC-DRE'!AD58+'MC-DRE'!AD86+'MC-DRE'!AD114+'MC-DRE'!AD142+'MC-DRE'!AD170+'MC-DRE'!AD194+'MC-DRE'!AD218+'MC-DRE'!AD242+'MC-DRE'!AD266+'MC-DRE'!AD290</f>
        <v>0</v>
      </c>
      <c r="H25" s="408">
        <f>'MC-PAV'!W29</f>
        <v>0</v>
      </c>
      <c r="I25" s="408">
        <f>'MC-PAV'!AC29</f>
        <v>0</v>
      </c>
      <c r="J25" s="408">
        <f>'MC-TER'!AH30</f>
        <v>0</v>
      </c>
      <c r="K25" s="408">
        <f>'MC-PAV'!AJ29</f>
        <v>0</v>
      </c>
      <c r="L25" s="409">
        <f t="shared" si="0"/>
        <v>1695.73</v>
      </c>
    </row>
    <row r="26" spans="1:12" s="410" customFormat="1" ht="39.75" customHeight="1" hidden="1">
      <c r="A26" s="411">
        <v>18</v>
      </c>
      <c r="B26" s="412"/>
      <c r="C26" s="413"/>
      <c r="D26" s="413"/>
      <c r="E26" s="406"/>
      <c r="F26" s="407"/>
      <c r="G26" s="408">
        <f>'MC-DRE'!AD31+'MC-DRE'!AD59+'MC-DRE'!AD87+'MC-DRE'!AD115+'MC-DRE'!AD143+'MC-DRE'!AD171+'MC-DRE'!AD195+'MC-DRE'!AD219+'MC-DRE'!AD243+'MC-DRE'!AD267+'MC-DRE'!AD291</f>
        <v>0</v>
      </c>
      <c r="H26" s="408">
        <f>'MC-PAV'!W30</f>
        <v>0</v>
      </c>
      <c r="I26" s="408">
        <f>'MC-PAV'!AC30</f>
        <v>0</v>
      </c>
      <c r="J26" s="408">
        <f>'MC-TER'!AH31</f>
        <v>0</v>
      </c>
      <c r="K26" s="408">
        <f>'MC-PAV'!AJ30</f>
        <v>0</v>
      </c>
      <c r="L26" s="409">
        <f t="shared" si="0"/>
        <v>1695.73</v>
      </c>
    </row>
    <row r="27" spans="1:12" s="410" customFormat="1" ht="39.75" customHeight="1" hidden="1">
      <c r="A27" s="411">
        <v>19</v>
      </c>
      <c r="B27" s="412"/>
      <c r="C27" s="413"/>
      <c r="D27" s="413"/>
      <c r="E27" s="406"/>
      <c r="F27" s="407"/>
      <c r="G27" s="408">
        <f>'MC-DRE'!AD32+'MC-DRE'!AD60+'MC-DRE'!AD88+'MC-DRE'!AD116+'MC-DRE'!AD144+'MC-DRE'!AD172+'MC-DRE'!AD196+'MC-DRE'!AD220+'MC-DRE'!AD244+'MC-DRE'!AD268+'MC-DRE'!AD292</f>
        <v>0</v>
      </c>
      <c r="H27" s="408">
        <f>'MC-PAV'!W31</f>
        <v>0</v>
      </c>
      <c r="I27" s="408">
        <f>'MC-PAV'!AC31</f>
        <v>0</v>
      </c>
      <c r="J27" s="408">
        <f>'MC-TER'!AH32</f>
        <v>0</v>
      </c>
      <c r="K27" s="408">
        <f>'MC-PAV'!AJ31</f>
        <v>0</v>
      </c>
      <c r="L27" s="409">
        <f t="shared" si="0"/>
        <v>1695.73</v>
      </c>
    </row>
    <row r="28" spans="1:12" s="410" customFormat="1" ht="39.75" customHeight="1" hidden="1" thickBot="1">
      <c r="A28" s="414">
        <v>20</v>
      </c>
      <c r="B28" s="415"/>
      <c r="C28" s="416"/>
      <c r="D28" s="416"/>
      <c r="E28" s="546"/>
      <c r="F28" s="547"/>
      <c r="G28" s="548">
        <f>'MC-DRE'!AD33+'MC-DRE'!AD61+'MC-DRE'!AD89+'MC-DRE'!AD117+'MC-DRE'!AD145+'MC-DRE'!AD173+'MC-DRE'!AD197+'MC-DRE'!AD221+'MC-DRE'!AD245+'MC-DRE'!AD269+'MC-DRE'!AD293</f>
        <v>0</v>
      </c>
      <c r="H28" s="548">
        <f>'MC-PAV'!W32</f>
        <v>0</v>
      </c>
      <c r="I28" s="548">
        <f>'MC-PAV'!AC32</f>
        <v>0</v>
      </c>
      <c r="J28" s="548">
        <f>'MC-TER'!AH33</f>
        <v>0</v>
      </c>
      <c r="K28" s="548">
        <f>'MC-PAV'!AJ32</f>
        <v>0</v>
      </c>
      <c r="L28" s="549">
        <f t="shared" si="0"/>
        <v>1695.73</v>
      </c>
    </row>
    <row r="29" spans="1:12" s="338" customFormat="1" ht="60" customHeight="1" thickBot="1">
      <c r="A29" s="575" t="s">
        <v>414</v>
      </c>
      <c r="B29" s="576"/>
      <c r="C29" s="576"/>
      <c r="D29" s="576"/>
      <c r="E29" s="576"/>
      <c r="F29" s="576"/>
      <c r="G29" s="550">
        <f aca="true" t="shared" si="1" ref="G29:L29">G9+G10+G11</f>
        <v>247730.26</v>
      </c>
      <c r="H29" s="550">
        <f t="shared" si="1"/>
        <v>0</v>
      </c>
      <c r="I29" s="550">
        <f t="shared" si="1"/>
        <v>77432.12</v>
      </c>
      <c r="J29" s="550">
        <f t="shared" si="1"/>
        <v>0</v>
      </c>
      <c r="K29" s="550">
        <f t="shared" si="1"/>
        <v>0</v>
      </c>
      <c r="L29" s="450">
        <f t="shared" si="1"/>
        <v>330249.57</v>
      </c>
    </row>
    <row r="31" spans="1:12" ht="12.75">
      <c r="A31" s="577" t="s">
        <v>503</v>
      </c>
      <c r="B31" s="577"/>
      <c r="C31" s="577"/>
      <c r="D31" s="577"/>
      <c r="E31" s="577"/>
      <c r="F31" s="577"/>
      <c r="G31" s="577"/>
      <c r="H31" s="577"/>
      <c r="I31" s="577"/>
      <c r="J31" s="577"/>
      <c r="K31" s="577"/>
      <c r="L31" s="577"/>
    </row>
    <row r="32" spans="1:12" ht="12.75">
      <c r="A32" s="577"/>
      <c r="B32" s="577"/>
      <c r="C32" s="577"/>
      <c r="D32" s="577"/>
      <c r="E32" s="577"/>
      <c r="F32" s="577"/>
      <c r="G32" s="577"/>
      <c r="H32" s="577"/>
      <c r="I32" s="577"/>
      <c r="J32" s="577"/>
      <c r="K32" s="577"/>
      <c r="L32" s="577"/>
    </row>
    <row r="33" spans="1:12" ht="12.75">
      <c r="A33" s="577"/>
      <c r="B33" s="577"/>
      <c r="C33" s="577"/>
      <c r="D33" s="577"/>
      <c r="E33" s="577"/>
      <c r="F33" s="577"/>
      <c r="G33" s="577"/>
      <c r="H33" s="577"/>
      <c r="I33" s="577"/>
      <c r="J33" s="577"/>
      <c r="K33" s="577"/>
      <c r="L33" s="577"/>
    </row>
    <row r="34" spans="1:12" ht="12.75">
      <c r="A34" s="574" t="s">
        <v>501</v>
      </c>
      <c r="B34" s="574"/>
      <c r="C34" s="574"/>
      <c r="D34" s="574"/>
      <c r="E34" s="574"/>
      <c r="F34" s="574"/>
      <c r="G34" s="574"/>
      <c r="H34" s="574"/>
      <c r="I34" s="574"/>
      <c r="J34" s="574"/>
      <c r="K34" s="574"/>
      <c r="L34" s="574"/>
    </row>
    <row r="35" spans="1:12" ht="12.75">
      <c r="A35" s="574"/>
      <c r="B35" s="574"/>
      <c r="C35" s="574"/>
      <c r="D35" s="574"/>
      <c r="E35" s="574"/>
      <c r="F35" s="574"/>
      <c r="G35" s="574"/>
      <c r="H35" s="574"/>
      <c r="I35" s="574"/>
      <c r="J35" s="574"/>
      <c r="K35" s="574"/>
      <c r="L35" s="574"/>
    </row>
    <row r="36" spans="1:12" ht="12.75">
      <c r="A36" s="574"/>
      <c r="B36" s="574"/>
      <c r="C36" s="574"/>
      <c r="D36" s="574"/>
      <c r="E36" s="574"/>
      <c r="F36" s="574"/>
      <c r="G36" s="574"/>
      <c r="H36" s="574"/>
      <c r="I36" s="574"/>
      <c r="J36" s="574"/>
      <c r="K36" s="574"/>
      <c r="L36" s="574"/>
    </row>
    <row r="37" spans="1:12" ht="12.75">
      <c r="A37" s="574" t="s">
        <v>502</v>
      </c>
      <c r="B37" s="574"/>
      <c r="C37" s="574"/>
      <c r="D37" s="574"/>
      <c r="E37" s="574"/>
      <c r="F37" s="574"/>
      <c r="G37" s="574"/>
      <c r="H37" s="574"/>
      <c r="I37" s="574"/>
      <c r="J37" s="574"/>
      <c r="K37" s="574"/>
      <c r="L37" s="574"/>
    </row>
    <row r="38" spans="1:12" ht="12.75">
      <c r="A38" s="574"/>
      <c r="B38" s="574"/>
      <c r="C38" s="574"/>
      <c r="D38" s="574"/>
      <c r="E38" s="574"/>
      <c r="F38" s="574"/>
      <c r="G38" s="574"/>
      <c r="H38" s="574"/>
      <c r="I38" s="574"/>
      <c r="J38" s="574"/>
      <c r="K38" s="574"/>
      <c r="L38" s="574"/>
    </row>
    <row r="39" spans="1:12" ht="12.75">
      <c r="A39" s="574"/>
      <c r="B39" s="574"/>
      <c r="C39" s="574"/>
      <c r="D39" s="574"/>
      <c r="E39" s="574"/>
      <c r="F39" s="574"/>
      <c r="G39" s="574"/>
      <c r="H39" s="574"/>
      <c r="I39" s="574"/>
      <c r="J39" s="574"/>
      <c r="K39" s="574"/>
      <c r="L39" s="574"/>
    </row>
  </sheetData>
  <sheetProtection/>
  <mergeCells count="10">
    <mergeCell ref="A37:L39"/>
    <mergeCell ref="A34:L36"/>
    <mergeCell ref="A29:F29"/>
    <mergeCell ref="A31:L33"/>
    <mergeCell ref="A1:L1"/>
    <mergeCell ref="A2:L2"/>
    <mergeCell ref="A3:L3"/>
    <mergeCell ref="A4:L4"/>
    <mergeCell ref="A6:L6"/>
    <mergeCell ref="A7:L7"/>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47" r:id="rId4"/>
  <drawing r:id="rId3"/>
  <legacyDrawing r:id="rId2"/>
</worksheet>
</file>

<file path=xl/worksheets/sheet10.xml><?xml version="1.0" encoding="utf-8"?>
<worksheet xmlns="http://schemas.openxmlformats.org/spreadsheetml/2006/main" xmlns:r="http://schemas.openxmlformats.org/officeDocument/2006/relationships">
  <sheetPr>
    <tabColor theme="7" tint="0.39998000860214233"/>
  </sheetPr>
  <dimension ref="A1:G30"/>
  <sheetViews>
    <sheetView view="pageBreakPreview" zoomScale="85" zoomScaleNormal="85" zoomScaleSheetLayoutView="85" zoomScalePageLayoutView="0" workbookViewId="0" topLeftCell="A1">
      <selection activeCell="A7" sqref="A7:L7"/>
    </sheetView>
  </sheetViews>
  <sheetFormatPr defaultColWidth="9.140625" defaultRowHeight="12.75"/>
  <cols>
    <col min="1" max="1" width="9.28125" style="2" bestFit="1" customWidth="1"/>
    <col min="2" max="2" width="47.140625" style="2" customWidth="1"/>
    <col min="3" max="3" width="9.140625" style="2" customWidth="1"/>
    <col min="4" max="4" width="16.28125" style="2" customWidth="1"/>
    <col min="5" max="5" width="11.421875" style="2" bestFit="1" customWidth="1"/>
    <col min="6" max="6" width="9.140625" style="2" customWidth="1"/>
    <col min="7" max="7" width="11.57421875" style="2" bestFit="1" customWidth="1"/>
    <col min="8" max="16384" width="9.140625" style="2" customWidth="1"/>
  </cols>
  <sheetData>
    <row r="1" spans="1:7" s="61" customFormat="1" ht="12.75">
      <c r="A1" s="776"/>
      <c r="B1" s="777"/>
      <c r="C1" s="777"/>
      <c r="D1" s="777"/>
      <c r="E1" s="777"/>
      <c r="F1" s="777"/>
      <c r="G1" s="778"/>
    </row>
    <row r="2" spans="1:7" s="61" customFormat="1" ht="19.5" customHeight="1">
      <c r="A2" s="779" t="s">
        <v>20</v>
      </c>
      <c r="B2" s="780"/>
      <c r="C2" s="780"/>
      <c r="D2" s="780"/>
      <c r="E2" s="780"/>
      <c r="F2" s="780"/>
      <c r="G2" s="781"/>
    </row>
    <row r="3" spans="1:7" s="61" customFormat="1" ht="19.5" customHeight="1">
      <c r="A3" s="779" t="s">
        <v>199</v>
      </c>
      <c r="B3" s="780"/>
      <c r="C3" s="780"/>
      <c r="D3" s="780"/>
      <c r="E3" s="780"/>
      <c r="F3" s="780"/>
      <c r="G3" s="781"/>
    </row>
    <row r="4" spans="1:7" s="61" customFormat="1" ht="19.5" customHeight="1">
      <c r="A4" s="779" t="s">
        <v>19</v>
      </c>
      <c r="B4" s="780"/>
      <c r="C4" s="780"/>
      <c r="D4" s="780"/>
      <c r="E4" s="780"/>
      <c r="F4" s="780"/>
      <c r="G4" s="781"/>
    </row>
    <row r="5" spans="1:7" s="61" customFormat="1" ht="13.5" thickBot="1">
      <c r="A5" s="785"/>
      <c r="B5" s="786"/>
      <c r="C5" s="786"/>
      <c r="D5" s="786"/>
      <c r="E5" s="786"/>
      <c r="F5" s="786"/>
      <c r="G5" s="787"/>
    </row>
    <row r="6" spans="1:7" s="62" customFormat="1" ht="24.75" customHeight="1" thickBot="1" thickTop="1">
      <c r="A6" s="395" t="s">
        <v>656</v>
      </c>
      <c r="B6" s="841" t="s">
        <v>661</v>
      </c>
      <c r="C6" s="842"/>
      <c r="D6" s="842"/>
      <c r="E6" s="843"/>
      <c r="F6" s="788" t="s">
        <v>316</v>
      </c>
      <c r="G6" s="789"/>
    </row>
    <row r="7" spans="1:7" s="62" customFormat="1" ht="29.25" customHeight="1" thickTop="1">
      <c r="A7" s="761" t="str">
        <f>'ORÇAMENTO GERAL'!C7</f>
        <v>EXECUÇÃO DOS SERVIÇOS DE DRENAGEM SUPERFICIAL E PROFUNDA NA RUA DO PORTO E RUA DO PORTO 2 - DISTRITO INDUSTRIAL - NO MUNICÍPIO DE ANANINDEUA - PA.</v>
      </c>
      <c r="B7" s="762"/>
      <c r="C7" s="762"/>
      <c r="D7" s="762"/>
      <c r="E7" s="762"/>
      <c r="F7" s="762"/>
      <c r="G7" s="763"/>
    </row>
    <row r="8" spans="1:7" s="62" customFormat="1" ht="25.5">
      <c r="A8" s="114" t="s">
        <v>644</v>
      </c>
      <c r="B8" s="112" t="s">
        <v>200</v>
      </c>
      <c r="C8" s="63" t="s">
        <v>23</v>
      </c>
      <c r="D8" s="63" t="s">
        <v>201</v>
      </c>
      <c r="E8" s="63" t="s">
        <v>202</v>
      </c>
      <c r="F8" s="64" t="s">
        <v>203</v>
      </c>
      <c r="G8" s="115"/>
    </row>
    <row r="9" spans="1:7" s="62" customFormat="1" ht="24.75" customHeight="1" thickBot="1">
      <c r="A9" s="65">
        <v>88316</v>
      </c>
      <c r="B9" s="509" t="s">
        <v>204</v>
      </c>
      <c r="C9" s="66" t="s">
        <v>254</v>
      </c>
      <c r="D9" s="266">
        <v>0.0575</v>
      </c>
      <c r="E9" s="67">
        <v>17.09</v>
      </c>
      <c r="F9" s="68"/>
      <c r="G9" s="69">
        <f>ROUND(D9*E9,2)</f>
        <v>0.98</v>
      </c>
    </row>
    <row r="10" spans="1:7" s="62" customFormat="1" ht="19.5" customHeight="1" thickBot="1">
      <c r="A10" s="70"/>
      <c r="B10" s="68"/>
      <c r="C10" s="71"/>
      <c r="D10" s="72" t="s">
        <v>205</v>
      </c>
      <c r="E10" s="73"/>
      <c r="F10" s="74"/>
      <c r="G10" s="75">
        <f>SUM(G9:G9)</f>
        <v>0.98</v>
      </c>
    </row>
    <row r="11" spans="1:7" s="62" customFormat="1" ht="19.5" customHeight="1">
      <c r="A11" s="76"/>
      <c r="B11" s="510" t="s">
        <v>206</v>
      </c>
      <c r="C11" s="77" t="s">
        <v>23</v>
      </c>
      <c r="D11" s="78" t="s">
        <v>207</v>
      </c>
      <c r="E11" s="77" t="s">
        <v>208</v>
      </c>
      <c r="F11" s="79" t="s">
        <v>203</v>
      </c>
      <c r="G11" s="80"/>
    </row>
    <row r="12" spans="1:7" s="62" customFormat="1" ht="24.75" customHeight="1" thickBot="1">
      <c r="A12" s="81" t="s">
        <v>573</v>
      </c>
      <c r="B12" s="82" t="s">
        <v>593</v>
      </c>
      <c r="C12" s="84" t="s">
        <v>603</v>
      </c>
      <c r="D12" s="266">
        <v>1</v>
      </c>
      <c r="E12" s="117">
        <v>41</v>
      </c>
      <c r="F12" s="83"/>
      <c r="G12" s="69">
        <f>ROUND(D12*E12,2)</f>
        <v>41</v>
      </c>
    </row>
    <row r="13" spans="1:7" s="62" customFormat="1" ht="19.5" customHeight="1" thickBot="1">
      <c r="A13" s="70" t="s">
        <v>209</v>
      </c>
      <c r="B13" s="68"/>
      <c r="C13" s="71"/>
      <c r="D13" s="72" t="s">
        <v>210</v>
      </c>
      <c r="E13" s="85"/>
      <c r="F13" s="86"/>
      <c r="G13" s="75">
        <f>SUM(G12:G12)</f>
        <v>41</v>
      </c>
    </row>
    <row r="14" spans="1:7" s="62" customFormat="1" ht="19.5" customHeight="1">
      <c r="A14" s="76"/>
      <c r="B14" s="511" t="s">
        <v>211</v>
      </c>
      <c r="C14" s="77" t="s">
        <v>23</v>
      </c>
      <c r="D14" s="78" t="s">
        <v>207</v>
      </c>
      <c r="E14" s="77" t="s">
        <v>208</v>
      </c>
      <c r="F14" s="79" t="s">
        <v>203</v>
      </c>
      <c r="G14" s="80"/>
    </row>
    <row r="15" spans="1:7" s="62" customFormat="1" ht="24.75" customHeight="1">
      <c r="A15" s="81">
        <v>5901</v>
      </c>
      <c r="B15" s="118" t="s">
        <v>318</v>
      </c>
      <c r="C15" s="84" t="s">
        <v>186</v>
      </c>
      <c r="D15" s="265">
        <v>0.0527</v>
      </c>
      <c r="E15" s="117">
        <v>345.02</v>
      </c>
      <c r="F15" s="83"/>
      <c r="G15" s="69">
        <f aca="true" t="shared" si="0" ref="G15:G26">ROUND(D15*E15,2)</f>
        <v>18.18</v>
      </c>
    </row>
    <row r="16" spans="1:7" s="62" customFormat="1" ht="24.75" customHeight="1">
      <c r="A16" s="81">
        <v>5903</v>
      </c>
      <c r="B16" s="118" t="s">
        <v>320</v>
      </c>
      <c r="C16" s="84" t="s">
        <v>188</v>
      </c>
      <c r="D16" s="266">
        <v>0.0168</v>
      </c>
      <c r="E16" s="117">
        <v>56.14</v>
      </c>
      <c r="F16" s="83"/>
      <c r="G16" s="69">
        <f t="shared" si="0"/>
        <v>0.94</v>
      </c>
    </row>
    <row r="17" spans="1:7" s="62" customFormat="1" ht="24.75" customHeight="1">
      <c r="A17" s="81">
        <v>5921</v>
      </c>
      <c r="B17" s="118" t="s">
        <v>444</v>
      </c>
      <c r="C17" s="84" t="s">
        <v>186</v>
      </c>
      <c r="D17" s="266">
        <v>0.0072</v>
      </c>
      <c r="E17" s="117">
        <v>5.92</v>
      </c>
      <c r="F17" s="83"/>
      <c r="G17" s="69">
        <f t="shared" si="0"/>
        <v>0.04</v>
      </c>
    </row>
    <row r="18" spans="1:7" s="62" customFormat="1" ht="24.75" customHeight="1">
      <c r="A18" s="81">
        <v>5923</v>
      </c>
      <c r="B18" s="118" t="s">
        <v>446</v>
      </c>
      <c r="C18" s="84" t="s">
        <v>188</v>
      </c>
      <c r="D18" s="266">
        <v>0.0503</v>
      </c>
      <c r="E18" s="117">
        <v>3.68</v>
      </c>
      <c r="F18" s="83"/>
      <c r="G18" s="69">
        <f t="shared" si="0"/>
        <v>0.19</v>
      </c>
    </row>
    <row r="19" spans="1:7" s="62" customFormat="1" ht="24.75" customHeight="1">
      <c r="A19" s="81">
        <v>5932</v>
      </c>
      <c r="B19" s="118" t="s">
        <v>323</v>
      </c>
      <c r="C19" s="84" t="s">
        <v>186</v>
      </c>
      <c r="D19" s="266">
        <v>0.0059</v>
      </c>
      <c r="E19" s="117">
        <v>251.33</v>
      </c>
      <c r="F19" s="83"/>
      <c r="G19" s="69">
        <f>ROUND(D19*E19,2)</f>
        <v>1.48</v>
      </c>
    </row>
    <row r="20" spans="1:7" s="62" customFormat="1" ht="24.75" customHeight="1">
      <c r="A20" s="81">
        <v>5934</v>
      </c>
      <c r="B20" s="118" t="s">
        <v>326</v>
      </c>
      <c r="C20" s="84" t="s">
        <v>188</v>
      </c>
      <c r="D20" s="266">
        <v>0.0516</v>
      </c>
      <c r="E20" s="117">
        <v>76.02</v>
      </c>
      <c r="F20" s="83"/>
      <c r="G20" s="69">
        <f>ROUND(D20*E20,2)</f>
        <v>3.92</v>
      </c>
    </row>
    <row r="21" spans="1:7" s="62" customFormat="1" ht="24.75" customHeight="1">
      <c r="A21" s="81">
        <v>73436</v>
      </c>
      <c r="B21" s="118" t="s">
        <v>645</v>
      </c>
      <c r="C21" s="84" t="s">
        <v>186</v>
      </c>
      <c r="D21" s="266">
        <v>0.0407</v>
      </c>
      <c r="E21" s="117">
        <v>207.99</v>
      </c>
      <c r="F21" s="83"/>
      <c r="G21" s="69">
        <f t="shared" si="0"/>
        <v>8.47</v>
      </c>
    </row>
    <row r="22" spans="1:7" s="62" customFormat="1" ht="24.75" customHeight="1">
      <c r="A22" s="81">
        <v>89035</v>
      </c>
      <c r="B22" s="118" t="s">
        <v>304</v>
      </c>
      <c r="C22" s="84" t="s">
        <v>186</v>
      </c>
      <c r="D22" s="266">
        <v>0.0072</v>
      </c>
      <c r="E22" s="117">
        <v>134.92</v>
      </c>
      <c r="F22" s="83"/>
      <c r="G22" s="69">
        <f t="shared" si="0"/>
        <v>0.97</v>
      </c>
    </row>
    <row r="23" spans="1:7" s="62" customFormat="1" ht="24.75" customHeight="1">
      <c r="A23" s="81">
        <v>89036</v>
      </c>
      <c r="B23" s="118" t="s">
        <v>305</v>
      </c>
      <c r="C23" s="84" t="s">
        <v>188</v>
      </c>
      <c r="D23" s="266">
        <v>0.0503</v>
      </c>
      <c r="E23" s="117">
        <v>35.34</v>
      </c>
      <c r="F23" s="83"/>
      <c r="G23" s="69">
        <f>ROUND(D23*E23,2)</f>
        <v>1.78</v>
      </c>
    </row>
    <row r="24" spans="1:7" s="62" customFormat="1" ht="24.75" customHeight="1">
      <c r="A24" s="81">
        <v>93244</v>
      </c>
      <c r="B24" s="118" t="s">
        <v>646</v>
      </c>
      <c r="C24" s="84" t="s">
        <v>188</v>
      </c>
      <c r="D24" s="266">
        <v>0.0058</v>
      </c>
      <c r="E24" s="117">
        <v>56.95</v>
      </c>
      <c r="F24" s="83"/>
      <c r="G24" s="69">
        <f>ROUND(D24*E24,2)</f>
        <v>0.33</v>
      </c>
    </row>
    <row r="25" spans="1:7" s="62" customFormat="1" ht="24.75" customHeight="1">
      <c r="A25" s="81">
        <v>96463</v>
      </c>
      <c r="B25" s="118" t="s">
        <v>328</v>
      </c>
      <c r="C25" s="84" t="s">
        <v>186</v>
      </c>
      <c r="D25" s="266">
        <v>0.0058</v>
      </c>
      <c r="E25" s="117">
        <v>225.52</v>
      </c>
      <c r="F25" s="83"/>
      <c r="G25" s="69">
        <f t="shared" si="0"/>
        <v>1.31</v>
      </c>
    </row>
    <row r="26" spans="1:7" s="62" customFormat="1" ht="24.75" customHeight="1" thickBot="1">
      <c r="A26" s="81">
        <v>96464</v>
      </c>
      <c r="B26" s="118" t="s">
        <v>330</v>
      </c>
      <c r="C26" s="84" t="s">
        <v>188</v>
      </c>
      <c r="D26" s="266">
        <v>0.0517</v>
      </c>
      <c r="E26" s="117">
        <v>79.52</v>
      </c>
      <c r="F26" s="83"/>
      <c r="G26" s="69">
        <f t="shared" si="0"/>
        <v>4.11</v>
      </c>
    </row>
    <row r="27" spans="1:7" s="62" customFormat="1" ht="19.5" customHeight="1" thickBot="1">
      <c r="A27" s="87" t="s">
        <v>209</v>
      </c>
      <c r="B27" s="68"/>
      <c r="C27" s="71"/>
      <c r="D27" s="72" t="s">
        <v>213</v>
      </c>
      <c r="E27" s="85"/>
      <c r="F27" s="86"/>
      <c r="G27" s="75">
        <f>SUM(G15:G26)</f>
        <v>41.72</v>
      </c>
    </row>
    <row r="28" spans="1:7" s="62" customFormat="1" ht="19.5" customHeight="1">
      <c r="A28" s="751" t="s">
        <v>214</v>
      </c>
      <c r="B28" s="752"/>
      <c r="C28" s="752"/>
      <c r="D28" s="752"/>
      <c r="E28" s="752"/>
      <c r="F28" s="753"/>
      <c r="G28" s="88">
        <f>SUM(G10+G13+G27)</f>
        <v>83.7</v>
      </c>
    </row>
    <row r="29" spans="1:7" s="62" customFormat="1" ht="19.5" customHeight="1" thickBot="1">
      <c r="A29" s="89"/>
      <c r="B29" s="90"/>
      <c r="C29" s="71"/>
      <c r="D29" s="91" t="s">
        <v>215</v>
      </c>
      <c r="E29" s="92">
        <v>0.2746</v>
      </c>
      <c r="F29" s="68"/>
      <c r="G29" s="93">
        <f>E29*G28</f>
        <v>22.98</v>
      </c>
    </row>
    <row r="30" spans="1:7" s="62" customFormat="1" ht="19.5" customHeight="1" thickBot="1">
      <c r="A30" s="94" t="s">
        <v>216</v>
      </c>
      <c r="B30" s="95"/>
      <c r="C30" s="96"/>
      <c r="D30" s="95"/>
      <c r="E30" s="95"/>
      <c r="F30" s="97"/>
      <c r="G30" s="98">
        <f>SUM(G28:G29)</f>
        <v>106.68</v>
      </c>
    </row>
  </sheetData>
  <sheetProtection/>
  <mergeCells count="9">
    <mergeCell ref="A7:G7"/>
    <mergeCell ref="A28:F28"/>
    <mergeCell ref="A1:G1"/>
    <mergeCell ref="A2:G2"/>
    <mergeCell ref="A3:G3"/>
    <mergeCell ref="A4:G4"/>
    <mergeCell ref="A5:G5"/>
    <mergeCell ref="B6:E6"/>
    <mergeCell ref="F6:G6"/>
  </mergeCells>
  <printOptions/>
  <pageMargins left="0.511811024" right="0.511811024" top="0.787401575" bottom="0.787401575" header="0.31496062" footer="0.31496062"/>
  <pageSetup horizontalDpi="600" verticalDpi="600" orientation="portrait" paperSize="9" scale="82" r:id="rId2"/>
  <drawing r:id="rId1"/>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H60"/>
  <sheetViews>
    <sheetView view="pageBreakPreview" zoomScaleSheetLayoutView="100" zoomScalePageLayoutView="0" workbookViewId="0" topLeftCell="A1">
      <selection activeCell="A7" sqref="A7:L7"/>
    </sheetView>
  </sheetViews>
  <sheetFormatPr defaultColWidth="9.140625" defaultRowHeight="12.75"/>
  <cols>
    <col min="1" max="1" width="9.140625" style="2" customWidth="1"/>
    <col min="2" max="2" width="9.28125" style="2" bestFit="1" customWidth="1"/>
    <col min="3" max="3" width="51.8515625" style="2" customWidth="1"/>
    <col min="4" max="4" width="9.140625" style="2" customWidth="1"/>
    <col min="5" max="5" width="16.28125" style="2" customWidth="1"/>
    <col min="6" max="6" width="11.421875" style="2" bestFit="1" customWidth="1"/>
    <col min="7" max="7" width="14.140625" style="2" bestFit="1" customWidth="1"/>
    <col min="8" max="8" width="11.57421875" style="2" bestFit="1" customWidth="1"/>
    <col min="9" max="16384" width="9.140625" style="2" customWidth="1"/>
  </cols>
  <sheetData>
    <row r="1" spans="1:8" s="61" customFormat="1" ht="15" customHeight="1">
      <c r="A1" s="260"/>
      <c r="B1" s="777"/>
      <c r="C1" s="777"/>
      <c r="D1" s="777"/>
      <c r="E1" s="777"/>
      <c r="F1" s="777"/>
      <c r="G1" s="777"/>
      <c r="H1" s="778"/>
    </row>
    <row r="2" spans="1:8" s="61" customFormat="1" ht="15" customHeight="1">
      <c r="A2" s="779" t="s">
        <v>20</v>
      </c>
      <c r="B2" s="780"/>
      <c r="C2" s="780"/>
      <c r="D2" s="780"/>
      <c r="E2" s="780"/>
      <c r="F2" s="780"/>
      <c r="G2" s="780"/>
      <c r="H2" s="781"/>
    </row>
    <row r="3" spans="1:8" s="61" customFormat="1" ht="15" customHeight="1">
      <c r="A3" s="782" t="s">
        <v>199</v>
      </c>
      <c r="B3" s="783"/>
      <c r="C3" s="783"/>
      <c r="D3" s="783"/>
      <c r="E3" s="783"/>
      <c r="F3" s="783"/>
      <c r="G3" s="783"/>
      <c r="H3" s="784"/>
    </row>
    <row r="4" spans="1:8" s="61" customFormat="1" ht="15" customHeight="1">
      <c r="A4" s="782" t="s">
        <v>19</v>
      </c>
      <c r="B4" s="783"/>
      <c r="C4" s="783"/>
      <c r="D4" s="783"/>
      <c r="E4" s="783"/>
      <c r="F4" s="783"/>
      <c r="G4" s="783"/>
      <c r="H4" s="784"/>
    </row>
    <row r="5" spans="1:8" s="61" customFormat="1" ht="15" customHeight="1" thickBot="1">
      <c r="A5" s="261"/>
      <c r="B5" s="874"/>
      <c r="C5" s="874"/>
      <c r="D5" s="874"/>
      <c r="E5" s="874"/>
      <c r="F5" s="874"/>
      <c r="G5" s="874"/>
      <c r="H5" s="875"/>
    </row>
    <row r="6" spans="1:8" s="62" customFormat="1" ht="24.75" customHeight="1" thickBot="1" thickTop="1">
      <c r="A6" s="400" t="s">
        <v>657</v>
      </c>
      <c r="B6" s="418" t="s">
        <v>665</v>
      </c>
      <c r="C6" s="802" t="s">
        <v>313</v>
      </c>
      <c r="D6" s="802"/>
      <c r="E6" s="802"/>
      <c r="F6" s="802"/>
      <c r="G6" s="876" t="s">
        <v>312</v>
      </c>
      <c r="H6" s="877"/>
    </row>
    <row r="7" spans="1:8" s="62" customFormat="1" ht="40.5" customHeight="1" thickTop="1">
      <c r="A7" s="868" t="str">
        <f>'ORÇAMENTO GERAL'!C7</f>
        <v>EXECUÇÃO DOS SERVIÇOS DE DRENAGEM SUPERFICIAL E PROFUNDA NA RUA DO PORTO E RUA DO PORTO 2 - DISTRITO INDUSTRIAL - NO MUNICÍPIO DE ANANINDEUA - PA.</v>
      </c>
      <c r="B7" s="869"/>
      <c r="C7" s="869"/>
      <c r="D7" s="869"/>
      <c r="E7" s="869"/>
      <c r="F7" s="869"/>
      <c r="G7" s="869"/>
      <c r="H7" s="870"/>
    </row>
    <row r="8" spans="1:8" s="62" customFormat="1" ht="19.5" customHeight="1">
      <c r="A8" s="871" t="s">
        <v>200</v>
      </c>
      <c r="B8" s="872"/>
      <c r="C8" s="872"/>
      <c r="D8" s="872"/>
      <c r="E8" s="872"/>
      <c r="F8" s="872"/>
      <c r="G8" s="872"/>
      <c r="H8" s="873"/>
    </row>
    <row r="9" spans="1:8" s="62" customFormat="1" ht="19.5" customHeight="1">
      <c r="A9" s="247" t="s">
        <v>37</v>
      </c>
      <c r="B9" s="248" t="s">
        <v>314</v>
      </c>
      <c r="C9" s="249" t="s">
        <v>38</v>
      </c>
      <c r="D9" s="248" t="s">
        <v>39</v>
      </c>
      <c r="E9" s="249" t="s">
        <v>163</v>
      </c>
      <c r="F9" s="250" t="s">
        <v>40</v>
      </c>
      <c r="G9" s="858" t="s">
        <v>41</v>
      </c>
      <c r="H9" s="859"/>
    </row>
    <row r="10" spans="1:8" s="62" customFormat="1" ht="19.5" customHeight="1" thickBot="1">
      <c r="A10" s="262">
        <v>1</v>
      </c>
      <c r="B10" s="251" t="s">
        <v>45</v>
      </c>
      <c r="C10" s="417" t="s">
        <v>204</v>
      </c>
      <c r="D10" s="66" t="s">
        <v>254</v>
      </c>
      <c r="E10" s="140">
        <v>0.0058</v>
      </c>
      <c r="F10" s="67">
        <v>17.09</v>
      </c>
      <c r="G10" s="68"/>
      <c r="H10" s="69">
        <f>ROUND(E10*F10,2)</f>
        <v>0.1</v>
      </c>
    </row>
    <row r="11" spans="1:8" s="62" customFormat="1" ht="19.5" customHeight="1" thickBot="1">
      <c r="A11" s="263"/>
      <c r="B11" s="71"/>
      <c r="C11" s="68"/>
      <c r="D11" s="71"/>
      <c r="E11" s="72" t="s">
        <v>205</v>
      </c>
      <c r="F11" s="73"/>
      <c r="G11" s="74"/>
      <c r="H11" s="75">
        <f>SUM(H10:H10)</f>
        <v>0.1</v>
      </c>
    </row>
    <row r="12" spans="1:8" s="62" customFormat="1" ht="19.5" customHeight="1">
      <c r="A12" s="860" t="s">
        <v>206</v>
      </c>
      <c r="B12" s="861"/>
      <c r="C12" s="861"/>
      <c r="D12" s="861"/>
      <c r="E12" s="861"/>
      <c r="F12" s="861"/>
      <c r="G12" s="861"/>
      <c r="H12" s="862"/>
    </row>
    <row r="13" spans="1:8" s="62" customFormat="1" ht="19.5" customHeight="1">
      <c r="A13" s="247" t="s">
        <v>37</v>
      </c>
      <c r="B13" s="248" t="s">
        <v>314</v>
      </c>
      <c r="C13" s="249" t="s">
        <v>38</v>
      </c>
      <c r="D13" s="248" t="s">
        <v>39</v>
      </c>
      <c r="E13" s="249" t="s">
        <v>163</v>
      </c>
      <c r="F13" s="250" t="s">
        <v>40</v>
      </c>
      <c r="G13" s="863" t="s">
        <v>41</v>
      </c>
      <c r="H13" s="864"/>
    </row>
    <row r="14" spans="1:8" s="62" customFormat="1" ht="19.5" customHeight="1" thickBot="1">
      <c r="A14" s="262">
        <v>1</v>
      </c>
      <c r="B14" s="252" t="s">
        <v>343</v>
      </c>
      <c r="C14" s="141" t="s">
        <v>344</v>
      </c>
      <c r="D14" s="84" t="s">
        <v>187</v>
      </c>
      <c r="E14" s="116">
        <v>1.2</v>
      </c>
      <c r="F14" s="117">
        <f>G34</f>
        <v>8.8</v>
      </c>
      <c r="G14" s="83"/>
      <c r="H14" s="69">
        <f>ROUND(E14*F14,2)</f>
        <v>10.56</v>
      </c>
    </row>
    <row r="15" spans="1:8" s="62" customFormat="1" ht="19.5" customHeight="1" thickBot="1">
      <c r="A15" s="263"/>
      <c r="B15" s="71" t="s">
        <v>209</v>
      </c>
      <c r="C15" s="68"/>
      <c r="D15" s="71"/>
      <c r="E15" s="72" t="s">
        <v>210</v>
      </c>
      <c r="F15" s="85"/>
      <c r="G15" s="86"/>
      <c r="H15" s="75">
        <f>SUM(H14:H14)</f>
        <v>10.56</v>
      </c>
    </row>
    <row r="16" spans="1:8" s="62" customFormat="1" ht="19.5" customHeight="1">
      <c r="A16" s="865" t="s">
        <v>211</v>
      </c>
      <c r="B16" s="866"/>
      <c r="C16" s="866"/>
      <c r="D16" s="866"/>
      <c r="E16" s="866"/>
      <c r="F16" s="866"/>
      <c r="G16" s="866"/>
      <c r="H16" s="867"/>
    </row>
    <row r="17" spans="1:8" s="62" customFormat="1" ht="19.5" customHeight="1">
      <c r="A17" s="247" t="s">
        <v>37</v>
      </c>
      <c r="B17" s="248" t="s">
        <v>314</v>
      </c>
      <c r="C17" s="249" t="s">
        <v>38</v>
      </c>
      <c r="D17" s="248" t="s">
        <v>39</v>
      </c>
      <c r="E17" s="249" t="s">
        <v>163</v>
      </c>
      <c r="F17" s="250" t="s">
        <v>40</v>
      </c>
      <c r="G17" s="863" t="s">
        <v>41</v>
      </c>
      <c r="H17" s="864"/>
    </row>
    <row r="18" spans="1:8" s="62" customFormat="1" ht="19.5" customHeight="1">
      <c r="A18" s="262">
        <v>1</v>
      </c>
      <c r="B18" s="252">
        <v>5839</v>
      </c>
      <c r="C18" s="118" t="s">
        <v>302</v>
      </c>
      <c r="D18" s="84" t="s">
        <v>186</v>
      </c>
      <c r="E18" s="142" t="s">
        <v>345</v>
      </c>
      <c r="F18" s="117">
        <v>11.36</v>
      </c>
      <c r="G18" s="83"/>
      <c r="H18" s="69">
        <f aca="true" t="shared" si="0" ref="H18:H23">ROUND(E18*F18,2)</f>
        <v>0.02</v>
      </c>
    </row>
    <row r="19" spans="1:8" s="62" customFormat="1" ht="19.5" customHeight="1">
      <c r="A19" s="262">
        <v>2</v>
      </c>
      <c r="B19" s="252" t="s">
        <v>346</v>
      </c>
      <c r="C19" s="118" t="s">
        <v>303</v>
      </c>
      <c r="D19" s="84" t="s">
        <v>188</v>
      </c>
      <c r="E19" s="142" t="s">
        <v>347</v>
      </c>
      <c r="F19" s="117">
        <v>5.4</v>
      </c>
      <c r="G19" s="83"/>
      <c r="H19" s="69">
        <f t="shared" si="0"/>
        <v>0.02</v>
      </c>
    </row>
    <row r="20" spans="1:8" s="62" customFormat="1" ht="19.5" customHeight="1">
      <c r="A20" s="262">
        <v>3</v>
      </c>
      <c r="B20" s="252">
        <v>83362</v>
      </c>
      <c r="C20" s="118" t="s">
        <v>348</v>
      </c>
      <c r="D20" s="84" t="s">
        <v>186</v>
      </c>
      <c r="E20" s="142" t="s">
        <v>349</v>
      </c>
      <c r="F20" s="117">
        <v>285.19</v>
      </c>
      <c r="G20" s="83"/>
      <c r="H20" s="69">
        <f t="shared" si="0"/>
        <v>0.29</v>
      </c>
    </row>
    <row r="21" spans="1:8" s="62" customFormat="1" ht="19.5" customHeight="1">
      <c r="A21" s="262">
        <v>4</v>
      </c>
      <c r="B21" s="252" t="s">
        <v>350</v>
      </c>
      <c r="C21" s="118" t="s">
        <v>304</v>
      </c>
      <c r="D21" s="84" t="s">
        <v>186</v>
      </c>
      <c r="E21" s="142" t="s">
        <v>351</v>
      </c>
      <c r="F21" s="117">
        <v>134.92</v>
      </c>
      <c r="G21" s="83"/>
      <c r="H21" s="69">
        <f t="shared" si="0"/>
        <v>0.23</v>
      </c>
    </row>
    <row r="22" spans="1:8" s="62" customFormat="1" ht="19.5" customHeight="1">
      <c r="A22" s="262">
        <v>5</v>
      </c>
      <c r="B22" s="252" t="s">
        <v>352</v>
      </c>
      <c r="C22" s="118" t="s">
        <v>305</v>
      </c>
      <c r="D22" s="84" t="s">
        <v>188</v>
      </c>
      <c r="E22" s="142" t="s">
        <v>353</v>
      </c>
      <c r="F22" s="117">
        <v>35.34</v>
      </c>
      <c r="G22" s="83"/>
      <c r="H22" s="69">
        <f t="shared" si="0"/>
        <v>0.14</v>
      </c>
    </row>
    <row r="23" spans="1:8" s="62" customFormat="1" ht="19.5" customHeight="1" thickBot="1">
      <c r="A23" s="262">
        <v>6</v>
      </c>
      <c r="B23" s="252">
        <v>91486</v>
      </c>
      <c r="C23" s="118" t="s">
        <v>354</v>
      </c>
      <c r="D23" s="84" t="s">
        <v>188</v>
      </c>
      <c r="E23" s="142" t="s">
        <v>355</v>
      </c>
      <c r="F23" s="117">
        <v>51.55</v>
      </c>
      <c r="G23" s="83"/>
      <c r="H23" s="69">
        <f t="shared" si="0"/>
        <v>0.25</v>
      </c>
    </row>
    <row r="24" spans="1:8" s="62" customFormat="1" ht="19.5" customHeight="1" thickBot="1">
      <c r="A24" s="263"/>
      <c r="B24" s="68" t="s">
        <v>209</v>
      </c>
      <c r="C24" s="68"/>
      <c r="D24" s="71"/>
      <c r="E24" s="72" t="s">
        <v>213</v>
      </c>
      <c r="F24" s="85"/>
      <c r="G24" s="86"/>
      <c r="H24" s="75">
        <f>SUM(H18:H23)</f>
        <v>0.95</v>
      </c>
    </row>
    <row r="25" spans="1:8" s="62" customFormat="1" ht="19.5" customHeight="1">
      <c r="A25" s="263"/>
      <c r="B25" s="752" t="s">
        <v>214</v>
      </c>
      <c r="C25" s="752"/>
      <c r="D25" s="752"/>
      <c r="E25" s="752"/>
      <c r="F25" s="752"/>
      <c r="G25" s="753"/>
      <c r="H25" s="88">
        <f>SUM(H11+H15+H24)</f>
        <v>11.61</v>
      </c>
    </row>
    <row r="26" spans="1:8" s="62" customFormat="1" ht="19.5" customHeight="1" thickBot="1">
      <c r="A26" s="264"/>
      <c r="B26" s="848" t="s">
        <v>215</v>
      </c>
      <c r="C26" s="848"/>
      <c r="D26" s="848"/>
      <c r="E26" s="848"/>
      <c r="F26" s="848"/>
      <c r="G26" s="253">
        <v>0.2746</v>
      </c>
      <c r="H26" s="254">
        <f>H25*G26</f>
        <v>3.19</v>
      </c>
    </row>
    <row r="27" spans="1:8" s="62" customFormat="1" ht="19.5" customHeight="1" thickBot="1">
      <c r="A27" s="255"/>
      <c r="B27" s="256" t="s">
        <v>216</v>
      </c>
      <c r="C27" s="256"/>
      <c r="D27" s="257"/>
      <c r="E27" s="256"/>
      <c r="F27" s="256"/>
      <c r="G27" s="258"/>
      <c r="H27" s="259">
        <f>SUM(H25:H26)</f>
        <v>14.8</v>
      </c>
    </row>
    <row r="28" spans="1:8" s="62" customFormat="1" ht="19.5" customHeight="1">
      <c r="A28" s="433"/>
      <c r="B28" s="429"/>
      <c r="C28" s="429"/>
      <c r="D28" s="430"/>
      <c r="E28" s="429"/>
      <c r="F28" s="429"/>
      <c r="G28" s="431"/>
      <c r="H28" s="432"/>
    </row>
    <row r="29" spans="1:7" ht="12.75">
      <c r="A29" s="756" t="s">
        <v>524</v>
      </c>
      <c r="B29" s="756"/>
      <c r="C29" s="756"/>
      <c r="D29" s="756"/>
      <c r="E29" s="756"/>
      <c r="F29" s="756"/>
      <c r="G29" s="756"/>
    </row>
    <row r="30" spans="1:7" ht="15">
      <c r="A30" s="854" t="s">
        <v>6</v>
      </c>
      <c r="B30" s="855"/>
      <c r="C30" s="423" t="s">
        <v>195</v>
      </c>
      <c r="D30" s="424" t="s">
        <v>158</v>
      </c>
      <c r="E30" s="425" t="s">
        <v>525</v>
      </c>
      <c r="F30" s="425" t="s">
        <v>526</v>
      </c>
      <c r="G30" s="426" t="s">
        <v>358</v>
      </c>
    </row>
    <row r="31" spans="1:7" ht="15">
      <c r="A31" s="856" t="s">
        <v>374</v>
      </c>
      <c r="B31" s="856"/>
      <c r="C31" s="378" t="s">
        <v>527</v>
      </c>
      <c r="D31" s="375">
        <v>1</v>
      </c>
      <c r="E31" s="375" t="s">
        <v>505</v>
      </c>
      <c r="F31" s="427">
        <v>9100</v>
      </c>
      <c r="G31" s="427">
        <f>F31/1000</f>
        <v>9.1</v>
      </c>
    </row>
    <row r="32" spans="1:7" ht="15">
      <c r="A32" s="856" t="s">
        <v>374</v>
      </c>
      <c r="B32" s="856"/>
      <c r="C32" s="378" t="s">
        <v>528</v>
      </c>
      <c r="D32" s="375">
        <v>1</v>
      </c>
      <c r="E32" s="375" t="s">
        <v>505</v>
      </c>
      <c r="F32" s="427">
        <v>8500</v>
      </c>
      <c r="G32" s="427">
        <f>F32/1000</f>
        <v>8.5</v>
      </c>
    </row>
    <row r="33" spans="1:7" ht="15" hidden="1">
      <c r="A33" s="856" t="s">
        <v>374</v>
      </c>
      <c r="B33" s="856"/>
      <c r="C33" s="378"/>
      <c r="D33" s="375">
        <v>1</v>
      </c>
      <c r="E33" s="375" t="s">
        <v>505</v>
      </c>
      <c r="F33" s="427"/>
      <c r="G33" s="427">
        <f>F33/1000</f>
        <v>0</v>
      </c>
    </row>
    <row r="34" spans="1:7" ht="15">
      <c r="A34" s="857" t="s">
        <v>529</v>
      </c>
      <c r="B34" s="857"/>
      <c r="C34" s="857"/>
      <c r="D34" s="857"/>
      <c r="E34" s="857"/>
      <c r="F34" s="857"/>
      <c r="G34" s="428">
        <f>(G31+G32+G33)/2</f>
        <v>8.8</v>
      </c>
    </row>
    <row r="37" spans="1:7" ht="15">
      <c r="A37" s="849" t="s">
        <v>343</v>
      </c>
      <c r="B37" s="849"/>
      <c r="C37" s="849"/>
      <c r="D37" s="849"/>
      <c r="E37" s="849"/>
      <c r="F37" s="849"/>
      <c r="G37" s="849"/>
    </row>
    <row r="38" spans="1:7" ht="15">
      <c r="A38" s="850" t="s">
        <v>356</v>
      </c>
      <c r="B38" s="851"/>
      <c r="C38" s="852"/>
      <c r="D38" s="853" t="s">
        <v>357</v>
      </c>
      <c r="E38" s="853"/>
      <c r="F38" s="281"/>
      <c r="G38" s="282" t="s">
        <v>358</v>
      </c>
    </row>
    <row r="39" spans="1:7" ht="12.75">
      <c r="A39" s="847" t="s">
        <v>359</v>
      </c>
      <c r="B39" s="847"/>
      <c r="C39" s="847"/>
      <c r="D39" s="847"/>
      <c r="E39" s="847"/>
      <c r="F39" s="283"/>
      <c r="G39" s="284"/>
    </row>
    <row r="40" spans="1:7" ht="12.75">
      <c r="A40" s="844" t="s">
        <v>360</v>
      </c>
      <c r="B40" s="844"/>
      <c r="C40" s="844"/>
      <c r="D40" s="844"/>
      <c r="E40" s="844"/>
      <c r="F40" s="285"/>
      <c r="G40" s="285"/>
    </row>
    <row r="41" spans="1:7" ht="12.75">
      <c r="A41" s="844" t="s">
        <v>361</v>
      </c>
      <c r="B41" s="844"/>
      <c r="C41" s="844"/>
      <c r="D41" s="844"/>
      <c r="E41" s="844"/>
      <c r="F41" s="285"/>
      <c r="G41" s="285"/>
    </row>
    <row r="42" spans="1:7" ht="15">
      <c r="A42" s="846" t="s">
        <v>362</v>
      </c>
      <c r="B42" s="846"/>
      <c r="C42" s="846"/>
      <c r="D42" s="846"/>
      <c r="E42" s="846"/>
      <c r="F42" s="286"/>
      <c r="G42" s="286"/>
    </row>
    <row r="43" spans="1:7" ht="15">
      <c r="A43" s="844" t="s">
        <v>363</v>
      </c>
      <c r="B43" s="844"/>
      <c r="C43" s="844"/>
      <c r="D43" s="844"/>
      <c r="E43" s="844"/>
      <c r="F43" s="287"/>
      <c r="G43" s="288"/>
    </row>
    <row r="44" spans="1:7" ht="15">
      <c r="A44" s="844" t="s">
        <v>364</v>
      </c>
      <c r="B44" s="844"/>
      <c r="C44" s="844"/>
      <c r="D44" s="844"/>
      <c r="E44" s="844"/>
      <c r="F44" s="289"/>
      <c r="G44" s="288"/>
    </row>
    <row r="45" spans="1:7" ht="15">
      <c r="A45" s="844" t="s">
        <v>365</v>
      </c>
      <c r="B45" s="844"/>
      <c r="C45" s="844"/>
      <c r="D45" s="844"/>
      <c r="E45" s="844"/>
      <c r="F45" s="289"/>
      <c r="G45" s="288"/>
    </row>
    <row r="46" spans="1:7" ht="15">
      <c r="A46" s="844" t="s">
        <v>366</v>
      </c>
      <c r="B46" s="844"/>
      <c r="C46" s="844"/>
      <c r="D46" s="844"/>
      <c r="E46" s="844"/>
      <c r="F46" s="289"/>
      <c r="G46" s="288"/>
    </row>
    <row r="47" spans="1:7" ht="15">
      <c r="A47" s="844" t="s">
        <v>367</v>
      </c>
      <c r="B47" s="844"/>
      <c r="C47" s="844"/>
      <c r="D47" s="844"/>
      <c r="E47" s="844"/>
      <c r="F47" s="289"/>
      <c r="G47" s="288"/>
    </row>
    <row r="48" spans="1:7" ht="15">
      <c r="A48" s="845" t="s">
        <v>368</v>
      </c>
      <c r="B48" s="845"/>
      <c r="C48" s="845"/>
      <c r="D48" s="845"/>
      <c r="E48" s="845"/>
      <c r="F48" s="290"/>
      <c r="G48" s="291"/>
    </row>
    <row r="49" spans="1:7" ht="15">
      <c r="A49" s="844" t="s">
        <v>369</v>
      </c>
      <c r="B49" s="844"/>
      <c r="C49" s="844"/>
      <c r="D49" s="844"/>
      <c r="E49" s="844"/>
      <c r="F49" s="289"/>
      <c r="G49" s="288"/>
    </row>
    <row r="50" spans="1:7" ht="15">
      <c r="A50" s="844" t="s">
        <v>370</v>
      </c>
      <c r="B50" s="844"/>
      <c r="C50" s="844"/>
      <c r="D50" s="844"/>
      <c r="E50" s="844"/>
      <c r="F50" s="289"/>
      <c r="G50" s="288"/>
    </row>
    <row r="51" spans="1:7" ht="15">
      <c r="A51" s="844" t="s">
        <v>371</v>
      </c>
      <c r="B51" s="844"/>
      <c r="C51" s="844"/>
      <c r="D51" s="844" t="s">
        <v>372</v>
      </c>
      <c r="E51" s="844"/>
      <c r="F51" s="289">
        <v>3680</v>
      </c>
      <c r="G51" s="288">
        <f>F51/1000</f>
        <v>3.68</v>
      </c>
    </row>
    <row r="52" spans="1:7" ht="15">
      <c r="A52" s="844" t="s">
        <v>373</v>
      </c>
      <c r="B52" s="844"/>
      <c r="C52" s="844"/>
      <c r="D52" s="844"/>
      <c r="E52" s="844"/>
      <c r="F52" s="289"/>
      <c r="G52" s="288"/>
    </row>
    <row r="53" spans="1:7" ht="15">
      <c r="A53" s="844" t="s">
        <v>374</v>
      </c>
      <c r="B53" s="844"/>
      <c r="C53" s="844"/>
      <c r="D53" s="844"/>
      <c r="E53" s="844"/>
      <c r="F53" s="289"/>
      <c r="G53" s="288"/>
    </row>
    <row r="54" spans="1:7" ht="15">
      <c r="A54" s="844" t="s">
        <v>375</v>
      </c>
      <c r="B54" s="844"/>
      <c r="C54" s="844"/>
      <c r="D54" s="844"/>
      <c r="E54" s="844"/>
      <c r="F54" s="289"/>
      <c r="G54" s="288"/>
    </row>
    <row r="55" spans="1:7" ht="15">
      <c r="A55" s="844" t="s">
        <v>376</v>
      </c>
      <c r="B55" s="844"/>
      <c r="C55" s="844"/>
      <c r="D55" s="844"/>
      <c r="E55" s="844"/>
      <c r="F55" s="289"/>
      <c r="G55" s="288"/>
    </row>
    <row r="56" spans="1:7" ht="15">
      <c r="A56" s="844" t="s">
        <v>377</v>
      </c>
      <c r="B56" s="844"/>
      <c r="C56" s="844"/>
      <c r="D56" s="844"/>
      <c r="E56" s="844"/>
      <c r="F56" s="292"/>
      <c r="G56" s="293"/>
    </row>
    <row r="57" spans="1:7" ht="15">
      <c r="A57" s="845" t="s">
        <v>378</v>
      </c>
      <c r="B57" s="845"/>
      <c r="C57" s="845"/>
      <c r="D57" s="844"/>
      <c r="E57" s="844"/>
      <c r="F57" s="289"/>
      <c r="G57" s="294"/>
    </row>
    <row r="58" spans="1:7" ht="15">
      <c r="A58" s="844" t="s">
        <v>379</v>
      </c>
      <c r="B58" s="844"/>
      <c r="C58" s="844"/>
      <c r="D58" s="844"/>
      <c r="E58" s="844"/>
      <c r="F58" s="289"/>
      <c r="G58" s="288"/>
    </row>
    <row r="59" spans="1:7" ht="15">
      <c r="A59" s="844" t="s">
        <v>380</v>
      </c>
      <c r="B59" s="844"/>
      <c r="C59" s="844"/>
      <c r="D59" s="844"/>
      <c r="E59" s="844"/>
      <c r="F59" s="289"/>
      <c r="G59" s="288"/>
    </row>
    <row r="60" spans="1:7" ht="15">
      <c r="A60" s="844" t="s">
        <v>381</v>
      </c>
      <c r="B60" s="844"/>
      <c r="C60" s="844"/>
      <c r="D60" s="844"/>
      <c r="E60" s="844"/>
      <c r="F60" s="289"/>
      <c r="G60" s="288"/>
    </row>
  </sheetData>
  <sheetProtection/>
  <mergeCells count="69">
    <mergeCell ref="A7:H7"/>
    <mergeCell ref="A8:H8"/>
    <mergeCell ref="B1:H1"/>
    <mergeCell ref="A2:H2"/>
    <mergeCell ref="A3:H3"/>
    <mergeCell ref="A4:H4"/>
    <mergeCell ref="B5:H5"/>
    <mergeCell ref="C6:F6"/>
    <mergeCell ref="G6:H6"/>
    <mergeCell ref="G9:H9"/>
    <mergeCell ref="A12:H12"/>
    <mergeCell ref="G13:H13"/>
    <mergeCell ref="A16:H16"/>
    <mergeCell ref="G17:H17"/>
    <mergeCell ref="B25:G25"/>
    <mergeCell ref="B26:F26"/>
    <mergeCell ref="A37:G37"/>
    <mergeCell ref="A38:C38"/>
    <mergeCell ref="D38:E38"/>
    <mergeCell ref="A29:G29"/>
    <mergeCell ref="A30:B30"/>
    <mergeCell ref="A31:B31"/>
    <mergeCell ref="A32:B32"/>
    <mergeCell ref="A33:B33"/>
    <mergeCell ref="A34:F34"/>
    <mergeCell ref="A39:C39"/>
    <mergeCell ref="D39:E39"/>
    <mergeCell ref="A40:C40"/>
    <mergeCell ref="D40:E40"/>
    <mergeCell ref="A41:C41"/>
    <mergeCell ref="D41:E41"/>
    <mergeCell ref="A42:C42"/>
    <mergeCell ref="D42:E42"/>
    <mergeCell ref="A43:C43"/>
    <mergeCell ref="D43:E43"/>
    <mergeCell ref="A44:C44"/>
    <mergeCell ref="D44:E44"/>
    <mergeCell ref="A45:C45"/>
    <mergeCell ref="D45:E45"/>
    <mergeCell ref="A46:C46"/>
    <mergeCell ref="D46:E46"/>
    <mergeCell ref="A47:C47"/>
    <mergeCell ref="D47:E47"/>
    <mergeCell ref="A48:C48"/>
    <mergeCell ref="D48:E48"/>
    <mergeCell ref="A49:C49"/>
    <mergeCell ref="D49:E49"/>
    <mergeCell ref="A50:C50"/>
    <mergeCell ref="D50:E50"/>
    <mergeCell ref="A51:C51"/>
    <mergeCell ref="D51:E51"/>
    <mergeCell ref="A52:C52"/>
    <mergeCell ref="D52:E52"/>
    <mergeCell ref="A53:C53"/>
    <mergeCell ref="D53:E53"/>
    <mergeCell ref="A54:C54"/>
    <mergeCell ref="D54:E54"/>
    <mergeCell ref="A55:C55"/>
    <mergeCell ref="D55:E55"/>
    <mergeCell ref="A56:C56"/>
    <mergeCell ref="D56:E56"/>
    <mergeCell ref="A60:C60"/>
    <mergeCell ref="D60:E60"/>
    <mergeCell ref="A57:C57"/>
    <mergeCell ref="D57:E57"/>
    <mergeCell ref="A58:C58"/>
    <mergeCell ref="D58:E58"/>
    <mergeCell ref="A59:C59"/>
    <mergeCell ref="D59:E59"/>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0" r:id="rId4"/>
  <drawing r:id="rId3"/>
  <legacyDrawing r:id="rId2"/>
</worksheet>
</file>

<file path=xl/worksheets/sheet12.xml><?xml version="1.0" encoding="utf-8"?>
<worksheet xmlns="http://schemas.openxmlformats.org/spreadsheetml/2006/main" xmlns:r="http://schemas.openxmlformats.org/officeDocument/2006/relationships">
  <sheetPr>
    <tabColor theme="7" tint="0.39998000860214233"/>
    <pageSetUpPr fitToPage="1"/>
  </sheetPr>
  <dimension ref="A1:J47"/>
  <sheetViews>
    <sheetView view="pageBreakPreview" zoomScale="115" zoomScaleNormal="115" zoomScaleSheetLayoutView="115" zoomScalePageLayoutView="0" workbookViewId="0" topLeftCell="A1">
      <selection activeCell="A7" sqref="A7:G7"/>
    </sheetView>
  </sheetViews>
  <sheetFormatPr defaultColWidth="9.140625" defaultRowHeight="12.75"/>
  <cols>
    <col min="1" max="1" width="7.7109375" style="54" customWidth="1"/>
    <col min="2" max="2" width="10.7109375" style="54" customWidth="1"/>
    <col min="3" max="3" width="36.421875" style="54" bestFit="1" customWidth="1"/>
    <col min="4" max="7" width="11.7109375" style="54" customWidth="1"/>
    <col min="8" max="8" width="11.7109375" style="53" customWidth="1"/>
    <col min="9" max="9" width="9.140625" style="53" customWidth="1"/>
    <col min="10" max="16384" width="9.140625" style="54" customWidth="1"/>
  </cols>
  <sheetData>
    <row r="1" spans="1:8" ht="12.75">
      <c r="A1" s="50"/>
      <c r="B1" s="51"/>
      <c r="C1" s="51"/>
      <c r="D1" s="51"/>
      <c r="E1" s="51"/>
      <c r="F1" s="51"/>
      <c r="G1" s="52"/>
      <c r="H1" s="99"/>
    </row>
    <row r="2" spans="1:8" ht="12.75">
      <c r="A2" s="790" t="s">
        <v>20</v>
      </c>
      <c r="B2" s="791"/>
      <c r="C2" s="791"/>
      <c r="D2" s="791"/>
      <c r="E2" s="791"/>
      <c r="F2" s="791"/>
      <c r="G2" s="792"/>
      <c r="H2" s="59"/>
    </row>
    <row r="3" spans="1:8" ht="12.75">
      <c r="A3" s="793" t="s">
        <v>199</v>
      </c>
      <c r="B3" s="794"/>
      <c r="C3" s="794"/>
      <c r="D3" s="794"/>
      <c r="E3" s="794"/>
      <c r="F3" s="794"/>
      <c r="G3" s="795"/>
      <c r="H3" s="59"/>
    </row>
    <row r="4" spans="1:8" ht="12.75">
      <c r="A4" s="796" t="s">
        <v>19</v>
      </c>
      <c r="B4" s="797"/>
      <c r="C4" s="797"/>
      <c r="D4" s="797"/>
      <c r="E4" s="797"/>
      <c r="F4" s="797"/>
      <c r="G4" s="798"/>
      <c r="H4" s="59"/>
    </row>
    <row r="5" spans="1:8" ht="13.5" thickBot="1">
      <c r="A5" s="799"/>
      <c r="B5" s="800"/>
      <c r="C5" s="800"/>
      <c r="D5" s="800"/>
      <c r="E5" s="800"/>
      <c r="F5" s="800"/>
      <c r="G5" s="801"/>
      <c r="H5" s="59"/>
    </row>
    <row r="6" spans="1:8" ht="39.75" thickBot="1" thickTop="1">
      <c r="A6" s="400" t="s">
        <v>659</v>
      </c>
      <c r="B6" s="401" t="s">
        <v>664</v>
      </c>
      <c r="C6" s="802" t="s">
        <v>35</v>
      </c>
      <c r="D6" s="802"/>
      <c r="E6" s="802"/>
      <c r="F6" s="802"/>
      <c r="G6" s="402" t="s">
        <v>162</v>
      </c>
      <c r="H6" s="32"/>
    </row>
    <row r="7" spans="1:8" ht="41.25" customHeight="1" thickTop="1">
      <c r="A7" s="886" t="str">
        <f>'ORÇAMENTO GERAL'!C7</f>
        <v>EXECUÇÃO DOS SERVIÇOS DE DRENAGEM SUPERFICIAL E PROFUNDA NA RUA DO PORTO E RUA DO PORTO 2 - DISTRITO INDUSTRIAL - NO MUNICÍPIO DE ANANINDEUA - PA.</v>
      </c>
      <c r="B7" s="887"/>
      <c r="C7" s="887"/>
      <c r="D7" s="887"/>
      <c r="E7" s="887"/>
      <c r="F7" s="887"/>
      <c r="G7" s="888"/>
      <c r="H7" s="32"/>
    </row>
    <row r="8" spans="1:10" s="56" customFormat="1" ht="19.5" customHeight="1">
      <c r="A8" s="817" t="s">
        <v>36</v>
      </c>
      <c r="B8" s="818"/>
      <c r="C8" s="818"/>
      <c r="D8" s="818"/>
      <c r="E8" s="818"/>
      <c r="F8" s="818"/>
      <c r="G8" s="819"/>
      <c r="H8" s="33"/>
      <c r="I8" s="53">
        <v>1.28</v>
      </c>
      <c r="J8" s="55">
        <f>G44</f>
        <v>740.59</v>
      </c>
    </row>
    <row r="9" spans="1:9" s="56" customFormat="1" ht="19.5" customHeight="1">
      <c r="A9" s="21" t="s">
        <v>37</v>
      </c>
      <c r="B9" s="42" t="s">
        <v>314</v>
      </c>
      <c r="C9" s="3" t="s">
        <v>38</v>
      </c>
      <c r="D9" s="42" t="s">
        <v>39</v>
      </c>
      <c r="E9" s="3" t="s">
        <v>163</v>
      </c>
      <c r="F9" s="4" t="s">
        <v>40</v>
      </c>
      <c r="G9" s="22" t="s">
        <v>41</v>
      </c>
      <c r="H9" s="34"/>
      <c r="I9" s="53"/>
    </row>
    <row r="10" spans="1:9" s="56" customFormat="1" ht="19.5" customHeight="1">
      <c r="A10" s="23">
        <v>1</v>
      </c>
      <c r="B10" s="5" t="s">
        <v>191</v>
      </c>
      <c r="C10" s="31" t="s">
        <v>173</v>
      </c>
      <c r="D10" s="43" t="s">
        <v>44</v>
      </c>
      <c r="E10" s="6">
        <v>0.0134</v>
      </c>
      <c r="F10" s="7">
        <v>18.78</v>
      </c>
      <c r="G10" s="24">
        <f>ROUND(E10*F10,2)</f>
        <v>0.25</v>
      </c>
      <c r="H10" s="41">
        <v>0.0134</v>
      </c>
      <c r="I10" s="53">
        <f>$I$8</f>
        <v>1.28</v>
      </c>
    </row>
    <row r="11" spans="1:9" s="56" customFormat="1" ht="19.5" customHeight="1">
      <c r="A11" s="23">
        <v>2</v>
      </c>
      <c r="B11" s="5" t="s">
        <v>190</v>
      </c>
      <c r="C11" s="31" t="s">
        <v>174</v>
      </c>
      <c r="D11" s="43" t="s">
        <v>44</v>
      </c>
      <c r="E11" s="6">
        <v>0.035</v>
      </c>
      <c r="F11" s="7">
        <v>19.38</v>
      </c>
      <c r="G11" s="24">
        <f>ROUND(E11*F11,2)</f>
        <v>0.68</v>
      </c>
      <c r="H11" s="41">
        <v>0.035</v>
      </c>
      <c r="I11" s="53">
        <f aca="true" t="shared" si="0" ref="I11:I37">$I$8</f>
        <v>1.28</v>
      </c>
    </row>
    <row r="12" spans="1:9" s="56" customFormat="1" ht="19.5" customHeight="1">
      <c r="A12" s="23">
        <v>3</v>
      </c>
      <c r="B12" s="5" t="s">
        <v>45</v>
      </c>
      <c r="C12" s="31" t="s">
        <v>175</v>
      </c>
      <c r="D12" s="43" t="s">
        <v>44</v>
      </c>
      <c r="E12" s="6">
        <v>0.1067</v>
      </c>
      <c r="F12" s="7">
        <v>17.09</v>
      </c>
      <c r="G12" s="24">
        <f>ROUND(E12*F12,2)</f>
        <v>1.82</v>
      </c>
      <c r="H12" s="41">
        <v>0.1067</v>
      </c>
      <c r="I12" s="53">
        <f t="shared" si="0"/>
        <v>1.28</v>
      </c>
    </row>
    <row r="13" spans="1:9" s="56" customFormat="1" ht="19.5" customHeight="1" thickBot="1">
      <c r="A13" s="267">
        <v>4</v>
      </c>
      <c r="B13" s="268">
        <v>88314</v>
      </c>
      <c r="C13" s="269" t="s">
        <v>178</v>
      </c>
      <c r="D13" s="270" t="s">
        <v>44</v>
      </c>
      <c r="E13" s="271">
        <v>1.1301</v>
      </c>
      <c r="F13" s="272">
        <v>15.91</v>
      </c>
      <c r="G13" s="273">
        <f>ROUND(E13*F13,2)</f>
        <v>17.98</v>
      </c>
      <c r="H13" s="41">
        <v>1.1301</v>
      </c>
      <c r="I13" s="53">
        <f t="shared" si="0"/>
        <v>1.28</v>
      </c>
    </row>
    <row r="14" spans="1:9" s="56" customFormat="1" ht="19.5" customHeight="1" thickBot="1">
      <c r="A14" s="879" t="s">
        <v>46</v>
      </c>
      <c r="B14" s="880"/>
      <c r="C14" s="880"/>
      <c r="D14" s="880"/>
      <c r="E14" s="881">
        <f>SUM(G10:G13)</f>
        <v>20.73</v>
      </c>
      <c r="F14" s="881"/>
      <c r="G14" s="882"/>
      <c r="H14" s="35"/>
      <c r="I14" s="53"/>
    </row>
    <row r="15" spans="1:9" s="56" customFormat="1" ht="19.5" customHeight="1">
      <c r="A15" s="817" t="s">
        <v>47</v>
      </c>
      <c r="B15" s="818"/>
      <c r="C15" s="818"/>
      <c r="D15" s="818"/>
      <c r="E15" s="818"/>
      <c r="F15" s="818"/>
      <c r="G15" s="819"/>
      <c r="H15" s="33"/>
      <c r="I15" s="53"/>
    </row>
    <row r="16" spans="1:9" s="56" customFormat="1" ht="19.5" customHeight="1">
      <c r="A16" s="25" t="s">
        <v>37</v>
      </c>
      <c r="B16" s="42" t="s">
        <v>314</v>
      </c>
      <c r="C16" s="9" t="s">
        <v>38</v>
      </c>
      <c r="D16" s="43" t="s">
        <v>39</v>
      </c>
      <c r="E16" s="3" t="s">
        <v>163</v>
      </c>
      <c r="F16" s="10" t="s">
        <v>40</v>
      </c>
      <c r="G16" s="26" t="s">
        <v>41</v>
      </c>
      <c r="H16" s="36"/>
      <c r="I16" s="53"/>
    </row>
    <row r="17" spans="1:9" s="56" customFormat="1" ht="19.5" customHeight="1">
      <c r="A17" s="23">
        <v>1</v>
      </c>
      <c r="B17" s="8">
        <v>5944</v>
      </c>
      <c r="C17" s="57" t="s">
        <v>166</v>
      </c>
      <c r="D17" s="43" t="s">
        <v>186</v>
      </c>
      <c r="E17" s="6">
        <v>0.035</v>
      </c>
      <c r="F17" s="7">
        <v>255.43</v>
      </c>
      <c r="G17" s="24">
        <f>ROUND(E17*F17,2)</f>
        <v>8.94</v>
      </c>
      <c r="H17" s="41">
        <v>0.035</v>
      </c>
      <c r="I17" s="53">
        <f t="shared" si="0"/>
        <v>1.28</v>
      </c>
    </row>
    <row r="18" spans="1:9" s="56" customFormat="1" ht="19.5" customHeight="1">
      <c r="A18" s="23">
        <v>2</v>
      </c>
      <c r="B18" s="8">
        <v>7030</v>
      </c>
      <c r="C18" s="57" t="s">
        <v>167</v>
      </c>
      <c r="D18" s="43" t="s">
        <v>186</v>
      </c>
      <c r="E18" s="6">
        <v>0.0134</v>
      </c>
      <c r="F18" s="7">
        <v>311.63</v>
      </c>
      <c r="G18" s="24">
        <f aca="true" t="shared" si="1" ref="G18:G29">ROUND(E18*F18,2)</f>
        <v>4.18</v>
      </c>
      <c r="H18" s="41">
        <v>0.0134</v>
      </c>
      <c r="I18" s="53">
        <f t="shared" si="0"/>
        <v>1.28</v>
      </c>
    </row>
    <row r="19" spans="1:9" s="56" customFormat="1" ht="19.5" customHeight="1">
      <c r="A19" s="23">
        <v>3</v>
      </c>
      <c r="B19" s="8">
        <v>93433</v>
      </c>
      <c r="C19" s="57" t="s">
        <v>169</v>
      </c>
      <c r="D19" s="43" t="s">
        <v>186</v>
      </c>
      <c r="E19" s="6">
        <v>0.0134</v>
      </c>
      <c r="F19" s="7">
        <v>3763.14</v>
      </c>
      <c r="G19" s="24">
        <f t="shared" si="1"/>
        <v>50.43</v>
      </c>
      <c r="H19" s="41">
        <v>0.0134</v>
      </c>
      <c r="I19" s="53">
        <f t="shared" si="0"/>
        <v>1.28</v>
      </c>
    </row>
    <row r="20" spans="1:9" s="56" customFormat="1" ht="19.5" customHeight="1">
      <c r="A20" s="23">
        <v>4</v>
      </c>
      <c r="B20" s="8">
        <v>95872</v>
      </c>
      <c r="C20" s="57" t="s">
        <v>170</v>
      </c>
      <c r="D20" s="43" t="s">
        <v>186</v>
      </c>
      <c r="E20" s="6">
        <v>0.0134</v>
      </c>
      <c r="F20" s="7">
        <v>337.62</v>
      </c>
      <c r="G20" s="24">
        <f t="shared" si="1"/>
        <v>4.52</v>
      </c>
      <c r="H20" s="41">
        <v>0.0134</v>
      </c>
      <c r="I20" s="53">
        <f t="shared" si="0"/>
        <v>1.28</v>
      </c>
    </row>
    <row r="21" spans="1:9" s="56" customFormat="1" ht="19.5" customHeight="1">
      <c r="A21" s="23">
        <v>5</v>
      </c>
      <c r="B21" s="8">
        <v>5835</v>
      </c>
      <c r="C21" s="57" t="s">
        <v>176</v>
      </c>
      <c r="D21" s="43" t="s">
        <v>186</v>
      </c>
      <c r="E21" s="6">
        <v>0.0464</v>
      </c>
      <c r="F21" s="7">
        <v>375.55</v>
      </c>
      <c r="G21" s="24">
        <f t="shared" si="1"/>
        <v>17.43</v>
      </c>
      <c r="H21" s="41">
        <v>0.0464</v>
      </c>
      <c r="I21" s="53">
        <f t="shared" si="0"/>
        <v>1.28</v>
      </c>
    </row>
    <row r="22" spans="1:9" s="56" customFormat="1" ht="19.5" customHeight="1">
      <c r="A22" s="23">
        <v>6</v>
      </c>
      <c r="B22" s="8">
        <v>5837</v>
      </c>
      <c r="C22" s="57" t="s">
        <v>177</v>
      </c>
      <c r="D22" s="43" t="s">
        <v>188</v>
      </c>
      <c r="E22" s="6">
        <v>0.0949</v>
      </c>
      <c r="F22" s="7">
        <v>126.81</v>
      </c>
      <c r="G22" s="24">
        <f t="shared" si="1"/>
        <v>12.03</v>
      </c>
      <c r="H22" s="41">
        <v>0.0949</v>
      </c>
      <c r="I22" s="53">
        <f t="shared" si="0"/>
        <v>1.28</v>
      </c>
    </row>
    <row r="23" spans="1:9" s="56" customFormat="1" ht="19.5" customHeight="1">
      <c r="A23" s="23">
        <v>7</v>
      </c>
      <c r="B23" s="8">
        <v>91386</v>
      </c>
      <c r="C23" s="57" t="s">
        <v>179</v>
      </c>
      <c r="D23" s="43" t="s">
        <v>186</v>
      </c>
      <c r="E23" s="6">
        <v>0.0464</v>
      </c>
      <c r="F23" s="7">
        <v>265.07</v>
      </c>
      <c r="G23" s="24">
        <f t="shared" si="1"/>
        <v>12.3</v>
      </c>
      <c r="H23" s="41">
        <v>0.0464</v>
      </c>
      <c r="I23" s="53">
        <f t="shared" si="0"/>
        <v>1.28</v>
      </c>
    </row>
    <row r="24" spans="1:9" s="56" customFormat="1" ht="19.5" customHeight="1">
      <c r="A24" s="23">
        <v>8</v>
      </c>
      <c r="B24" s="8">
        <v>95631</v>
      </c>
      <c r="C24" s="57" t="s">
        <v>180</v>
      </c>
      <c r="D24" s="43" t="s">
        <v>186</v>
      </c>
      <c r="E24" s="6">
        <v>0.0805</v>
      </c>
      <c r="F24" s="7">
        <v>235.23</v>
      </c>
      <c r="G24" s="24">
        <f t="shared" si="1"/>
        <v>18.94</v>
      </c>
      <c r="H24" s="41">
        <v>0.0805</v>
      </c>
      <c r="I24" s="53">
        <f t="shared" si="0"/>
        <v>1.28</v>
      </c>
    </row>
    <row r="25" spans="1:9" s="56" customFormat="1" ht="19.5" customHeight="1">
      <c r="A25" s="23">
        <v>9</v>
      </c>
      <c r="B25" s="8">
        <v>95632</v>
      </c>
      <c r="C25" s="57" t="s">
        <v>181</v>
      </c>
      <c r="D25" s="43" t="s">
        <v>188</v>
      </c>
      <c r="E25" s="6">
        <v>0.0607</v>
      </c>
      <c r="F25" s="7">
        <v>72.1</v>
      </c>
      <c r="G25" s="24">
        <f t="shared" si="1"/>
        <v>4.38</v>
      </c>
      <c r="H25" s="41">
        <v>0.0607</v>
      </c>
      <c r="I25" s="53">
        <f t="shared" si="0"/>
        <v>1.28</v>
      </c>
    </row>
    <row r="26" spans="1:9" s="56" customFormat="1" ht="19.5" customHeight="1">
      <c r="A26" s="23">
        <v>10</v>
      </c>
      <c r="B26" s="8">
        <v>96155</v>
      </c>
      <c r="C26" s="57" t="s">
        <v>182</v>
      </c>
      <c r="D26" s="43" t="s">
        <v>188</v>
      </c>
      <c r="E26" s="6">
        <v>0.1071</v>
      </c>
      <c r="F26" s="7">
        <v>39.94</v>
      </c>
      <c r="G26" s="24">
        <f t="shared" si="1"/>
        <v>4.28</v>
      </c>
      <c r="H26" s="41">
        <v>0.1071</v>
      </c>
      <c r="I26" s="53">
        <f t="shared" si="0"/>
        <v>1.28</v>
      </c>
    </row>
    <row r="27" spans="1:9" s="56" customFormat="1" ht="19.5" customHeight="1">
      <c r="A27" s="23">
        <v>11</v>
      </c>
      <c r="B27" s="8">
        <v>96157</v>
      </c>
      <c r="C27" s="57" t="s">
        <v>183</v>
      </c>
      <c r="D27" s="43" t="s">
        <v>186</v>
      </c>
      <c r="E27" s="6">
        <v>0.0341</v>
      </c>
      <c r="F27" s="7">
        <v>139.1</v>
      </c>
      <c r="G27" s="24">
        <f t="shared" si="1"/>
        <v>4.74</v>
      </c>
      <c r="H27" s="41">
        <v>0.0341</v>
      </c>
      <c r="I27" s="53">
        <f t="shared" si="0"/>
        <v>1.28</v>
      </c>
    </row>
    <row r="28" spans="1:9" s="56" customFormat="1" ht="19.5" customHeight="1">
      <c r="A28" s="23">
        <v>12</v>
      </c>
      <c r="B28" s="8">
        <v>96463</v>
      </c>
      <c r="C28" s="57" t="s">
        <v>184</v>
      </c>
      <c r="D28" s="43" t="s">
        <v>186</v>
      </c>
      <c r="E28" s="6">
        <v>0.0419</v>
      </c>
      <c r="F28" s="7">
        <v>217.48</v>
      </c>
      <c r="G28" s="24">
        <f t="shared" si="1"/>
        <v>9.11</v>
      </c>
      <c r="H28" s="41">
        <v>0.0419</v>
      </c>
      <c r="I28" s="53">
        <f t="shared" si="0"/>
        <v>1.28</v>
      </c>
    </row>
    <row r="29" spans="1:9" s="56" customFormat="1" ht="19.5" customHeight="1" thickBot="1">
      <c r="A29" s="267">
        <v>13</v>
      </c>
      <c r="B29" s="268">
        <v>96464</v>
      </c>
      <c r="C29" s="274" t="s">
        <v>185</v>
      </c>
      <c r="D29" s="270" t="s">
        <v>188</v>
      </c>
      <c r="E29" s="271">
        <v>0.099</v>
      </c>
      <c r="F29" s="272">
        <v>77.87</v>
      </c>
      <c r="G29" s="273">
        <f t="shared" si="1"/>
        <v>7.71</v>
      </c>
      <c r="H29" s="41">
        <v>0.099</v>
      </c>
      <c r="I29" s="53">
        <f t="shared" si="0"/>
        <v>1.28</v>
      </c>
    </row>
    <row r="30" spans="1:9" s="56" customFormat="1" ht="19.5" customHeight="1" thickBot="1">
      <c r="A30" s="879" t="s">
        <v>48</v>
      </c>
      <c r="B30" s="880"/>
      <c r="C30" s="880"/>
      <c r="D30" s="880"/>
      <c r="E30" s="881">
        <f>SUM(G17:G29)</f>
        <v>158.99</v>
      </c>
      <c r="F30" s="881"/>
      <c r="G30" s="882"/>
      <c r="H30" s="35"/>
      <c r="I30" s="53"/>
    </row>
    <row r="31" spans="1:9" s="56" customFormat="1" ht="19.5" customHeight="1">
      <c r="A31" s="817" t="s">
        <v>49</v>
      </c>
      <c r="B31" s="818"/>
      <c r="C31" s="818"/>
      <c r="D31" s="818"/>
      <c r="E31" s="818"/>
      <c r="F31" s="818"/>
      <c r="G31" s="819"/>
      <c r="H31" s="33"/>
      <c r="I31" s="53"/>
    </row>
    <row r="32" spans="1:9" s="56" customFormat="1" ht="19.5" customHeight="1">
      <c r="A32" s="21" t="s">
        <v>37</v>
      </c>
      <c r="B32" s="42" t="s">
        <v>314</v>
      </c>
      <c r="C32" s="3" t="s">
        <v>38</v>
      </c>
      <c r="D32" s="42" t="s">
        <v>39</v>
      </c>
      <c r="E32" s="3" t="s">
        <v>163</v>
      </c>
      <c r="F32" s="4" t="s">
        <v>40</v>
      </c>
      <c r="G32" s="22" t="s">
        <v>41</v>
      </c>
      <c r="H32" s="34"/>
      <c r="I32" s="53"/>
    </row>
    <row r="33" spans="1:9" s="56" customFormat="1" ht="19.5" customHeight="1">
      <c r="A33" s="27">
        <v>1</v>
      </c>
      <c r="B33" s="11">
        <v>370</v>
      </c>
      <c r="C33" s="29" t="s">
        <v>164</v>
      </c>
      <c r="D33" s="42" t="s">
        <v>0</v>
      </c>
      <c r="E33" s="6">
        <v>0.1875</v>
      </c>
      <c r="F33" s="13">
        <v>82.5</v>
      </c>
      <c r="G33" s="24">
        <f>ROUND(E33*F33,2)</f>
        <v>15.47</v>
      </c>
      <c r="H33" s="41">
        <v>0.1875</v>
      </c>
      <c r="I33" s="53">
        <f t="shared" si="0"/>
        <v>1.28</v>
      </c>
    </row>
    <row r="34" spans="1:9" s="56" customFormat="1" ht="19.5" customHeight="1">
      <c r="A34" s="27">
        <v>2</v>
      </c>
      <c r="B34" s="11">
        <v>4734</v>
      </c>
      <c r="C34" s="29" t="s">
        <v>165</v>
      </c>
      <c r="D34" s="42" t="s">
        <v>0</v>
      </c>
      <c r="E34" s="6">
        <v>0.252</v>
      </c>
      <c r="F34" s="13">
        <v>376.51</v>
      </c>
      <c r="G34" s="24">
        <f>ROUND(E34*F34,2)</f>
        <v>94.88</v>
      </c>
      <c r="H34" s="41">
        <v>0.252</v>
      </c>
      <c r="I34" s="53">
        <f t="shared" si="0"/>
        <v>1.28</v>
      </c>
    </row>
    <row r="35" spans="1:9" s="56" customFormat="1" ht="19.5" customHeight="1">
      <c r="A35" s="27">
        <v>3</v>
      </c>
      <c r="B35" s="11">
        <v>41899</v>
      </c>
      <c r="C35" s="30" t="s">
        <v>168</v>
      </c>
      <c r="D35" s="42" t="s">
        <v>31</v>
      </c>
      <c r="E35" s="6">
        <v>0.06</v>
      </c>
      <c r="F35" s="13">
        <v>5416.2</v>
      </c>
      <c r="G35" s="24">
        <f>ROUND(E35*F35,2)</f>
        <v>324.97</v>
      </c>
      <c r="H35" s="41">
        <v>0.06</v>
      </c>
      <c r="I35" s="53">
        <f t="shared" si="0"/>
        <v>1.28</v>
      </c>
    </row>
    <row r="36" spans="1:9" s="56" customFormat="1" ht="19.5" customHeight="1">
      <c r="A36" s="27">
        <v>4</v>
      </c>
      <c r="B36" s="11">
        <v>4221</v>
      </c>
      <c r="C36" s="29" t="s">
        <v>171</v>
      </c>
      <c r="D36" s="42" t="s">
        <v>187</v>
      </c>
      <c r="E36" s="6">
        <v>5</v>
      </c>
      <c r="F36" s="13">
        <v>7.03</v>
      </c>
      <c r="G36" s="24">
        <f>ROUND(E36*F36,2)</f>
        <v>35.15</v>
      </c>
      <c r="H36" s="41">
        <v>5</v>
      </c>
      <c r="I36" s="53">
        <f t="shared" si="0"/>
        <v>1.28</v>
      </c>
    </row>
    <row r="37" spans="1:9" s="56" customFormat="1" ht="19.5" customHeight="1" thickBot="1">
      <c r="A37" s="275">
        <v>5</v>
      </c>
      <c r="B37" s="276">
        <v>11138</v>
      </c>
      <c r="C37" s="277" t="s">
        <v>172</v>
      </c>
      <c r="D37" s="278" t="s">
        <v>187</v>
      </c>
      <c r="E37" s="271">
        <v>20</v>
      </c>
      <c r="F37" s="279">
        <v>4.52</v>
      </c>
      <c r="G37" s="273">
        <f>ROUND(E37*F37,2)</f>
        <v>90.4</v>
      </c>
      <c r="H37" s="41">
        <v>20</v>
      </c>
      <c r="I37" s="53">
        <f t="shared" si="0"/>
        <v>1.28</v>
      </c>
    </row>
    <row r="38" spans="1:9" s="56" customFormat="1" ht="19.5" customHeight="1" thickBot="1">
      <c r="A38" s="879" t="s">
        <v>50</v>
      </c>
      <c r="B38" s="880"/>
      <c r="C38" s="880"/>
      <c r="D38" s="880"/>
      <c r="E38" s="881">
        <f>SUM(G33:G37)</f>
        <v>560.87</v>
      </c>
      <c r="F38" s="881"/>
      <c r="G38" s="882"/>
      <c r="H38" s="35"/>
      <c r="I38" s="53"/>
    </row>
    <row r="39" spans="1:9" s="56" customFormat="1" ht="19.5" customHeight="1">
      <c r="A39" s="883" t="s">
        <v>51</v>
      </c>
      <c r="B39" s="884"/>
      <c r="C39" s="884"/>
      <c r="D39" s="884"/>
      <c r="E39" s="884"/>
      <c r="F39" s="884"/>
      <c r="G39" s="885"/>
      <c r="H39" s="37"/>
      <c r="I39" s="53"/>
    </row>
    <row r="40" spans="1:9" s="56" customFormat="1" ht="19.5" customHeight="1">
      <c r="A40" s="21" t="s">
        <v>37</v>
      </c>
      <c r="B40" s="42"/>
      <c r="C40" s="42" t="s">
        <v>52</v>
      </c>
      <c r="D40" s="42" t="s">
        <v>41</v>
      </c>
      <c r="E40" s="42"/>
      <c r="F40" s="14"/>
      <c r="G40" s="22"/>
      <c r="H40" s="34"/>
      <c r="I40" s="53"/>
    </row>
    <row r="41" spans="1:9" s="56" customFormat="1" ht="19.5" customHeight="1">
      <c r="A41" s="21" t="s">
        <v>53</v>
      </c>
      <c r="B41" s="42"/>
      <c r="C41" s="43" t="s">
        <v>54</v>
      </c>
      <c r="D41" s="839" t="s">
        <v>55</v>
      </c>
      <c r="E41" s="839"/>
      <c r="F41" s="839"/>
      <c r="G41" s="22">
        <f>E14</f>
        <v>20.73</v>
      </c>
      <c r="H41" s="34"/>
      <c r="I41" s="53"/>
    </row>
    <row r="42" spans="1:9" s="56" customFormat="1" ht="19.5" customHeight="1">
      <c r="A42" s="21" t="s">
        <v>56</v>
      </c>
      <c r="B42" s="42"/>
      <c r="C42" s="43" t="s">
        <v>57</v>
      </c>
      <c r="D42" s="839" t="s">
        <v>58</v>
      </c>
      <c r="E42" s="839"/>
      <c r="F42" s="839"/>
      <c r="G42" s="22">
        <f>E30</f>
        <v>158.99</v>
      </c>
      <c r="H42" s="34"/>
      <c r="I42" s="53"/>
    </row>
    <row r="43" spans="1:9" s="56" customFormat="1" ht="19.5" customHeight="1">
      <c r="A43" s="21" t="s">
        <v>16</v>
      </c>
      <c r="B43" s="42"/>
      <c r="C43" s="43" t="s">
        <v>59</v>
      </c>
      <c r="D43" s="839" t="s">
        <v>60</v>
      </c>
      <c r="E43" s="839"/>
      <c r="F43" s="839"/>
      <c r="G43" s="22">
        <f>E38</f>
        <v>560.87</v>
      </c>
      <c r="H43" s="34"/>
      <c r="I43" s="53"/>
    </row>
    <row r="44" spans="1:9" s="56" customFormat="1" ht="19.5" customHeight="1">
      <c r="A44" s="21" t="s">
        <v>9</v>
      </c>
      <c r="B44" s="42"/>
      <c r="C44" s="15" t="s">
        <v>61</v>
      </c>
      <c r="D44" s="840" t="s">
        <v>62</v>
      </c>
      <c r="E44" s="840"/>
      <c r="F44" s="840"/>
      <c r="G44" s="44">
        <f>G41+G42+G43</f>
        <v>740.59</v>
      </c>
      <c r="H44" s="38">
        <v>596</v>
      </c>
      <c r="I44" s="53"/>
    </row>
    <row r="45" spans="1:9" s="56" customFormat="1" ht="19.5" customHeight="1">
      <c r="A45" s="21" t="s">
        <v>63</v>
      </c>
      <c r="B45" s="42"/>
      <c r="C45" s="15" t="s">
        <v>64</v>
      </c>
      <c r="D45" s="16" t="s">
        <v>215</v>
      </c>
      <c r="E45" s="17"/>
      <c r="F45" s="280">
        <v>0.2746</v>
      </c>
      <c r="G45" s="28">
        <f>G44*F45</f>
        <v>203.37</v>
      </c>
      <c r="H45" s="39"/>
      <c r="I45" s="53"/>
    </row>
    <row r="46" spans="1:9" s="56" customFormat="1" ht="19.5" customHeight="1" thickBot="1">
      <c r="A46" s="45"/>
      <c r="B46" s="46"/>
      <c r="C46" s="46"/>
      <c r="D46" s="878" t="s">
        <v>65</v>
      </c>
      <c r="E46" s="878"/>
      <c r="F46" s="878"/>
      <c r="G46" s="47">
        <f>G44+G45</f>
        <v>943.96</v>
      </c>
      <c r="H46" s="40"/>
      <c r="I46" s="53"/>
    </row>
    <row r="47" spans="1:8" ht="12.75">
      <c r="A47" s="18"/>
      <c r="B47" s="18"/>
      <c r="C47" s="18"/>
      <c r="D47" s="19"/>
      <c r="E47" s="19"/>
      <c r="F47" s="19"/>
      <c r="G47" s="20"/>
      <c r="H47" s="20"/>
    </row>
  </sheetData>
  <sheetProtection/>
  <mergeCells count="21">
    <mergeCell ref="A2:G2"/>
    <mergeCell ref="A3:G3"/>
    <mergeCell ref="A4:G4"/>
    <mergeCell ref="A5:G5"/>
    <mergeCell ref="C6:F6"/>
    <mergeCell ref="A8:G8"/>
    <mergeCell ref="A7:G7"/>
    <mergeCell ref="A14:D14"/>
    <mergeCell ref="E14:G14"/>
    <mergeCell ref="A15:G15"/>
    <mergeCell ref="A30:D30"/>
    <mergeCell ref="E30:G30"/>
    <mergeCell ref="A31:G31"/>
    <mergeCell ref="D44:F44"/>
    <mergeCell ref="D46:F46"/>
    <mergeCell ref="A38:D38"/>
    <mergeCell ref="E38:G38"/>
    <mergeCell ref="A39:G39"/>
    <mergeCell ref="D41:F41"/>
    <mergeCell ref="D42:F42"/>
    <mergeCell ref="D43:F43"/>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81" r:id="rId4"/>
  <drawing r:id="rId3"/>
  <legacyDrawing r:id="rId2"/>
</worksheet>
</file>

<file path=xl/worksheets/sheet13.xml><?xml version="1.0" encoding="utf-8"?>
<worksheet xmlns="http://schemas.openxmlformats.org/spreadsheetml/2006/main" xmlns:r="http://schemas.openxmlformats.org/officeDocument/2006/relationships">
  <sheetPr>
    <tabColor theme="7" tint="0.39998000860214233"/>
  </sheetPr>
  <dimension ref="A1:J46"/>
  <sheetViews>
    <sheetView view="pageBreakPreview" zoomScale="85" zoomScaleSheetLayoutView="85" zoomScalePageLayoutView="0" workbookViewId="0" topLeftCell="A1">
      <selection activeCell="A7" sqref="A7:L7"/>
    </sheetView>
  </sheetViews>
  <sheetFormatPr defaultColWidth="9.140625" defaultRowHeight="12.75"/>
  <cols>
    <col min="1" max="1" width="7.7109375" style="54" customWidth="1"/>
    <col min="2" max="2" width="10.7109375" style="54" customWidth="1"/>
    <col min="3" max="3" width="36.421875" style="54" bestFit="1" customWidth="1"/>
    <col min="4" max="7" width="11.7109375" style="54" customWidth="1"/>
    <col min="8" max="8" width="11.7109375" style="53" customWidth="1"/>
    <col min="9" max="9" width="9.140625" style="53" customWidth="1"/>
    <col min="10" max="16384" width="9.140625" style="54" customWidth="1"/>
  </cols>
  <sheetData>
    <row r="1" spans="1:8" ht="12.75">
      <c r="A1" s="50"/>
      <c r="B1" s="51"/>
      <c r="C1" s="51"/>
      <c r="D1" s="51"/>
      <c r="E1" s="51"/>
      <c r="F1" s="51"/>
      <c r="G1" s="52"/>
      <c r="H1" s="451"/>
    </row>
    <row r="2" spans="1:8" ht="12.75">
      <c r="A2" s="790" t="s">
        <v>20</v>
      </c>
      <c r="B2" s="791"/>
      <c r="C2" s="791"/>
      <c r="D2" s="791"/>
      <c r="E2" s="791"/>
      <c r="F2" s="791"/>
      <c r="G2" s="792"/>
      <c r="H2" s="59"/>
    </row>
    <row r="3" spans="1:8" ht="12.75">
      <c r="A3" s="793" t="s">
        <v>199</v>
      </c>
      <c r="B3" s="794"/>
      <c r="C3" s="794"/>
      <c r="D3" s="794"/>
      <c r="E3" s="794"/>
      <c r="F3" s="794"/>
      <c r="G3" s="795"/>
      <c r="H3" s="59"/>
    </row>
    <row r="4" spans="1:8" ht="12.75">
      <c r="A4" s="796" t="s">
        <v>19</v>
      </c>
      <c r="B4" s="797"/>
      <c r="C4" s="797"/>
      <c r="D4" s="797"/>
      <c r="E4" s="797"/>
      <c r="F4" s="797"/>
      <c r="G4" s="798"/>
      <c r="H4" s="59"/>
    </row>
    <row r="5" spans="1:8" ht="13.5" thickBot="1">
      <c r="A5" s="799"/>
      <c r="B5" s="800"/>
      <c r="C5" s="800"/>
      <c r="D5" s="800"/>
      <c r="E5" s="800"/>
      <c r="F5" s="800"/>
      <c r="G5" s="801"/>
      <c r="H5" s="59"/>
    </row>
    <row r="6" spans="1:8" ht="27" thickBot="1" thickTop="1">
      <c r="A6" s="400" t="s">
        <v>658</v>
      </c>
      <c r="B6" s="452" t="s">
        <v>663</v>
      </c>
      <c r="C6" s="802" t="s">
        <v>510</v>
      </c>
      <c r="D6" s="802"/>
      <c r="E6" s="802"/>
      <c r="F6" s="802"/>
      <c r="G6" s="402" t="s">
        <v>608</v>
      </c>
      <c r="H6" s="32"/>
    </row>
    <row r="7" spans="1:8" ht="41.25" customHeight="1" thickTop="1">
      <c r="A7" s="886" t="str">
        <f>'ORÇAMENTO GERAL'!C7</f>
        <v>EXECUÇÃO DOS SERVIÇOS DE DRENAGEM SUPERFICIAL E PROFUNDA NA RUA DO PORTO E RUA DO PORTO 2 - DISTRITO INDUSTRIAL - NO MUNICÍPIO DE ANANINDEUA - PA.</v>
      </c>
      <c r="B7" s="887"/>
      <c r="C7" s="887"/>
      <c r="D7" s="887"/>
      <c r="E7" s="887"/>
      <c r="F7" s="887"/>
      <c r="G7" s="888"/>
      <c r="H7" s="32"/>
    </row>
    <row r="8" spans="1:10" s="56" customFormat="1" ht="19.5" customHeight="1">
      <c r="A8" s="817" t="s">
        <v>36</v>
      </c>
      <c r="B8" s="818"/>
      <c r="C8" s="818"/>
      <c r="D8" s="818"/>
      <c r="E8" s="818"/>
      <c r="F8" s="818"/>
      <c r="G8" s="819"/>
      <c r="H8" s="33"/>
      <c r="I8" s="53">
        <v>1.28</v>
      </c>
      <c r="J8" s="55">
        <f>G43</f>
        <v>185.11</v>
      </c>
    </row>
    <row r="9" spans="1:9" s="56" customFormat="1" ht="19.5" customHeight="1">
      <c r="A9" s="21" t="s">
        <v>37</v>
      </c>
      <c r="B9" s="42" t="s">
        <v>314</v>
      </c>
      <c r="C9" s="3" t="s">
        <v>38</v>
      </c>
      <c r="D9" s="42" t="s">
        <v>39</v>
      </c>
      <c r="E9" s="3" t="s">
        <v>163</v>
      </c>
      <c r="F9" s="4" t="s">
        <v>40</v>
      </c>
      <c r="G9" s="22" t="s">
        <v>41</v>
      </c>
      <c r="H9" s="34"/>
      <c r="I9" s="53"/>
    </row>
    <row r="10" spans="1:9" s="56" customFormat="1" ht="19.5" customHeight="1">
      <c r="A10" s="23">
        <v>1</v>
      </c>
      <c r="B10" s="5" t="s">
        <v>511</v>
      </c>
      <c r="C10" s="31" t="s">
        <v>457</v>
      </c>
      <c r="D10" s="43" t="s">
        <v>44</v>
      </c>
      <c r="E10" s="6" t="str">
        <f>'[2]Composição ORSE'!$H$12</f>
        <v> 0,0059524</v>
      </c>
      <c r="F10" s="7">
        <v>18.51</v>
      </c>
      <c r="G10" s="24">
        <f>ROUND(E10*F10,2)</f>
        <v>0.11</v>
      </c>
      <c r="H10" s="41">
        <v>0.0134</v>
      </c>
      <c r="I10" s="53">
        <f>$I$8</f>
        <v>1.28</v>
      </c>
    </row>
    <row r="11" spans="1:9" s="56" customFormat="1" ht="19.5" customHeight="1" thickBot="1">
      <c r="A11" s="23">
        <v>2</v>
      </c>
      <c r="B11" s="5" t="s">
        <v>45</v>
      </c>
      <c r="C11" s="31" t="s">
        <v>204</v>
      </c>
      <c r="D11" s="43" t="s">
        <v>44</v>
      </c>
      <c r="E11" s="6" t="str">
        <f>'[2]Composição ORSE'!$H$20</f>
        <v> 0,0178571</v>
      </c>
      <c r="F11" s="7">
        <v>17.09</v>
      </c>
      <c r="G11" s="24">
        <f>ROUND(E11*F11,2)</f>
        <v>0.31</v>
      </c>
      <c r="H11" s="41">
        <v>0.035</v>
      </c>
      <c r="I11" s="53">
        <f aca="true" t="shared" si="0" ref="I11:I26">$I$8</f>
        <v>1.28</v>
      </c>
    </row>
    <row r="12" spans="1:9" s="56" customFormat="1" ht="19.5" customHeight="1" thickBot="1">
      <c r="A12" s="879" t="s">
        <v>46</v>
      </c>
      <c r="B12" s="880"/>
      <c r="C12" s="880"/>
      <c r="D12" s="880"/>
      <c r="E12" s="881">
        <f>SUM(G10:G11)</f>
        <v>0.42</v>
      </c>
      <c r="F12" s="881"/>
      <c r="G12" s="882"/>
      <c r="H12" s="35"/>
      <c r="I12" s="53"/>
    </row>
    <row r="13" spans="1:9" s="56" customFormat="1" ht="19.5" customHeight="1">
      <c r="A13" s="817" t="s">
        <v>47</v>
      </c>
      <c r="B13" s="818"/>
      <c r="C13" s="818"/>
      <c r="D13" s="818"/>
      <c r="E13" s="818"/>
      <c r="F13" s="818"/>
      <c r="G13" s="819"/>
      <c r="H13" s="33"/>
      <c r="I13" s="53"/>
    </row>
    <row r="14" spans="1:9" s="56" customFormat="1" ht="19.5" customHeight="1">
      <c r="A14" s="25" t="s">
        <v>37</v>
      </c>
      <c r="B14" s="42" t="s">
        <v>314</v>
      </c>
      <c r="C14" s="9" t="s">
        <v>38</v>
      </c>
      <c r="D14" s="43" t="s">
        <v>39</v>
      </c>
      <c r="E14" s="3" t="s">
        <v>163</v>
      </c>
      <c r="F14" s="10" t="s">
        <v>40</v>
      </c>
      <c r="G14" s="26" t="s">
        <v>41</v>
      </c>
      <c r="H14" s="36"/>
      <c r="I14" s="53"/>
    </row>
    <row r="15" spans="1:10" s="56" customFormat="1" ht="19.5" customHeight="1">
      <c r="A15" s="23">
        <v>1</v>
      </c>
      <c r="B15" s="8">
        <v>5903</v>
      </c>
      <c r="C15" s="57" t="s">
        <v>320</v>
      </c>
      <c r="D15" s="43" t="s">
        <v>188</v>
      </c>
      <c r="E15" s="6">
        <v>0.078</v>
      </c>
      <c r="F15" s="7">
        <v>56.14</v>
      </c>
      <c r="G15" s="24">
        <f>ROUND(E15*F15,2)</f>
        <v>4.38</v>
      </c>
      <c r="H15" s="41">
        <v>0.035</v>
      </c>
      <c r="I15" s="53">
        <f t="shared" si="0"/>
        <v>1.28</v>
      </c>
      <c r="J15" s="56">
        <f>77.84/2</f>
        <v>38.92</v>
      </c>
    </row>
    <row r="16" spans="1:9" s="56" customFormat="1" ht="19.5" customHeight="1">
      <c r="A16" s="23">
        <v>2</v>
      </c>
      <c r="B16" s="8">
        <v>5901</v>
      </c>
      <c r="C16" s="57" t="s">
        <v>318</v>
      </c>
      <c r="D16" s="43" t="s">
        <v>186</v>
      </c>
      <c r="E16" s="6">
        <v>0.022</v>
      </c>
      <c r="F16" s="7">
        <v>345.02</v>
      </c>
      <c r="G16" s="24">
        <f aca="true" t="shared" si="1" ref="G16:G26">ROUND(E16*F16,2)</f>
        <v>7.59</v>
      </c>
      <c r="H16" s="41">
        <v>0.0134</v>
      </c>
      <c r="I16" s="53">
        <f t="shared" si="0"/>
        <v>1.28</v>
      </c>
    </row>
    <row r="17" spans="1:10" s="56" customFormat="1" ht="19.5" customHeight="1">
      <c r="A17" s="23">
        <v>3</v>
      </c>
      <c r="B17" s="8">
        <v>5689</v>
      </c>
      <c r="C17" s="57" t="s">
        <v>512</v>
      </c>
      <c r="D17" s="43" t="s">
        <v>186</v>
      </c>
      <c r="E17" s="6">
        <v>0.1385</v>
      </c>
      <c r="F17" s="7">
        <v>7.56</v>
      </c>
      <c r="G17" s="24">
        <f t="shared" si="1"/>
        <v>1.05</v>
      </c>
      <c r="H17" s="41">
        <v>0.0134</v>
      </c>
      <c r="I17" s="53">
        <f t="shared" si="0"/>
        <v>1.28</v>
      </c>
      <c r="J17" s="56">
        <f>15.35/2</f>
        <v>7.675</v>
      </c>
    </row>
    <row r="18" spans="1:9" s="56" customFormat="1" ht="19.5" customHeight="1">
      <c r="A18" s="23">
        <v>4</v>
      </c>
      <c r="B18" s="8">
        <v>5690</v>
      </c>
      <c r="C18" s="57" t="s">
        <v>513</v>
      </c>
      <c r="D18" s="43" t="s">
        <v>188</v>
      </c>
      <c r="E18" s="6">
        <v>0.1615</v>
      </c>
      <c r="F18" s="7">
        <v>4.7</v>
      </c>
      <c r="G18" s="24">
        <f t="shared" si="1"/>
        <v>0.76</v>
      </c>
      <c r="H18" s="41">
        <v>0.0134</v>
      </c>
      <c r="I18" s="53">
        <f t="shared" si="0"/>
        <v>1.28</v>
      </c>
    </row>
    <row r="19" spans="1:10" s="56" customFormat="1" ht="19.5" customHeight="1">
      <c r="A19" s="23">
        <v>5</v>
      </c>
      <c r="B19" s="8">
        <v>5934</v>
      </c>
      <c r="C19" s="57" t="s">
        <v>326</v>
      </c>
      <c r="D19" s="43" t="s">
        <v>188</v>
      </c>
      <c r="E19" s="6">
        <v>0.072</v>
      </c>
      <c r="F19" s="7">
        <v>76.02</v>
      </c>
      <c r="G19" s="24">
        <f t="shared" si="1"/>
        <v>5.47</v>
      </c>
      <c r="H19" s="41">
        <v>0.0464</v>
      </c>
      <c r="I19" s="53">
        <f t="shared" si="0"/>
        <v>1.28</v>
      </c>
      <c r="J19" s="56">
        <f>142.03/2</f>
        <v>71.015</v>
      </c>
    </row>
    <row r="20" spans="1:9" s="56" customFormat="1" ht="19.5" customHeight="1">
      <c r="A20" s="23">
        <v>6</v>
      </c>
      <c r="B20" s="8">
        <v>5932</v>
      </c>
      <c r="C20" s="57" t="s">
        <v>323</v>
      </c>
      <c r="D20" s="43" t="s">
        <v>186</v>
      </c>
      <c r="E20" s="6">
        <v>0.028</v>
      </c>
      <c r="F20" s="7">
        <v>251.33</v>
      </c>
      <c r="G20" s="24">
        <f t="shared" si="1"/>
        <v>7.04</v>
      </c>
      <c r="H20" s="41">
        <v>0.0949</v>
      </c>
      <c r="I20" s="53">
        <f t="shared" si="0"/>
        <v>1.28</v>
      </c>
    </row>
    <row r="21" spans="1:10" s="56" customFormat="1" ht="19.5" customHeight="1">
      <c r="A21" s="23">
        <v>7</v>
      </c>
      <c r="B21" s="8">
        <v>6880</v>
      </c>
      <c r="C21" s="57" t="s">
        <v>609</v>
      </c>
      <c r="D21" s="43" t="s">
        <v>188</v>
      </c>
      <c r="E21" s="6">
        <v>0.072</v>
      </c>
      <c r="F21" s="7">
        <v>76.02</v>
      </c>
      <c r="G21" s="24">
        <f t="shared" si="1"/>
        <v>5.47</v>
      </c>
      <c r="H21" s="41">
        <v>0.0464</v>
      </c>
      <c r="I21" s="53">
        <f t="shared" si="0"/>
        <v>1.28</v>
      </c>
      <c r="J21" s="56">
        <f>111.18/2</f>
        <v>55.59</v>
      </c>
    </row>
    <row r="22" spans="1:9" s="56" customFormat="1" ht="19.5" customHeight="1">
      <c r="A22" s="23">
        <v>8</v>
      </c>
      <c r="B22" s="8">
        <v>6879</v>
      </c>
      <c r="C22" s="57" t="s">
        <v>610</v>
      </c>
      <c r="D22" s="43" t="s">
        <v>186</v>
      </c>
      <c r="E22" s="6">
        <v>0.028</v>
      </c>
      <c r="F22" s="7">
        <v>218.92</v>
      </c>
      <c r="G22" s="24">
        <f t="shared" si="1"/>
        <v>6.13</v>
      </c>
      <c r="H22" s="41">
        <v>0.0805</v>
      </c>
      <c r="I22" s="53">
        <f t="shared" si="0"/>
        <v>1.28</v>
      </c>
    </row>
    <row r="23" spans="1:10" s="56" customFormat="1" ht="19.5" customHeight="1">
      <c r="A23" s="23">
        <v>9</v>
      </c>
      <c r="B23" s="8">
        <v>96021</v>
      </c>
      <c r="C23" s="57" t="s">
        <v>611</v>
      </c>
      <c r="D23" s="43" t="s">
        <v>188</v>
      </c>
      <c r="E23" s="6">
        <v>0.085</v>
      </c>
      <c r="F23" s="7">
        <v>46.14</v>
      </c>
      <c r="G23" s="24">
        <f t="shared" si="1"/>
        <v>3.92</v>
      </c>
      <c r="H23" s="41">
        <v>0.0607</v>
      </c>
      <c r="I23" s="53">
        <f t="shared" si="0"/>
        <v>1.28</v>
      </c>
      <c r="J23" s="56">
        <f>79.89/2</f>
        <v>39.945</v>
      </c>
    </row>
    <row r="24" spans="1:9" s="56" customFormat="1" ht="19.5" customHeight="1">
      <c r="A24" s="23">
        <v>10</v>
      </c>
      <c r="B24" s="8">
        <v>96020</v>
      </c>
      <c r="C24" s="57" t="s">
        <v>612</v>
      </c>
      <c r="D24" s="43" t="s">
        <v>186</v>
      </c>
      <c r="E24" s="6">
        <v>0.015</v>
      </c>
      <c r="F24" s="7">
        <v>192.64</v>
      </c>
      <c r="G24" s="24">
        <f t="shared" si="1"/>
        <v>2.89</v>
      </c>
      <c r="H24" s="41">
        <v>0.1071</v>
      </c>
      <c r="I24" s="53">
        <f t="shared" si="0"/>
        <v>1.28</v>
      </c>
    </row>
    <row r="25" spans="1:10" s="56" customFormat="1" ht="19.5" customHeight="1">
      <c r="A25" s="23">
        <v>11</v>
      </c>
      <c r="B25" s="8">
        <v>7050</v>
      </c>
      <c r="C25" s="57" t="s">
        <v>613</v>
      </c>
      <c r="D25" s="43" t="s">
        <v>188</v>
      </c>
      <c r="E25" s="6">
        <v>0.075</v>
      </c>
      <c r="F25" s="7">
        <v>69.58</v>
      </c>
      <c r="G25" s="24">
        <f t="shared" si="1"/>
        <v>5.22</v>
      </c>
      <c r="H25" s="41">
        <v>0.0341</v>
      </c>
      <c r="I25" s="53">
        <f t="shared" si="0"/>
        <v>1.28</v>
      </c>
      <c r="J25" s="56">
        <f>102.08/2</f>
        <v>51.04</v>
      </c>
    </row>
    <row r="26" spans="1:9" s="56" customFormat="1" ht="19.5" customHeight="1" thickBot="1">
      <c r="A26" s="23">
        <v>12</v>
      </c>
      <c r="B26" s="8">
        <v>7049</v>
      </c>
      <c r="C26" s="57" t="s">
        <v>614</v>
      </c>
      <c r="D26" s="43" t="s">
        <v>186</v>
      </c>
      <c r="E26" s="6">
        <v>0.025</v>
      </c>
      <c r="F26" s="7">
        <v>236.37</v>
      </c>
      <c r="G26" s="24">
        <f t="shared" si="1"/>
        <v>5.91</v>
      </c>
      <c r="H26" s="41">
        <v>0.0419</v>
      </c>
      <c r="I26" s="53">
        <f t="shared" si="0"/>
        <v>1.28</v>
      </c>
    </row>
    <row r="27" spans="1:9" s="56" customFormat="1" ht="19.5" customHeight="1" thickBot="1">
      <c r="A27" s="879" t="s">
        <v>48</v>
      </c>
      <c r="B27" s="880"/>
      <c r="C27" s="880"/>
      <c r="D27" s="880"/>
      <c r="E27" s="881">
        <f>SUM(G15:G26)</f>
        <v>55.83</v>
      </c>
      <c r="F27" s="881"/>
      <c r="G27" s="882"/>
      <c r="H27" s="35"/>
      <c r="I27" s="53"/>
    </row>
    <row r="28" spans="1:9" s="56" customFormat="1" ht="19.5" customHeight="1">
      <c r="A28" s="817" t="s">
        <v>49</v>
      </c>
      <c r="B28" s="818"/>
      <c r="C28" s="818"/>
      <c r="D28" s="818"/>
      <c r="E28" s="818"/>
      <c r="F28" s="818"/>
      <c r="G28" s="819"/>
      <c r="H28" s="33"/>
      <c r="I28" s="53"/>
    </row>
    <row r="29" spans="1:9" s="56" customFormat="1" ht="19.5" customHeight="1">
      <c r="A29" s="21" t="s">
        <v>37</v>
      </c>
      <c r="B29" s="42" t="s">
        <v>314</v>
      </c>
      <c r="C29" s="3" t="s">
        <v>38</v>
      </c>
      <c r="D29" s="42" t="s">
        <v>39</v>
      </c>
      <c r="E29" s="3" t="s">
        <v>163</v>
      </c>
      <c r="F29" s="4" t="s">
        <v>40</v>
      </c>
      <c r="G29" s="22" t="s">
        <v>41</v>
      </c>
      <c r="H29" s="34"/>
      <c r="I29" s="53"/>
    </row>
    <row r="30" spans="1:9" s="56" customFormat="1" ht="19.5" customHeight="1" thickBot="1">
      <c r="A30" s="27">
        <v>1</v>
      </c>
      <c r="B30" s="501" t="s">
        <v>615</v>
      </c>
      <c r="C30" s="29" t="s">
        <v>616</v>
      </c>
      <c r="D30" s="42" t="s">
        <v>0</v>
      </c>
      <c r="E30" s="6">
        <v>1.15</v>
      </c>
      <c r="F30" s="13">
        <v>37.28</v>
      </c>
      <c r="G30" s="24">
        <f>ROUND(E30*F30,2)</f>
        <v>42.87</v>
      </c>
      <c r="H30" s="41">
        <v>0.1875</v>
      </c>
      <c r="I30" s="53">
        <f>$I$8</f>
        <v>1.28</v>
      </c>
    </row>
    <row r="31" spans="1:9" s="56" customFormat="1" ht="19.5" customHeight="1" thickBot="1">
      <c r="A31" s="879" t="s">
        <v>50</v>
      </c>
      <c r="B31" s="880"/>
      <c r="C31" s="880"/>
      <c r="D31" s="880"/>
      <c r="E31" s="881">
        <f>SUM(G30:G30)</f>
        <v>42.87</v>
      </c>
      <c r="F31" s="881"/>
      <c r="G31" s="882"/>
      <c r="H31" s="35"/>
      <c r="I31" s="53"/>
    </row>
    <row r="32" spans="1:9" s="56" customFormat="1" ht="19.5" customHeight="1">
      <c r="A32" s="817" t="s">
        <v>617</v>
      </c>
      <c r="B32" s="818"/>
      <c r="C32" s="818"/>
      <c r="D32" s="818"/>
      <c r="E32" s="818"/>
      <c r="F32" s="818"/>
      <c r="G32" s="819"/>
      <c r="H32" s="33"/>
      <c r="I32" s="53"/>
    </row>
    <row r="33" spans="1:9" s="56" customFormat="1" ht="19.5" customHeight="1">
      <c r="A33" s="21" t="s">
        <v>37</v>
      </c>
      <c r="B33" s="42" t="s">
        <v>314</v>
      </c>
      <c r="C33" s="3" t="s">
        <v>38</v>
      </c>
      <c r="D33" s="42" t="s">
        <v>39</v>
      </c>
      <c r="E33" s="3" t="s">
        <v>163</v>
      </c>
      <c r="F33" s="4" t="s">
        <v>40</v>
      </c>
      <c r="G33" s="22" t="s">
        <v>41</v>
      </c>
      <c r="H33" s="34"/>
      <c r="I33" s="53"/>
    </row>
    <row r="34" spans="1:9" s="56" customFormat="1" ht="19.5" customHeight="1">
      <c r="A34" s="27">
        <v>1</v>
      </c>
      <c r="B34" s="501" t="s">
        <v>618</v>
      </c>
      <c r="C34" s="29" t="s">
        <v>385</v>
      </c>
      <c r="D34" s="42" t="s">
        <v>0</v>
      </c>
      <c r="E34" s="6">
        <v>1</v>
      </c>
      <c r="F34" s="13">
        <v>6.47</v>
      </c>
      <c r="G34" s="24">
        <f>ROUND(E34*F34,2)</f>
        <v>6.47</v>
      </c>
      <c r="H34" s="41"/>
      <c r="I34" s="53"/>
    </row>
    <row r="35" spans="1:9" s="56" customFormat="1" ht="19.5" customHeight="1" thickBot="1">
      <c r="A35" s="27">
        <v>2</v>
      </c>
      <c r="B35" s="11">
        <v>93591</v>
      </c>
      <c r="C35" s="29" t="s">
        <v>383</v>
      </c>
      <c r="D35" s="42" t="s">
        <v>251</v>
      </c>
      <c r="E35" s="6">
        <v>28</v>
      </c>
      <c r="F35" s="13">
        <v>2.84</v>
      </c>
      <c r="G35" s="24">
        <f>ROUND(E35*F35,2)</f>
        <v>79.52</v>
      </c>
      <c r="H35" s="41"/>
      <c r="I35" s="502"/>
    </row>
    <row r="36" spans="1:9" s="56" customFormat="1" ht="19.5" customHeight="1" thickBot="1">
      <c r="A36" s="879" t="s">
        <v>619</v>
      </c>
      <c r="B36" s="880"/>
      <c r="C36" s="880"/>
      <c r="D36" s="880"/>
      <c r="E36" s="881">
        <f>SUM(G34:G35)</f>
        <v>85.99</v>
      </c>
      <c r="F36" s="881"/>
      <c r="G36" s="882"/>
      <c r="H36" s="35"/>
      <c r="I36" s="53"/>
    </row>
    <row r="37" spans="1:9" s="56" customFormat="1" ht="19.5" customHeight="1">
      <c r="A37" s="883" t="s">
        <v>51</v>
      </c>
      <c r="B37" s="884"/>
      <c r="C37" s="884"/>
      <c r="D37" s="884"/>
      <c r="E37" s="884"/>
      <c r="F37" s="884"/>
      <c r="G37" s="885"/>
      <c r="H37" s="37"/>
      <c r="I37" s="53"/>
    </row>
    <row r="38" spans="1:9" s="56" customFormat="1" ht="19.5" customHeight="1">
      <c r="A38" s="21" t="s">
        <v>37</v>
      </c>
      <c r="B38" s="42"/>
      <c r="C38" s="42" t="s">
        <v>52</v>
      </c>
      <c r="D38" s="42" t="s">
        <v>41</v>
      </c>
      <c r="E38" s="42"/>
      <c r="F38" s="14"/>
      <c r="G38" s="22"/>
      <c r="H38" s="34"/>
      <c r="I38" s="53"/>
    </row>
    <row r="39" spans="1:9" s="56" customFormat="1" ht="19.5" customHeight="1">
      <c r="A39" s="21" t="s">
        <v>53</v>
      </c>
      <c r="B39" s="42"/>
      <c r="C39" s="43" t="s">
        <v>54</v>
      </c>
      <c r="D39" s="839" t="s">
        <v>55</v>
      </c>
      <c r="E39" s="839"/>
      <c r="F39" s="839"/>
      <c r="G39" s="22">
        <f>E12</f>
        <v>0.42</v>
      </c>
      <c r="H39" s="34"/>
      <c r="I39" s="53"/>
    </row>
    <row r="40" spans="1:9" s="56" customFormat="1" ht="19.5" customHeight="1">
      <c r="A40" s="21" t="s">
        <v>56</v>
      </c>
      <c r="B40" s="42"/>
      <c r="C40" s="43" t="s">
        <v>57</v>
      </c>
      <c r="D40" s="839" t="s">
        <v>58</v>
      </c>
      <c r="E40" s="839"/>
      <c r="F40" s="839"/>
      <c r="G40" s="22">
        <f>E27</f>
        <v>55.83</v>
      </c>
      <c r="H40" s="34"/>
      <c r="I40" s="53"/>
    </row>
    <row r="41" spans="1:9" s="56" customFormat="1" ht="19.5" customHeight="1">
      <c r="A41" s="21" t="s">
        <v>16</v>
      </c>
      <c r="B41" s="42"/>
      <c r="C41" s="43" t="s">
        <v>59</v>
      </c>
      <c r="D41" s="839" t="s">
        <v>60</v>
      </c>
      <c r="E41" s="839"/>
      <c r="F41" s="839"/>
      <c r="G41" s="22">
        <f>E31</f>
        <v>42.87</v>
      </c>
      <c r="H41" s="34"/>
      <c r="I41" s="53"/>
    </row>
    <row r="42" spans="1:9" s="56" customFormat="1" ht="19.5" customHeight="1">
      <c r="A42" s="21" t="s">
        <v>9</v>
      </c>
      <c r="B42" s="42"/>
      <c r="C42" s="43" t="s">
        <v>620</v>
      </c>
      <c r="D42" s="839" t="s">
        <v>621</v>
      </c>
      <c r="E42" s="839"/>
      <c r="F42" s="839"/>
      <c r="G42" s="22">
        <f>E36</f>
        <v>85.99</v>
      </c>
      <c r="H42" s="34"/>
      <c r="I42" s="53"/>
    </row>
    <row r="43" spans="1:9" s="56" customFormat="1" ht="19.5" customHeight="1">
      <c r="A43" s="21" t="s">
        <v>63</v>
      </c>
      <c r="B43" s="42"/>
      <c r="C43" s="15" t="s">
        <v>622</v>
      </c>
      <c r="D43" s="840" t="s">
        <v>62</v>
      </c>
      <c r="E43" s="840"/>
      <c r="F43" s="840"/>
      <c r="G43" s="44">
        <f>G39+G40+G41+G42</f>
        <v>185.11</v>
      </c>
      <c r="H43" s="38">
        <v>596</v>
      </c>
      <c r="I43" s="53"/>
    </row>
    <row r="44" spans="1:9" s="56" customFormat="1" ht="19.5" customHeight="1">
      <c r="A44" s="21" t="s">
        <v>623</v>
      </c>
      <c r="B44" s="42"/>
      <c r="C44" s="15" t="s">
        <v>624</v>
      </c>
      <c r="D44" s="16" t="s">
        <v>215</v>
      </c>
      <c r="E44" s="17"/>
      <c r="F44" s="280">
        <v>0.2746</v>
      </c>
      <c r="G44" s="28">
        <f>G43*F44</f>
        <v>50.83</v>
      </c>
      <c r="H44" s="39"/>
      <c r="I44" s="53"/>
    </row>
    <row r="45" spans="1:9" s="56" customFormat="1" ht="19.5" customHeight="1" thickBot="1">
      <c r="A45" s="45"/>
      <c r="B45" s="46"/>
      <c r="C45" s="46"/>
      <c r="D45" s="878" t="s">
        <v>65</v>
      </c>
      <c r="E45" s="878"/>
      <c r="F45" s="878"/>
      <c r="G45" s="47">
        <f>G43+G44</f>
        <v>235.94</v>
      </c>
      <c r="H45" s="40"/>
      <c r="I45" s="53"/>
    </row>
    <row r="46" spans="1:8" ht="12.75">
      <c r="A46" s="18"/>
      <c r="B46" s="18"/>
      <c r="C46" s="18"/>
      <c r="D46" s="19"/>
      <c r="E46" s="19"/>
      <c r="F46" s="19"/>
      <c r="G46" s="20"/>
      <c r="H46" s="20"/>
    </row>
  </sheetData>
  <sheetProtection/>
  <mergeCells count="25">
    <mergeCell ref="D45:F45"/>
    <mergeCell ref="A37:G37"/>
    <mergeCell ref="D39:F39"/>
    <mergeCell ref="D40:F40"/>
    <mergeCell ref="D41:F41"/>
    <mergeCell ref="D42:F42"/>
    <mergeCell ref="D43:F43"/>
    <mergeCell ref="A28:G28"/>
    <mergeCell ref="A31:D31"/>
    <mergeCell ref="E31:G31"/>
    <mergeCell ref="A32:G32"/>
    <mergeCell ref="A36:D36"/>
    <mergeCell ref="E36:G36"/>
    <mergeCell ref="A8:G8"/>
    <mergeCell ref="A12:D12"/>
    <mergeCell ref="E12:G12"/>
    <mergeCell ref="A13:G13"/>
    <mergeCell ref="A27:D27"/>
    <mergeCell ref="E27:G27"/>
    <mergeCell ref="A2:G2"/>
    <mergeCell ref="A3:G3"/>
    <mergeCell ref="A4:G4"/>
    <mergeCell ref="A5:G5"/>
    <mergeCell ref="C6:F6"/>
    <mergeCell ref="A7:G7"/>
  </mergeCells>
  <printOptions/>
  <pageMargins left="0.511811024" right="0.511811024" top="0.787401575" bottom="0.787401575" header="0.31496062" footer="0.31496062"/>
  <pageSetup horizontalDpi="600" verticalDpi="600" orientation="portrait" paperSize="9" scale="92" r:id="rId4"/>
  <drawing r:id="rId3"/>
  <legacyDrawing r:id="rId2"/>
</worksheet>
</file>

<file path=xl/worksheets/sheet14.xml><?xml version="1.0" encoding="utf-8"?>
<worksheet xmlns="http://schemas.openxmlformats.org/spreadsheetml/2006/main" xmlns:r="http://schemas.openxmlformats.org/officeDocument/2006/relationships">
  <sheetPr>
    <tabColor theme="7" tint="0.39998000860214233"/>
    <pageSetUpPr fitToPage="1"/>
  </sheetPr>
  <dimension ref="A1:F50"/>
  <sheetViews>
    <sheetView view="pageBreakPreview" zoomScale="60" zoomScaleNormal="70" zoomScalePageLayoutView="0" workbookViewId="0" topLeftCell="A25">
      <selection activeCell="F47" sqref="A1:F47"/>
    </sheetView>
  </sheetViews>
  <sheetFormatPr defaultColWidth="9.140625" defaultRowHeight="12.75"/>
  <cols>
    <col min="1" max="1" width="13.421875" style="145" customWidth="1"/>
    <col min="2" max="2" width="77.57421875" style="145" customWidth="1"/>
    <col min="3" max="3" width="16.8515625" style="145" customWidth="1"/>
    <col min="4" max="4" width="18.57421875" style="145" customWidth="1"/>
    <col min="5" max="5" width="16.8515625" style="145" customWidth="1"/>
    <col min="6" max="6" width="18.57421875" style="145" customWidth="1"/>
    <col min="7" max="16384" width="9.140625" style="145" customWidth="1"/>
  </cols>
  <sheetData>
    <row r="1" spans="1:6" s="143" customFormat="1" ht="19.5" customHeight="1">
      <c r="A1" s="889"/>
      <c r="B1" s="890"/>
      <c r="C1" s="890"/>
      <c r="D1" s="890"/>
      <c r="E1" s="890"/>
      <c r="F1" s="891"/>
    </row>
    <row r="2" spans="1:6" s="144" customFormat="1" ht="19.5" customHeight="1">
      <c r="A2" s="892" t="s">
        <v>20</v>
      </c>
      <c r="B2" s="893"/>
      <c r="C2" s="893"/>
      <c r="D2" s="893"/>
      <c r="E2" s="893"/>
      <c r="F2" s="894"/>
    </row>
    <row r="3" spans="1:6" s="144" customFormat="1" ht="19.5" customHeight="1">
      <c r="A3" s="895" t="s">
        <v>199</v>
      </c>
      <c r="B3" s="896"/>
      <c r="C3" s="896"/>
      <c r="D3" s="896"/>
      <c r="E3" s="896"/>
      <c r="F3" s="897"/>
    </row>
    <row r="4" spans="1:6" s="144" customFormat="1" ht="19.5" customHeight="1">
      <c r="A4" s="895" t="s">
        <v>19</v>
      </c>
      <c r="B4" s="896"/>
      <c r="C4" s="896"/>
      <c r="D4" s="896"/>
      <c r="E4" s="896"/>
      <c r="F4" s="897"/>
    </row>
    <row r="5" spans="1:6" s="144" customFormat="1" ht="19.5" customHeight="1" thickBot="1">
      <c r="A5" s="898"/>
      <c r="B5" s="899"/>
      <c r="C5" s="899"/>
      <c r="D5" s="899"/>
      <c r="E5" s="899"/>
      <c r="F5" s="900"/>
    </row>
    <row r="6" spans="1:6" ht="34.5" customHeight="1" thickBot="1" thickTop="1">
      <c r="A6" s="901" t="s">
        <v>306</v>
      </c>
      <c r="B6" s="902"/>
      <c r="C6" s="902"/>
      <c r="D6" s="902"/>
      <c r="E6" s="902"/>
      <c r="F6" s="903"/>
    </row>
    <row r="7" spans="1:6" ht="79.5" customHeight="1" thickTop="1">
      <c r="A7" s="904" t="str">
        <f>'ORÇAMENTO GERAL'!C7</f>
        <v>EXECUÇÃO DOS SERVIÇOS DE DRENAGEM SUPERFICIAL E PROFUNDA NA RUA DO PORTO E RUA DO PORTO 2 - DISTRITO INDUSTRIAL - NO MUNICÍPIO DE ANANINDEUA - PA.</v>
      </c>
      <c r="B7" s="905"/>
      <c r="C7" s="905"/>
      <c r="D7" s="905"/>
      <c r="E7" s="905"/>
      <c r="F7" s="906"/>
    </row>
    <row r="8" spans="1:6" ht="18.75">
      <c r="A8" s="907" t="s">
        <v>71</v>
      </c>
      <c r="B8" s="909" t="s">
        <v>72</v>
      </c>
      <c r="C8" s="911" t="s">
        <v>307</v>
      </c>
      <c r="D8" s="912"/>
      <c r="E8" s="911" t="s">
        <v>308</v>
      </c>
      <c r="F8" s="913"/>
    </row>
    <row r="9" spans="1:6" s="143" customFormat="1" ht="18.75">
      <c r="A9" s="908"/>
      <c r="B9" s="910"/>
      <c r="C9" s="146" t="s">
        <v>73</v>
      </c>
      <c r="D9" s="146" t="s">
        <v>74</v>
      </c>
      <c r="E9" s="146" t="s">
        <v>73</v>
      </c>
      <c r="F9" s="147" t="s">
        <v>74</v>
      </c>
    </row>
    <row r="10" spans="1:6" s="143" customFormat="1" ht="24.75" customHeight="1">
      <c r="A10" s="914" t="s">
        <v>75</v>
      </c>
      <c r="B10" s="915"/>
      <c r="C10" s="915"/>
      <c r="D10" s="916"/>
      <c r="E10" s="148"/>
      <c r="F10" s="149"/>
    </row>
    <row r="11" spans="1:6" s="143" customFormat="1" ht="18" customHeight="1">
      <c r="A11" s="150" t="s">
        <v>76</v>
      </c>
      <c r="B11" s="151" t="s">
        <v>77</v>
      </c>
      <c r="C11" s="152">
        <v>0</v>
      </c>
      <c r="D11" s="152">
        <v>0</v>
      </c>
      <c r="E11" s="152">
        <v>20</v>
      </c>
      <c r="F11" s="153">
        <v>20</v>
      </c>
    </row>
    <row r="12" spans="1:6" s="143" customFormat="1" ht="18" customHeight="1">
      <c r="A12" s="150" t="s">
        <v>78</v>
      </c>
      <c r="B12" s="151" t="s">
        <v>79</v>
      </c>
      <c r="C12" s="152">
        <v>1.5</v>
      </c>
      <c r="D12" s="152">
        <v>1.5</v>
      </c>
      <c r="E12" s="152">
        <v>1.5</v>
      </c>
      <c r="F12" s="153">
        <v>1.5</v>
      </c>
    </row>
    <row r="13" spans="1:6" s="143" customFormat="1" ht="18" customHeight="1">
      <c r="A13" s="150" t="s">
        <v>80</v>
      </c>
      <c r="B13" s="151" t="s">
        <v>81</v>
      </c>
      <c r="C13" s="152">
        <v>1</v>
      </c>
      <c r="D13" s="152">
        <v>1</v>
      </c>
      <c r="E13" s="152">
        <v>1</v>
      </c>
      <c r="F13" s="153">
        <v>1</v>
      </c>
    </row>
    <row r="14" spans="1:6" s="143" customFormat="1" ht="18" customHeight="1">
      <c r="A14" s="150" t="s">
        <v>82</v>
      </c>
      <c r="B14" s="151" t="s">
        <v>83</v>
      </c>
      <c r="C14" s="152">
        <v>0.2</v>
      </c>
      <c r="D14" s="152">
        <v>0.2</v>
      </c>
      <c r="E14" s="152">
        <v>0.2</v>
      </c>
      <c r="F14" s="153">
        <v>0.2</v>
      </c>
    </row>
    <row r="15" spans="1:6" s="143" customFormat="1" ht="18" customHeight="1">
      <c r="A15" s="150" t="s">
        <v>84</v>
      </c>
      <c r="B15" s="151" t="s">
        <v>85</v>
      </c>
      <c r="C15" s="152">
        <v>0.6</v>
      </c>
      <c r="D15" s="152">
        <v>0.6</v>
      </c>
      <c r="E15" s="152">
        <v>0.6</v>
      </c>
      <c r="F15" s="153">
        <v>0.6</v>
      </c>
    </row>
    <row r="16" spans="1:6" s="143" customFormat="1" ht="18" customHeight="1">
      <c r="A16" s="150" t="s">
        <v>86</v>
      </c>
      <c r="B16" s="151" t="s">
        <v>87</v>
      </c>
      <c r="C16" s="152">
        <v>2.5</v>
      </c>
      <c r="D16" s="152">
        <v>2.5</v>
      </c>
      <c r="E16" s="152">
        <v>2.5</v>
      </c>
      <c r="F16" s="153">
        <v>2.5</v>
      </c>
    </row>
    <row r="17" spans="1:6" s="143" customFormat="1" ht="18" customHeight="1">
      <c r="A17" s="150" t="s">
        <v>88</v>
      </c>
      <c r="B17" s="151" t="s">
        <v>89</v>
      </c>
      <c r="C17" s="152">
        <v>3</v>
      </c>
      <c r="D17" s="152">
        <v>3</v>
      </c>
      <c r="E17" s="152">
        <v>3</v>
      </c>
      <c r="F17" s="153">
        <v>3</v>
      </c>
    </row>
    <row r="18" spans="1:6" s="143" customFormat="1" ht="18" customHeight="1">
      <c r="A18" s="150" t="s">
        <v>90</v>
      </c>
      <c r="B18" s="151" t="s">
        <v>91</v>
      </c>
      <c r="C18" s="152">
        <v>8</v>
      </c>
      <c r="D18" s="152">
        <v>8</v>
      </c>
      <c r="E18" s="152">
        <v>8</v>
      </c>
      <c r="F18" s="153">
        <v>8</v>
      </c>
    </row>
    <row r="19" spans="1:6" s="143" customFormat="1" ht="18" customHeight="1">
      <c r="A19" s="150" t="s">
        <v>92</v>
      </c>
      <c r="B19" s="151" t="s">
        <v>93</v>
      </c>
      <c r="C19" s="152">
        <v>0</v>
      </c>
      <c r="D19" s="152">
        <v>0</v>
      </c>
      <c r="E19" s="152">
        <v>0</v>
      </c>
      <c r="F19" s="153">
        <v>0</v>
      </c>
    </row>
    <row r="20" spans="1:6" s="143" customFormat="1" ht="18.75" customHeight="1">
      <c r="A20" s="154" t="s">
        <v>53</v>
      </c>
      <c r="B20" s="155" t="s">
        <v>94</v>
      </c>
      <c r="C20" s="156">
        <f>SUM(C11:C19)</f>
        <v>16.8</v>
      </c>
      <c r="D20" s="156">
        <f>SUM(D11:D19)</f>
        <v>16.8</v>
      </c>
      <c r="E20" s="156">
        <f>SUM(E11:E19)</f>
        <v>36.8</v>
      </c>
      <c r="F20" s="157">
        <f>SUM(F11:F19)</f>
        <v>36.8</v>
      </c>
    </row>
    <row r="21" spans="1:6" s="143" customFormat="1" ht="24.75" customHeight="1">
      <c r="A21" s="914" t="s">
        <v>95</v>
      </c>
      <c r="B21" s="915"/>
      <c r="C21" s="915"/>
      <c r="D21" s="916"/>
      <c r="E21" s="148"/>
      <c r="F21" s="149"/>
    </row>
    <row r="22" spans="1:6" s="143" customFormat="1" ht="18" customHeight="1">
      <c r="A22" s="150" t="s">
        <v>96</v>
      </c>
      <c r="B22" s="151" t="s">
        <v>97</v>
      </c>
      <c r="C22" s="152">
        <v>18.11</v>
      </c>
      <c r="D22" s="152">
        <v>0</v>
      </c>
      <c r="E22" s="152">
        <v>18.11</v>
      </c>
      <c r="F22" s="153">
        <v>0</v>
      </c>
    </row>
    <row r="23" spans="1:6" s="143" customFormat="1" ht="18" customHeight="1">
      <c r="A23" s="150" t="s">
        <v>98</v>
      </c>
      <c r="B23" s="151" t="s">
        <v>99</v>
      </c>
      <c r="C23" s="152">
        <v>4.15</v>
      </c>
      <c r="D23" s="152">
        <v>0</v>
      </c>
      <c r="E23" s="152">
        <v>4.15</v>
      </c>
      <c r="F23" s="153">
        <v>0</v>
      </c>
    </row>
    <row r="24" spans="1:6" s="143" customFormat="1" ht="18" customHeight="1">
      <c r="A24" s="150" t="s">
        <v>100</v>
      </c>
      <c r="B24" s="151" t="s">
        <v>101</v>
      </c>
      <c r="C24" s="152">
        <v>0.89</v>
      </c>
      <c r="D24" s="152">
        <v>0.67</v>
      </c>
      <c r="E24" s="152">
        <v>0.89</v>
      </c>
      <c r="F24" s="153">
        <v>0.67</v>
      </c>
    </row>
    <row r="25" spans="1:6" s="143" customFormat="1" ht="18" customHeight="1">
      <c r="A25" s="150" t="s">
        <v>102</v>
      </c>
      <c r="B25" s="151" t="s">
        <v>103</v>
      </c>
      <c r="C25" s="152">
        <v>10.98</v>
      </c>
      <c r="D25" s="152">
        <v>8.33</v>
      </c>
      <c r="E25" s="152">
        <v>10.98</v>
      </c>
      <c r="F25" s="153">
        <v>8.33</v>
      </c>
    </row>
    <row r="26" spans="1:6" s="143" customFormat="1" ht="18" customHeight="1">
      <c r="A26" s="150" t="s">
        <v>104</v>
      </c>
      <c r="B26" s="151" t="s">
        <v>105</v>
      </c>
      <c r="C26" s="152">
        <v>0.07</v>
      </c>
      <c r="D26" s="152">
        <v>0.06</v>
      </c>
      <c r="E26" s="152">
        <v>0.07</v>
      </c>
      <c r="F26" s="153">
        <v>0.06</v>
      </c>
    </row>
    <row r="27" spans="1:6" s="143" customFormat="1" ht="18" customHeight="1">
      <c r="A27" s="150" t="s">
        <v>106</v>
      </c>
      <c r="B27" s="151" t="s">
        <v>107</v>
      </c>
      <c r="C27" s="152">
        <v>0.73</v>
      </c>
      <c r="D27" s="152">
        <v>0.56</v>
      </c>
      <c r="E27" s="152">
        <v>0.73</v>
      </c>
      <c r="F27" s="153">
        <v>0.56</v>
      </c>
    </row>
    <row r="28" spans="1:6" s="143" customFormat="1" ht="18" customHeight="1">
      <c r="A28" s="150" t="s">
        <v>108</v>
      </c>
      <c r="B28" s="151" t="s">
        <v>109</v>
      </c>
      <c r="C28" s="152">
        <v>2.68</v>
      </c>
      <c r="D28" s="152">
        <v>0</v>
      </c>
      <c r="E28" s="152">
        <v>2.68</v>
      </c>
      <c r="F28" s="153">
        <v>0</v>
      </c>
    </row>
    <row r="29" spans="1:6" s="143" customFormat="1" ht="18" customHeight="1">
      <c r="A29" s="150" t="s">
        <v>110</v>
      </c>
      <c r="B29" s="151" t="s">
        <v>111</v>
      </c>
      <c r="C29" s="152">
        <v>0.11</v>
      </c>
      <c r="D29" s="152">
        <v>0.08</v>
      </c>
      <c r="E29" s="152">
        <v>0.11</v>
      </c>
      <c r="F29" s="153">
        <v>0.08</v>
      </c>
    </row>
    <row r="30" spans="1:6" s="143" customFormat="1" ht="18" customHeight="1">
      <c r="A30" s="150" t="s">
        <v>112</v>
      </c>
      <c r="B30" s="151" t="s">
        <v>113</v>
      </c>
      <c r="C30" s="152">
        <v>9.27</v>
      </c>
      <c r="D30" s="152">
        <v>7.03</v>
      </c>
      <c r="E30" s="152">
        <v>9.27</v>
      </c>
      <c r="F30" s="153">
        <v>7.03</v>
      </c>
    </row>
    <row r="31" spans="1:6" s="143" customFormat="1" ht="18" customHeight="1">
      <c r="A31" s="150" t="s">
        <v>114</v>
      </c>
      <c r="B31" s="151" t="s">
        <v>115</v>
      </c>
      <c r="C31" s="152">
        <v>0.03</v>
      </c>
      <c r="D31" s="152">
        <v>0.03</v>
      </c>
      <c r="E31" s="152">
        <v>0.03</v>
      </c>
      <c r="F31" s="153">
        <v>0.03</v>
      </c>
    </row>
    <row r="32" spans="1:6" s="143" customFormat="1" ht="18.75" customHeight="1">
      <c r="A32" s="154" t="s">
        <v>56</v>
      </c>
      <c r="B32" s="155" t="s">
        <v>116</v>
      </c>
      <c r="C32" s="156">
        <f>SUM(C22:C31)</f>
        <v>47.02</v>
      </c>
      <c r="D32" s="156">
        <f>SUM(D22:D31)</f>
        <v>16.76</v>
      </c>
      <c r="E32" s="156">
        <f>SUM(E22:E31)</f>
        <v>47.02</v>
      </c>
      <c r="F32" s="157">
        <f>SUM(F22:F31)</f>
        <v>16.76</v>
      </c>
    </row>
    <row r="33" spans="1:6" s="143" customFormat="1" ht="24.75" customHeight="1">
      <c r="A33" s="914" t="s">
        <v>117</v>
      </c>
      <c r="B33" s="915"/>
      <c r="C33" s="915"/>
      <c r="D33" s="916"/>
      <c r="E33" s="148"/>
      <c r="F33" s="149"/>
    </row>
    <row r="34" spans="1:6" s="143" customFormat="1" ht="18" customHeight="1">
      <c r="A34" s="150" t="s">
        <v>118</v>
      </c>
      <c r="B34" s="151" t="s">
        <v>119</v>
      </c>
      <c r="C34" s="152">
        <v>5.69</v>
      </c>
      <c r="D34" s="152">
        <v>4.32</v>
      </c>
      <c r="E34" s="152">
        <v>5.69</v>
      </c>
      <c r="F34" s="153">
        <v>4.32</v>
      </c>
    </row>
    <row r="35" spans="1:6" s="143" customFormat="1" ht="18" customHeight="1">
      <c r="A35" s="150" t="s">
        <v>120</v>
      </c>
      <c r="B35" s="151" t="s">
        <v>121</v>
      </c>
      <c r="C35" s="152">
        <v>0.13</v>
      </c>
      <c r="D35" s="152">
        <v>0.1</v>
      </c>
      <c r="E35" s="152">
        <v>0.13</v>
      </c>
      <c r="F35" s="153">
        <v>0.1</v>
      </c>
    </row>
    <row r="36" spans="1:6" s="143" customFormat="1" ht="18" customHeight="1">
      <c r="A36" s="150" t="s">
        <v>122</v>
      </c>
      <c r="B36" s="151" t="s">
        <v>123</v>
      </c>
      <c r="C36" s="152">
        <v>4.47</v>
      </c>
      <c r="D36" s="152">
        <v>3.39</v>
      </c>
      <c r="E36" s="152">
        <v>4.47</v>
      </c>
      <c r="F36" s="153">
        <v>3.39</v>
      </c>
    </row>
    <row r="37" spans="1:6" s="143" customFormat="1" ht="18" customHeight="1">
      <c r="A37" s="150" t="s">
        <v>124</v>
      </c>
      <c r="B37" s="151" t="s">
        <v>125</v>
      </c>
      <c r="C37" s="152">
        <v>3.93</v>
      </c>
      <c r="D37" s="152">
        <v>2.98</v>
      </c>
      <c r="E37" s="152">
        <v>3.93</v>
      </c>
      <c r="F37" s="153">
        <v>2.98</v>
      </c>
    </row>
    <row r="38" spans="1:6" s="143" customFormat="1" ht="18" customHeight="1">
      <c r="A38" s="150" t="s">
        <v>126</v>
      </c>
      <c r="B38" s="151" t="s">
        <v>127</v>
      </c>
      <c r="C38" s="152">
        <v>0.48</v>
      </c>
      <c r="D38" s="152">
        <v>0.36</v>
      </c>
      <c r="E38" s="152">
        <v>0.48</v>
      </c>
      <c r="F38" s="153">
        <v>0.36</v>
      </c>
    </row>
    <row r="39" spans="1:6" s="143" customFormat="1" ht="18.75" customHeight="1">
      <c r="A39" s="154" t="s">
        <v>16</v>
      </c>
      <c r="B39" s="155" t="s">
        <v>128</v>
      </c>
      <c r="C39" s="156">
        <f>SUM(C34:C38)</f>
        <v>14.7</v>
      </c>
      <c r="D39" s="156">
        <f>SUM(D34:D38)</f>
        <v>11.15</v>
      </c>
      <c r="E39" s="156">
        <f>SUM(E34:E38)</f>
        <v>14.7</v>
      </c>
      <c r="F39" s="157">
        <f>SUM(F34:F38)</f>
        <v>11.15</v>
      </c>
    </row>
    <row r="40" spans="1:6" s="143" customFormat="1" ht="24.75" customHeight="1">
      <c r="A40" s="914" t="s">
        <v>129</v>
      </c>
      <c r="B40" s="915"/>
      <c r="C40" s="915"/>
      <c r="D40" s="916"/>
      <c r="E40" s="148"/>
      <c r="F40" s="149"/>
    </row>
    <row r="41" spans="1:6" s="143" customFormat="1" ht="18" customHeight="1">
      <c r="A41" s="150" t="s">
        <v>130</v>
      </c>
      <c r="B41" s="151" t="s">
        <v>131</v>
      </c>
      <c r="C41" s="152">
        <v>7.9</v>
      </c>
      <c r="D41" s="152">
        <v>2.82</v>
      </c>
      <c r="E41" s="152">
        <v>17.3</v>
      </c>
      <c r="F41" s="153">
        <v>6.17</v>
      </c>
    </row>
    <row r="42" spans="1:6" s="143" customFormat="1" ht="37.5">
      <c r="A42" s="150" t="s">
        <v>132</v>
      </c>
      <c r="B42" s="158" t="s">
        <v>133</v>
      </c>
      <c r="C42" s="159">
        <v>0.48</v>
      </c>
      <c r="D42" s="159">
        <v>0.36</v>
      </c>
      <c r="E42" s="159">
        <v>0.5</v>
      </c>
      <c r="F42" s="160">
        <v>0.38</v>
      </c>
    </row>
    <row r="43" spans="1:6" s="143" customFormat="1" ht="18.75" customHeight="1" thickBot="1">
      <c r="A43" s="161" t="s">
        <v>9</v>
      </c>
      <c r="B43" s="162" t="s">
        <v>134</v>
      </c>
      <c r="C43" s="163">
        <f>SUM(C41:C42)</f>
        <v>8.38</v>
      </c>
      <c r="D43" s="163">
        <f>SUM(D41:D42)</f>
        <v>3.18</v>
      </c>
      <c r="E43" s="163">
        <f>SUM(E41:E42)</f>
        <v>17.8</v>
      </c>
      <c r="F43" s="164">
        <f>SUM(F41:F42)</f>
        <v>6.55</v>
      </c>
    </row>
    <row r="44" spans="1:6" s="143" customFormat="1" ht="24.75" customHeight="1" hidden="1">
      <c r="A44" s="917" t="s">
        <v>135</v>
      </c>
      <c r="B44" s="918"/>
      <c r="C44" s="918"/>
      <c r="D44" s="919"/>
      <c r="E44" s="148"/>
      <c r="F44" s="149"/>
    </row>
    <row r="45" spans="1:6" s="143" customFormat="1" ht="18.75" hidden="1">
      <c r="A45" s="150" t="s">
        <v>136</v>
      </c>
      <c r="B45" s="151"/>
      <c r="C45" s="151"/>
      <c r="D45" s="151"/>
      <c r="E45" s="151"/>
      <c r="F45" s="165"/>
    </row>
    <row r="46" spans="1:6" s="143" customFormat="1" ht="18.75" customHeight="1" hidden="1">
      <c r="A46" s="154" t="s">
        <v>63</v>
      </c>
      <c r="B46" s="155" t="s">
        <v>137</v>
      </c>
      <c r="C46" s="156">
        <v>0</v>
      </c>
      <c r="D46" s="156">
        <v>0</v>
      </c>
      <c r="E46" s="156">
        <v>0</v>
      </c>
      <c r="F46" s="157">
        <v>0</v>
      </c>
    </row>
    <row r="47" spans="1:6" s="143" customFormat="1" ht="26.25" customHeight="1" thickBot="1">
      <c r="A47" s="920" t="s">
        <v>309</v>
      </c>
      <c r="B47" s="921"/>
      <c r="C47" s="166">
        <f>(C20+C32+C39+C43)</f>
        <v>86.9</v>
      </c>
      <c r="D47" s="166">
        <f>D20+D32+D39+D43</f>
        <v>47.89</v>
      </c>
      <c r="E47" s="166">
        <f>(E20+E32+E39+E43)</f>
        <v>116.32</v>
      </c>
      <c r="F47" s="167">
        <f>F20+F32+F39+F43</f>
        <v>71.26</v>
      </c>
    </row>
    <row r="48" spans="1:4" s="143" customFormat="1" ht="18.75" customHeight="1">
      <c r="A48" s="922" t="s">
        <v>506</v>
      </c>
      <c r="B48" s="922"/>
      <c r="C48" s="922"/>
      <c r="D48" s="922"/>
    </row>
    <row r="49" s="143" customFormat="1" ht="18.75"/>
    <row r="50" s="143" customFormat="1" ht="21" customHeight="1">
      <c r="A50" s="143" t="s">
        <v>138</v>
      </c>
    </row>
  </sheetData>
  <sheetProtection/>
  <mergeCells count="18">
    <mergeCell ref="A21:D21"/>
    <mergeCell ref="A33:D33"/>
    <mergeCell ref="A40:D40"/>
    <mergeCell ref="A44:D44"/>
    <mergeCell ref="A47:B47"/>
    <mergeCell ref="A48:D48"/>
    <mergeCell ref="A7:F7"/>
    <mergeCell ref="A8:A9"/>
    <mergeCell ref="B8:B9"/>
    <mergeCell ref="C8:D8"/>
    <mergeCell ref="E8:F8"/>
    <mergeCell ref="A10:D10"/>
    <mergeCell ref="A1:F1"/>
    <mergeCell ref="A2:F2"/>
    <mergeCell ref="A3:F3"/>
    <mergeCell ref="A4:F4"/>
    <mergeCell ref="A5:F5"/>
    <mergeCell ref="A6:F6"/>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58" r:id="rId2"/>
  <drawing r:id="rId1"/>
</worksheet>
</file>

<file path=xl/worksheets/sheet15.xml><?xml version="1.0" encoding="utf-8"?>
<worksheet xmlns="http://schemas.openxmlformats.org/spreadsheetml/2006/main" xmlns:r="http://schemas.openxmlformats.org/officeDocument/2006/relationships">
  <sheetPr>
    <tabColor theme="7" tint="0.39998000860214233"/>
    <pageSetUpPr fitToPage="1"/>
  </sheetPr>
  <dimension ref="A1:I50"/>
  <sheetViews>
    <sheetView view="pageBreakPreview" zoomScale="60" zoomScalePageLayoutView="0" workbookViewId="0" topLeftCell="A1">
      <selection activeCell="A7" sqref="A7:L7"/>
    </sheetView>
  </sheetViews>
  <sheetFormatPr defaultColWidth="9.140625" defaultRowHeight="12.75"/>
  <cols>
    <col min="1" max="1" width="21.57421875" style="139" customWidth="1"/>
    <col min="2" max="7" width="15.7109375" style="139" customWidth="1"/>
    <col min="8" max="8" width="26.140625" style="139" bestFit="1" customWidth="1"/>
    <col min="9" max="16384" width="9.140625" style="139" customWidth="1"/>
  </cols>
  <sheetData>
    <row r="1" spans="1:9" ht="13.5" customHeight="1">
      <c r="A1" s="933"/>
      <c r="B1" s="934"/>
      <c r="C1" s="934"/>
      <c r="D1" s="934"/>
      <c r="E1" s="934"/>
      <c r="F1" s="934"/>
      <c r="G1" s="934"/>
      <c r="H1" s="935"/>
      <c r="I1" s="168"/>
    </row>
    <row r="2" spans="1:9" ht="13.5" customHeight="1">
      <c r="A2" s="136"/>
      <c r="B2" s="169"/>
      <c r="C2" s="169"/>
      <c r="D2" s="169"/>
      <c r="E2" s="169"/>
      <c r="F2" s="169"/>
      <c r="G2" s="169"/>
      <c r="H2" s="137"/>
      <c r="I2" s="170"/>
    </row>
    <row r="3" spans="1:9" ht="13.5" customHeight="1">
      <c r="A3" s="936" t="s">
        <v>20</v>
      </c>
      <c r="B3" s="937"/>
      <c r="C3" s="937"/>
      <c r="D3" s="937"/>
      <c r="E3" s="937"/>
      <c r="F3" s="937"/>
      <c r="G3" s="937"/>
      <c r="H3" s="938"/>
      <c r="I3" s="171"/>
    </row>
    <row r="4" spans="1:9" ht="13.5" customHeight="1">
      <c r="A4" s="939" t="s">
        <v>310</v>
      </c>
      <c r="B4" s="940"/>
      <c r="C4" s="940"/>
      <c r="D4" s="940"/>
      <c r="E4" s="940"/>
      <c r="F4" s="940"/>
      <c r="G4" s="940"/>
      <c r="H4" s="941"/>
      <c r="I4" s="172"/>
    </row>
    <row r="5" spans="1:9" ht="13.5" customHeight="1">
      <c r="A5" s="939" t="s">
        <v>19</v>
      </c>
      <c r="B5" s="940"/>
      <c r="C5" s="940"/>
      <c r="D5" s="940"/>
      <c r="E5" s="940"/>
      <c r="F5" s="940"/>
      <c r="G5" s="940"/>
      <c r="H5" s="941"/>
      <c r="I5" s="173"/>
    </row>
    <row r="6" spans="1:9" s="1" customFormat="1" ht="13.5" customHeight="1" thickBot="1">
      <c r="A6" s="138"/>
      <c r="B6" s="942"/>
      <c r="C6" s="942"/>
      <c r="D6" s="942"/>
      <c r="E6" s="943"/>
      <c r="F6" s="943"/>
      <c r="G6" s="943"/>
      <c r="H6" s="944"/>
      <c r="I6" s="174"/>
    </row>
    <row r="7" spans="1:8" ht="34.5" customHeight="1" thickBot="1" thickTop="1">
      <c r="A7" s="923" t="s">
        <v>139</v>
      </c>
      <c r="B7" s="924"/>
      <c r="C7" s="924"/>
      <c r="D7" s="924"/>
      <c r="E7" s="924"/>
      <c r="F7" s="924"/>
      <c r="G7" s="924"/>
      <c r="H7" s="925"/>
    </row>
    <row r="8" spans="1:8" ht="66" customHeight="1" thickTop="1">
      <c r="A8" s="926" t="str">
        <f>'ORÇAMENTO GERAL'!C7</f>
        <v>EXECUÇÃO DOS SERVIÇOS DE DRENAGEM SUPERFICIAL E PROFUNDA NA RUA DO PORTO E RUA DO PORTO 2 - DISTRITO INDUSTRIAL - NO MUNICÍPIO DE ANANINDEUA - PA.</v>
      </c>
      <c r="B8" s="927"/>
      <c r="C8" s="927"/>
      <c r="D8" s="927"/>
      <c r="E8" s="927"/>
      <c r="F8" s="927"/>
      <c r="G8" s="927"/>
      <c r="H8" s="928"/>
    </row>
    <row r="9" spans="1:8" ht="57" thickBot="1">
      <c r="A9" s="176"/>
      <c r="B9" s="177"/>
      <c r="C9" s="177"/>
      <c r="D9" s="177"/>
      <c r="E9" s="177"/>
      <c r="F9" s="177"/>
      <c r="G9" s="178"/>
      <c r="H9" s="179" t="s">
        <v>273</v>
      </c>
    </row>
    <row r="10" spans="1:8" s="175" customFormat="1" ht="19.5" customHeight="1">
      <c r="A10" s="180"/>
      <c r="B10" s="181" t="s">
        <v>274</v>
      </c>
      <c r="C10" s="182"/>
      <c r="D10" s="182"/>
      <c r="E10" s="182"/>
      <c r="F10" s="182"/>
      <c r="G10" s="183"/>
      <c r="H10" s="184">
        <v>4.01</v>
      </c>
    </row>
    <row r="11" spans="1:8" s="175" customFormat="1" ht="19.5" customHeight="1">
      <c r="A11" s="185"/>
      <c r="B11" s="186" t="s">
        <v>275</v>
      </c>
      <c r="C11" s="187"/>
      <c r="D11" s="187"/>
      <c r="E11" s="187"/>
      <c r="F11" s="187"/>
      <c r="G11" s="188"/>
      <c r="H11" s="189">
        <v>1.11</v>
      </c>
    </row>
    <row r="12" spans="1:8" s="175" customFormat="1" ht="19.5" customHeight="1" thickBot="1">
      <c r="A12" s="190" t="s">
        <v>276</v>
      </c>
      <c r="B12" s="191"/>
      <c r="C12" s="191"/>
      <c r="D12" s="191"/>
      <c r="E12" s="191"/>
      <c r="F12" s="191"/>
      <c r="G12" s="192"/>
      <c r="H12" s="193">
        <f>H10+H11</f>
        <v>5.12</v>
      </c>
    </row>
    <row r="13" spans="1:8" s="175" customFormat="1" ht="19.5" customHeight="1">
      <c r="A13" s="194" t="s">
        <v>142</v>
      </c>
      <c r="B13" s="182"/>
      <c r="C13" s="182"/>
      <c r="D13" s="182"/>
      <c r="E13" s="182"/>
      <c r="F13" s="182"/>
      <c r="G13" s="183"/>
      <c r="H13" s="184"/>
    </row>
    <row r="14" spans="1:8" s="175" customFormat="1" ht="19.5" customHeight="1">
      <c r="A14" s="195" t="s">
        <v>277</v>
      </c>
      <c r="B14" s="196" t="s">
        <v>278</v>
      </c>
      <c r="C14" s="197"/>
      <c r="D14" s="197"/>
      <c r="E14" s="197"/>
      <c r="F14" s="197"/>
      <c r="G14" s="198"/>
      <c r="H14" s="189">
        <v>0.56</v>
      </c>
    </row>
    <row r="15" spans="1:8" s="175" customFormat="1" ht="19.5" customHeight="1">
      <c r="A15" s="195" t="s">
        <v>279</v>
      </c>
      <c r="B15" s="196" t="s">
        <v>280</v>
      </c>
      <c r="C15" s="197"/>
      <c r="D15" s="197"/>
      <c r="E15" s="197"/>
      <c r="F15" s="197"/>
      <c r="G15" s="198"/>
      <c r="H15" s="189">
        <v>0.4</v>
      </c>
    </row>
    <row r="16" spans="1:8" s="175" customFormat="1" ht="19.5" customHeight="1">
      <c r="A16" s="199" t="s">
        <v>276</v>
      </c>
      <c r="B16" s="200"/>
      <c r="C16" s="200"/>
      <c r="D16" s="200"/>
      <c r="E16" s="200"/>
      <c r="F16" s="200"/>
      <c r="G16" s="201"/>
      <c r="H16" s="202">
        <f>H14+H15</f>
        <v>0.96</v>
      </c>
    </row>
    <row r="17" spans="1:8" s="175" customFormat="1" ht="19.5" customHeight="1">
      <c r="A17" s="203" t="s">
        <v>140</v>
      </c>
      <c r="B17" s="197"/>
      <c r="C17" s="197"/>
      <c r="D17" s="197"/>
      <c r="E17" s="197"/>
      <c r="F17" s="197"/>
      <c r="G17" s="198"/>
      <c r="H17" s="204" t="s">
        <v>141</v>
      </c>
    </row>
    <row r="18" spans="1:8" s="175" customFormat="1" ht="19.5" customHeight="1">
      <c r="A18" s="205" t="s">
        <v>281</v>
      </c>
      <c r="B18" s="206" t="s">
        <v>143</v>
      </c>
      <c r="C18" s="200"/>
      <c r="D18" s="200"/>
      <c r="E18" s="200"/>
      <c r="F18" s="200"/>
      <c r="G18" s="201"/>
      <c r="H18" s="202">
        <f>H19+H20</f>
        <v>10.65</v>
      </c>
    </row>
    <row r="19" spans="1:8" s="175" customFormat="1" ht="19.5" customHeight="1">
      <c r="A19" s="185" t="s">
        <v>144</v>
      </c>
      <c r="B19" s="196" t="s">
        <v>145</v>
      </c>
      <c r="C19" s="197"/>
      <c r="D19" s="197"/>
      <c r="E19" s="197"/>
      <c r="F19" s="197"/>
      <c r="G19" s="198"/>
      <c r="H19" s="189">
        <f>H25</f>
        <v>8.15</v>
      </c>
    </row>
    <row r="20" spans="1:8" s="175" customFormat="1" ht="19.5" customHeight="1">
      <c r="A20" s="185" t="s">
        <v>146</v>
      </c>
      <c r="B20" s="196" t="s">
        <v>147</v>
      </c>
      <c r="C20" s="197"/>
      <c r="D20" s="197"/>
      <c r="E20" s="197"/>
      <c r="F20" s="197"/>
      <c r="G20" s="198"/>
      <c r="H20" s="189">
        <v>2.5</v>
      </c>
    </row>
    <row r="21" spans="1:8" s="175" customFormat="1" ht="19.5" customHeight="1">
      <c r="A21" s="207" t="s">
        <v>187</v>
      </c>
      <c r="B21" s="206" t="s">
        <v>282</v>
      </c>
      <c r="C21" s="200"/>
      <c r="D21" s="200"/>
      <c r="E21" s="200"/>
      <c r="F21" s="200"/>
      <c r="G21" s="201"/>
      <c r="H21" s="202">
        <v>7.3</v>
      </c>
    </row>
    <row r="22" spans="1:8" s="175" customFormat="1" ht="19.5" customHeight="1">
      <c r="A22" s="208"/>
      <c r="B22" s="209"/>
      <c r="C22" s="209"/>
      <c r="D22" s="209"/>
      <c r="E22" s="209"/>
      <c r="F22" s="209"/>
      <c r="G22" s="209"/>
      <c r="H22" s="210"/>
    </row>
    <row r="23" spans="1:8" s="175" customFormat="1" ht="19.5" customHeight="1">
      <c r="A23" s="211"/>
      <c r="B23" s="60"/>
      <c r="C23" s="60"/>
      <c r="D23" s="60"/>
      <c r="E23" s="60"/>
      <c r="F23" s="60"/>
      <c r="G23" s="60"/>
      <c r="H23" s="212"/>
    </row>
    <row r="24" spans="1:8" s="175" customFormat="1" ht="19.5" customHeight="1" thickBot="1">
      <c r="A24" s="213" t="s">
        <v>283</v>
      </c>
      <c r="B24" s="214"/>
      <c r="C24" s="214"/>
      <c r="D24" s="214"/>
      <c r="E24" s="214"/>
      <c r="F24" s="214"/>
      <c r="G24" s="214"/>
      <c r="H24" s="215"/>
    </row>
    <row r="25" spans="1:8" s="175" customFormat="1" ht="19.5" customHeight="1">
      <c r="A25" s="180" t="s">
        <v>144</v>
      </c>
      <c r="B25" s="181" t="s">
        <v>145</v>
      </c>
      <c r="C25" s="182"/>
      <c r="D25" s="182"/>
      <c r="E25" s="182"/>
      <c r="F25" s="182"/>
      <c r="G25" s="183"/>
      <c r="H25" s="216">
        <f>H26+H27+H28</f>
        <v>8.15</v>
      </c>
    </row>
    <row r="26" spans="1:8" s="175" customFormat="1" ht="19.5" customHeight="1">
      <c r="A26" s="185" t="s">
        <v>148</v>
      </c>
      <c r="B26" s="196" t="s">
        <v>149</v>
      </c>
      <c r="C26" s="197"/>
      <c r="D26" s="197"/>
      <c r="E26" s="197"/>
      <c r="F26" s="197"/>
      <c r="G26" s="198"/>
      <c r="H26" s="217">
        <v>0.65</v>
      </c>
    </row>
    <row r="27" spans="1:8" s="175" customFormat="1" ht="19.5" customHeight="1">
      <c r="A27" s="185" t="s">
        <v>150</v>
      </c>
      <c r="B27" s="196" t="s">
        <v>151</v>
      </c>
      <c r="C27" s="197"/>
      <c r="D27" s="197"/>
      <c r="E27" s="197"/>
      <c r="F27" s="197"/>
      <c r="G27" s="198"/>
      <c r="H27" s="217">
        <v>3</v>
      </c>
    </row>
    <row r="28" spans="1:8" s="175" customFormat="1" ht="19.5" customHeight="1" thickBot="1">
      <c r="A28" s="218" t="s">
        <v>284</v>
      </c>
      <c r="B28" s="219" t="s">
        <v>285</v>
      </c>
      <c r="C28" s="220"/>
      <c r="D28" s="220"/>
      <c r="E28" s="220"/>
      <c r="F28" s="220"/>
      <c r="G28" s="221"/>
      <c r="H28" s="222">
        <v>4.5</v>
      </c>
    </row>
    <row r="29" spans="1:8" s="175" customFormat="1" ht="19.5" customHeight="1" thickBot="1">
      <c r="A29" s="223" t="s">
        <v>286</v>
      </c>
      <c r="B29" s="224"/>
      <c r="C29" s="224"/>
      <c r="D29" s="224"/>
      <c r="E29" s="224"/>
      <c r="F29" s="224"/>
      <c r="G29" s="224"/>
      <c r="H29" s="225"/>
    </row>
    <row r="30" spans="1:8" s="175" customFormat="1" ht="19.5" customHeight="1">
      <c r="A30" s="180" t="s">
        <v>146</v>
      </c>
      <c r="B30" s="181" t="s">
        <v>152</v>
      </c>
      <c r="C30" s="182"/>
      <c r="D30" s="182"/>
      <c r="E30" s="182"/>
      <c r="F30" s="182"/>
      <c r="G30" s="183"/>
      <c r="H30" s="216">
        <f>H31</f>
        <v>2.5</v>
      </c>
    </row>
    <row r="31" spans="1:8" s="175" customFormat="1" ht="19.5" customHeight="1" thickBot="1">
      <c r="A31" s="226" t="s">
        <v>153</v>
      </c>
      <c r="B31" s="219" t="s">
        <v>149</v>
      </c>
      <c r="C31" s="220"/>
      <c r="D31" s="220"/>
      <c r="E31" s="220"/>
      <c r="F31" s="220"/>
      <c r="G31" s="221"/>
      <c r="H31" s="227">
        <v>2.5</v>
      </c>
    </row>
    <row r="32" spans="1:8" ht="18.75">
      <c r="A32" s="228"/>
      <c r="B32" s="229"/>
      <c r="C32" s="229"/>
      <c r="D32" s="229"/>
      <c r="E32" s="229"/>
      <c r="F32" s="229"/>
      <c r="G32" s="229"/>
      <c r="H32" s="230"/>
    </row>
    <row r="33" spans="1:8" ht="18.75">
      <c r="A33" s="228"/>
      <c r="B33" s="229"/>
      <c r="C33" s="229"/>
      <c r="D33" s="229"/>
      <c r="E33" s="229"/>
      <c r="F33" s="229"/>
      <c r="G33" s="229"/>
      <c r="H33" s="230"/>
    </row>
    <row r="34" spans="1:8" ht="19.5" customHeight="1">
      <c r="A34" s="231" t="s">
        <v>287</v>
      </c>
      <c r="B34" s="232"/>
      <c r="C34" s="232"/>
      <c r="D34" s="232"/>
      <c r="E34" s="232"/>
      <c r="F34" s="232"/>
      <c r="G34" s="232"/>
      <c r="H34" s="233"/>
    </row>
    <row r="35" spans="1:8" ht="19.5" customHeight="1">
      <c r="A35" s="228" t="s">
        <v>288</v>
      </c>
      <c r="B35" s="229"/>
      <c r="C35" s="234">
        <f>H10/100</f>
        <v>0.0401</v>
      </c>
      <c r="D35" s="229"/>
      <c r="E35" s="229"/>
      <c r="F35" s="229" t="s">
        <v>288</v>
      </c>
      <c r="G35" s="229"/>
      <c r="H35" s="235">
        <f>C35</f>
        <v>0.0401</v>
      </c>
    </row>
    <row r="36" spans="1:8" ht="19.5" customHeight="1">
      <c r="A36" s="228" t="s">
        <v>289</v>
      </c>
      <c r="B36" s="229"/>
      <c r="C36" s="234">
        <f>H15/100</f>
        <v>0.004</v>
      </c>
      <c r="D36" s="229"/>
      <c r="E36" s="229"/>
      <c r="F36" s="229" t="s">
        <v>289</v>
      </c>
      <c r="G36" s="229"/>
      <c r="H36" s="235">
        <f>C36</f>
        <v>0.004</v>
      </c>
    </row>
    <row r="37" spans="1:8" ht="19.5" customHeight="1">
      <c r="A37" s="228" t="s">
        <v>290</v>
      </c>
      <c r="B37" s="229"/>
      <c r="C37" s="234">
        <f>H14/100</f>
        <v>0.0056</v>
      </c>
      <c r="D37" s="229"/>
      <c r="E37" s="229"/>
      <c r="F37" s="229" t="s">
        <v>290</v>
      </c>
      <c r="G37" s="229"/>
      <c r="H37" s="235">
        <f>C37</f>
        <v>0.0056</v>
      </c>
    </row>
    <row r="38" spans="1:8" ht="19.5" customHeight="1">
      <c r="A38" s="228" t="s">
        <v>291</v>
      </c>
      <c r="B38" s="229"/>
      <c r="C38" s="236">
        <f>1+C35+C36+C37</f>
        <v>1.0497</v>
      </c>
      <c r="D38" s="229"/>
      <c r="E38" s="229"/>
      <c r="F38" s="229" t="s">
        <v>291</v>
      </c>
      <c r="G38" s="229"/>
      <c r="H38" s="237">
        <f>1+H35+H36+H37</f>
        <v>1.0497</v>
      </c>
    </row>
    <row r="39" spans="1:8" ht="19.5" customHeight="1">
      <c r="A39" s="228" t="s">
        <v>292</v>
      </c>
      <c r="B39" s="229"/>
      <c r="C39" s="234">
        <f>H11/100</f>
        <v>0.0111</v>
      </c>
      <c r="D39" s="229"/>
      <c r="E39" s="229"/>
      <c r="F39" s="229" t="s">
        <v>292</v>
      </c>
      <c r="G39" s="229"/>
      <c r="H39" s="235">
        <f>C39</f>
        <v>0.0111</v>
      </c>
    </row>
    <row r="40" spans="1:8" ht="19.5" customHeight="1">
      <c r="A40" s="228" t="s">
        <v>293</v>
      </c>
      <c r="B40" s="229"/>
      <c r="C40" s="236">
        <f>1+C39</f>
        <v>1.0111</v>
      </c>
      <c r="D40" s="229"/>
      <c r="E40" s="229"/>
      <c r="F40" s="229" t="s">
        <v>293</v>
      </c>
      <c r="G40" s="229"/>
      <c r="H40" s="237">
        <f>1+H39</f>
        <v>1.0111</v>
      </c>
    </row>
    <row r="41" spans="1:8" ht="19.5" customHeight="1">
      <c r="A41" s="228" t="s">
        <v>243</v>
      </c>
      <c r="B41" s="229"/>
      <c r="C41" s="234">
        <f>H21/100</f>
        <v>0.073</v>
      </c>
      <c r="D41" s="229"/>
      <c r="E41" s="229"/>
      <c r="F41" s="229" t="s">
        <v>243</v>
      </c>
      <c r="G41" s="229"/>
      <c r="H41" s="235">
        <f>C41</f>
        <v>0.073</v>
      </c>
    </row>
    <row r="42" spans="1:8" ht="19.5" customHeight="1">
      <c r="A42" s="228" t="s">
        <v>294</v>
      </c>
      <c r="B42" s="229"/>
      <c r="C42" s="236">
        <f>1+C41</f>
        <v>1.073</v>
      </c>
      <c r="D42" s="229"/>
      <c r="E42" s="229"/>
      <c r="F42" s="229" t="s">
        <v>294</v>
      </c>
      <c r="G42" s="229"/>
      <c r="H42" s="237">
        <f>1+H41</f>
        <v>1.073</v>
      </c>
    </row>
    <row r="43" spans="1:8" ht="19.5" customHeight="1">
      <c r="A43" s="228"/>
      <c r="B43" s="229"/>
      <c r="C43" s="229"/>
      <c r="D43" s="229"/>
      <c r="E43" s="229"/>
      <c r="F43" s="229"/>
      <c r="G43" s="229"/>
      <c r="H43" s="230"/>
    </row>
    <row r="44" spans="1:8" ht="19.5" customHeight="1">
      <c r="A44" s="228" t="s">
        <v>295</v>
      </c>
      <c r="B44" s="229"/>
      <c r="C44" s="234">
        <f>H18/100</f>
        <v>0.1065</v>
      </c>
      <c r="D44" s="229"/>
      <c r="E44" s="229"/>
      <c r="F44" s="229" t="s">
        <v>295</v>
      </c>
      <c r="G44" s="229"/>
      <c r="H44" s="235">
        <f>C44-(H28/100)</f>
        <v>0.0615</v>
      </c>
    </row>
    <row r="45" spans="1:8" ht="19.5" customHeight="1">
      <c r="A45" s="228" t="s">
        <v>296</v>
      </c>
      <c r="B45" s="229"/>
      <c r="C45" s="236">
        <f>1-C44</f>
        <v>0.8935</v>
      </c>
      <c r="D45" s="229"/>
      <c r="E45" s="229"/>
      <c r="F45" s="229" t="s">
        <v>296</v>
      </c>
      <c r="G45" s="229"/>
      <c r="H45" s="237">
        <f>1-H44</f>
        <v>0.9385</v>
      </c>
    </row>
    <row r="46" spans="1:8" ht="18.75">
      <c r="A46" s="228"/>
      <c r="B46" s="229"/>
      <c r="C46" s="229"/>
      <c r="D46" s="229"/>
      <c r="E46" s="229"/>
      <c r="F46" s="229"/>
      <c r="G46" s="229"/>
      <c r="H46" s="230"/>
    </row>
    <row r="47" spans="1:8" s="175" customFormat="1" ht="21.75" customHeight="1">
      <c r="A47" s="238" t="s">
        <v>297</v>
      </c>
      <c r="B47" s="239"/>
      <c r="C47" s="240">
        <f>(C38*C40*C42)/C45-1</f>
        <v>0.2746</v>
      </c>
      <c r="D47" s="60"/>
      <c r="E47" s="60"/>
      <c r="F47" s="241" t="s">
        <v>298</v>
      </c>
      <c r="G47" s="242"/>
      <c r="H47" s="243">
        <f>(H38*H40*H42)/H45-1</f>
        <v>0.2135</v>
      </c>
    </row>
    <row r="48" spans="1:8" s="175" customFormat="1" ht="21.75" customHeight="1">
      <c r="A48" s="211"/>
      <c r="B48" s="60"/>
      <c r="C48" s="60"/>
      <c r="D48" s="60"/>
      <c r="E48" s="60"/>
      <c r="F48" s="60"/>
      <c r="G48" s="60"/>
      <c r="H48" s="244" t="s">
        <v>299</v>
      </c>
    </row>
    <row r="49" spans="1:8" ht="15" customHeight="1">
      <c r="A49" s="228"/>
      <c r="B49" s="229"/>
      <c r="C49" s="229"/>
      <c r="D49" s="229"/>
      <c r="E49" s="229"/>
      <c r="F49" s="929" t="s">
        <v>300</v>
      </c>
      <c r="G49" s="929"/>
      <c r="H49" s="930"/>
    </row>
    <row r="50" spans="1:8" ht="19.5" thickBot="1">
      <c r="A50" s="245"/>
      <c r="B50" s="246"/>
      <c r="C50" s="246"/>
      <c r="D50" s="246"/>
      <c r="E50" s="246"/>
      <c r="F50" s="931"/>
      <c r="G50" s="931"/>
      <c r="H50" s="932"/>
    </row>
  </sheetData>
  <sheetProtection/>
  <mergeCells count="9">
    <mergeCell ref="A7:H7"/>
    <mergeCell ref="A8:H8"/>
    <mergeCell ref="F49:H50"/>
    <mergeCell ref="A1:H1"/>
    <mergeCell ref="A3:H3"/>
    <mergeCell ref="A4:H4"/>
    <mergeCell ref="A5:H5"/>
    <mergeCell ref="B6:D6"/>
    <mergeCell ref="E6:H6"/>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6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H28"/>
  <sheetViews>
    <sheetView view="pageBreakPreview" zoomScale="85" zoomScaleSheetLayoutView="85" zoomScalePageLayoutView="0" workbookViewId="0" topLeftCell="A1">
      <selection activeCell="L18" sqref="L18"/>
    </sheetView>
  </sheetViews>
  <sheetFormatPr defaultColWidth="9.140625" defaultRowHeight="12.75"/>
  <cols>
    <col min="1" max="1" width="9.140625" style="2" customWidth="1"/>
    <col min="2" max="2" width="9.28125" style="2" bestFit="1" customWidth="1"/>
    <col min="3" max="3" width="51.8515625" style="2" customWidth="1"/>
    <col min="4" max="4" width="9.140625" style="2" customWidth="1"/>
    <col min="5" max="5" width="16.28125" style="2" customWidth="1"/>
    <col min="6" max="6" width="11.421875" style="2" bestFit="1" customWidth="1"/>
    <col min="7" max="7" width="9.140625" style="2" customWidth="1"/>
    <col min="8" max="8" width="11.57421875" style="2" bestFit="1" customWidth="1"/>
    <col min="9" max="16384" width="9.140625" style="2" customWidth="1"/>
  </cols>
  <sheetData>
    <row r="1" spans="1:8" s="61" customFormat="1" ht="15" customHeight="1">
      <c r="A1" s="260"/>
      <c r="B1" s="777"/>
      <c r="C1" s="777"/>
      <c r="D1" s="777"/>
      <c r="E1" s="777"/>
      <c r="F1" s="777"/>
      <c r="G1" s="777"/>
      <c r="H1" s="778"/>
    </row>
    <row r="2" spans="1:8" s="61" customFormat="1" ht="15" customHeight="1">
      <c r="A2" s="779" t="s">
        <v>20</v>
      </c>
      <c r="B2" s="780"/>
      <c r="C2" s="780"/>
      <c r="D2" s="780"/>
      <c r="E2" s="780"/>
      <c r="F2" s="780"/>
      <c r="G2" s="780"/>
      <c r="H2" s="781"/>
    </row>
    <row r="3" spans="1:8" s="61" customFormat="1" ht="15" customHeight="1">
      <c r="A3" s="782" t="s">
        <v>199</v>
      </c>
      <c r="B3" s="783"/>
      <c r="C3" s="783"/>
      <c r="D3" s="783"/>
      <c r="E3" s="783"/>
      <c r="F3" s="783"/>
      <c r="G3" s="783"/>
      <c r="H3" s="784"/>
    </row>
    <row r="4" spans="1:8" s="61" customFormat="1" ht="15" customHeight="1">
      <c r="A4" s="782" t="s">
        <v>19</v>
      </c>
      <c r="B4" s="783"/>
      <c r="C4" s="783"/>
      <c r="D4" s="783"/>
      <c r="E4" s="783"/>
      <c r="F4" s="783"/>
      <c r="G4" s="783"/>
      <c r="H4" s="784"/>
    </row>
    <row r="5" spans="1:8" s="61" customFormat="1" ht="15" customHeight="1" thickBot="1">
      <c r="A5" s="261"/>
      <c r="B5" s="874"/>
      <c r="C5" s="874"/>
      <c r="D5" s="874"/>
      <c r="E5" s="874"/>
      <c r="F5" s="874"/>
      <c r="G5" s="874"/>
      <c r="H5" s="875"/>
    </row>
    <row r="6" spans="1:8" s="62" customFormat="1" ht="24.75" customHeight="1" thickBot="1" thickTop="1">
      <c r="A6" s="400" t="s">
        <v>315</v>
      </c>
      <c r="B6" s="401" t="s">
        <v>449</v>
      </c>
      <c r="C6" s="802" t="str">
        <f>PROPER(" POçO DE VISITA PARA DRENAGEM PLUVIAL, EM CONCRETO ESTRUTURAL, DIMENSOES INTERNAS DE 90X150X80CM (LARGXCOMPXALT), PARA REDE DE 600 MM, EXCLUSOS TAMPAO E CHAMINE")</f>
        <v> Poço De Visita Para Drenagem Pluvial, Em Concreto Estrutural, Dimensoes Internas De 90X150X80Cm (Largxcompxalt), Para Rede De 600 Mm, Exclusos Tampao E Chamine</v>
      </c>
      <c r="D6" s="802"/>
      <c r="E6" s="802"/>
      <c r="F6" s="802"/>
      <c r="G6" s="876" t="s">
        <v>341</v>
      </c>
      <c r="H6" s="877"/>
    </row>
    <row r="7" spans="1:8" s="62" customFormat="1" ht="40.5" customHeight="1" thickTop="1">
      <c r="A7" s="868" t="str">
        <f>'ORÇAMENTO GERAL'!C7</f>
        <v>EXECUÇÃO DOS SERVIÇOS DE DRENAGEM SUPERFICIAL E PROFUNDA NA RUA DO PORTO E RUA DO PORTO 2 - DISTRITO INDUSTRIAL - NO MUNICÍPIO DE ANANINDEUA - PA.</v>
      </c>
      <c r="B7" s="869"/>
      <c r="C7" s="869"/>
      <c r="D7" s="869"/>
      <c r="E7" s="869"/>
      <c r="F7" s="869"/>
      <c r="G7" s="869"/>
      <c r="H7" s="870"/>
    </row>
    <row r="8" spans="1:8" s="62" customFormat="1" ht="19.5" customHeight="1">
      <c r="A8" s="871" t="s">
        <v>200</v>
      </c>
      <c r="B8" s="872"/>
      <c r="C8" s="872"/>
      <c r="D8" s="872"/>
      <c r="E8" s="872"/>
      <c r="F8" s="872"/>
      <c r="G8" s="872"/>
      <c r="H8" s="873"/>
    </row>
    <row r="9" spans="1:8" s="62" customFormat="1" ht="19.5" customHeight="1">
      <c r="A9" s="247" t="s">
        <v>37</v>
      </c>
      <c r="B9" s="248" t="s">
        <v>314</v>
      </c>
      <c r="C9" s="249" t="s">
        <v>38</v>
      </c>
      <c r="D9" s="248" t="s">
        <v>39</v>
      </c>
      <c r="E9" s="249" t="s">
        <v>163</v>
      </c>
      <c r="F9" s="250" t="s">
        <v>40</v>
      </c>
      <c r="G9" s="858" t="s">
        <v>41</v>
      </c>
      <c r="H9" s="859"/>
    </row>
    <row r="10" spans="1:8" s="62" customFormat="1" ht="19.5" customHeight="1">
      <c r="A10" s="262">
        <v>1</v>
      </c>
      <c r="B10" s="251">
        <v>88309</v>
      </c>
      <c r="C10" s="113" t="s">
        <v>331</v>
      </c>
      <c r="D10" s="66" t="s">
        <v>254</v>
      </c>
      <c r="E10" s="140">
        <v>0.2128</v>
      </c>
      <c r="F10" s="67">
        <v>21.31</v>
      </c>
      <c r="G10" s="68"/>
      <c r="H10" s="69">
        <f>ROUND(E10*F10,2)</f>
        <v>4.53</v>
      </c>
    </row>
    <row r="11" spans="1:8" s="62" customFormat="1" ht="19.5" customHeight="1" thickBot="1">
      <c r="A11" s="262">
        <v>2</v>
      </c>
      <c r="B11" s="251">
        <v>88316</v>
      </c>
      <c r="C11" s="113" t="s">
        <v>204</v>
      </c>
      <c r="D11" s="66" t="s">
        <v>254</v>
      </c>
      <c r="E11" s="140">
        <v>0.4255</v>
      </c>
      <c r="F11" s="67">
        <v>17.09</v>
      </c>
      <c r="G11" s="68"/>
      <c r="H11" s="69">
        <f>ROUND(E11*F11,2)</f>
        <v>7.27</v>
      </c>
    </row>
    <row r="12" spans="1:8" s="62" customFormat="1" ht="19.5" customHeight="1" thickBot="1">
      <c r="A12" s="263"/>
      <c r="B12" s="71"/>
      <c r="C12" s="68"/>
      <c r="D12" s="71"/>
      <c r="E12" s="72" t="s">
        <v>205</v>
      </c>
      <c r="F12" s="73"/>
      <c r="G12" s="74"/>
      <c r="H12" s="75">
        <f>SUM(H10:H11)</f>
        <v>11.8</v>
      </c>
    </row>
    <row r="13" spans="1:8" s="62" customFormat="1" ht="19.5" customHeight="1">
      <c r="A13" s="860" t="s">
        <v>206</v>
      </c>
      <c r="B13" s="861"/>
      <c r="C13" s="861"/>
      <c r="D13" s="861"/>
      <c r="E13" s="861"/>
      <c r="F13" s="861"/>
      <c r="G13" s="861"/>
      <c r="H13" s="862"/>
    </row>
    <row r="14" spans="1:8" s="62" customFormat="1" ht="19.5" customHeight="1">
      <c r="A14" s="247" t="s">
        <v>37</v>
      </c>
      <c r="B14" s="248" t="s">
        <v>314</v>
      </c>
      <c r="C14" s="249" t="s">
        <v>38</v>
      </c>
      <c r="D14" s="248" t="s">
        <v>39</v>
      </c>
      <c r="E14" s="249" t="s">
        <v>163</v>
      </c>
      <c r="F14" s="250" t="s">
        <v>40</v>
      </c>
      <c r="G14" s="863" t="s">
        <v>41</v>
      </c>
      <c r="H14" s="864"/>
    </row>
    <row r="15" spans="1:8" s="62" customFormat="1" ht="19.5" customHeight="1">
      <c r="A15" s="262">
        <v>1</v>
      </c>
      <c r="B15" s="252">
        <v>87313</v>
      </c>
      <c r="C15" s="141" t="s">
        <v>334</v>
      </c>
      <c r="D15" s="84" t="s">
        <v>212</v>
      </c>
      <c r="E15" s="116">
        <v>0.02</v>
      </c>
      <c r="F15" s="117">
        <v>527.24</v>
      </c>
      <c r="G15" s="83"/>
      <c r="H15" s="69">
        <f>ROUND(E15*F15,2)</f>
        <v>10.54</v>
      </c>
    </row>
    <row r="16" spans="1:8" s="62" customFormat="1" ht="19.5" customHeight="1">
      <c r="A16" s="262">
        <v>2</v>
      </c>
      <c r="B16" s="252">
        <v>94969</v>
      </c>
      <c r="C16" s="141" t="s">
        <v>339</v>
      </c>
      <c r="D16" s="84" t="s">
        <v>212</v>
      </c>
      <c r="E16" s="116">
        <v>1.62</v>
      </c>
      <c r="F16" s="117">
        <v>424.22</v>
      </c>
      <c r="G16" s="83"/>
      <c r="H16" s="69">
        <f>ROUND(E16*F16,2)</f>
        <v>687.24</v>
      </c>
    </row>
    <row r="17" spans="1:8" s="62" customFormat="1" ht="19.5" customHeight="1" thickBot="1">
      <c r="A17" s="262">
        <v>3</v>
      </c>
      <c r="B17" s="252">
        <v>101616</v>
      </c>
      <c r="C17" s="141" t="s">
        <v>340</v>
      </c>
      <c r="D17" s="84" t="s">
        <v>336</v>
      </c>
      <c r="E17" s="116">
        <v>2.28</v>
      </c>
      <c r="F17" s="117">
        <v>4.95</v>
      </c>
      <c r="G17" s="83"/>
      <c r="H17" s="69">
        <f>ROUND(E17*F17,2)</f>
        <v>11.29</v>
      </c>
    </row>
    <row r="18" spans="1:8" s="62" customFormat="1" ht="19.5" customHeight="1" thickBot="1">
      <c r="A18" s="263"/>
      <c r="B18" s="71" t="s">
        <v>209</v>
      </c>
      <c r="C18" s="68"/>
      <c r="D18" s="71"/>
      <c r="E18" s="72" t="s">
        <v>210</v>
      </c>
      <c r="F18" s="85"/>
      <c r="G18" s="86"/>
      <c r="H18" s="75">
        <f>SUM(H15:H17)</f>
        <v>709.07</v>
      </c>
    </row>
    <row r="19" spans="1:8" s="62" customFormat="1" ht="19.5" customHeight="1">
      <c r="A19" s="865" t="s">
        <v>211</v>
      </c>
      <c r="B19" s="866"/>
      <c r="C19" s="866"/>
      <c r="D19" s="866"/>
      <c r="E19" s="866"/>
      <c r="F19" s="866"/>
      <c r="G19" s="866"/>
      <c r="H19" s="867"/>
    </row>
    <row r="20" spans="1:8" s="62" customFormat="1" ht="19.5" customHeight="1">
      <c r="A20" s="247" t="s">
        <v>37</v>
      </c>
      <c r="B20" s="248" t="s">
        <v>314</v>
      </c>
      <c r="C20" s="249" t="s">
        <v>38</v>
      </c>
      <c r="D20" s="248" t="s">
        <v>39</v>
      </c>
      <c r="E20" s="249" t="s">
        <v>163</v>
      </c>
      <c r="F20" s="250" t="s">
        <v>40</v>
      </c>
      <c r="G20" s="863" t="s">
        <v>41</v>
      </c>
      <c r="H20" s="864"/>
    </row>
    <row r="21" spans="1:8" s="62" customFormat="1" ht="19.5" customHeight="1">
      <c r="A21" s="262">
        <v>1</v>
      </c>
      <c r="B21" s="252">
        <v>5875</v>
      </c>
      <c r="C21" s="118" t="s">
        <v>332</v>
      </c>
      <c r="D21" s="84" t="s">
        <v>186</v>
      </c>
      <c r="E21" s="142">
        <v>0.1702</v>
      </c>
      <c r="F21" s="117">
        <v>106.6</v>
      </c>
      <c r="G21" s="83"/>
      <c r="H21" s="69">
        <f>ROUND(E21*F21,2)</f>
        <v>18.14</v>
      </c>
    </row>
    <row r="22" spans="1:8" s="62" customFormat="1" ht="19.5" customHeight="1">
      <c r="A22" s="262">
        <v>2</v>
      </c>
      <c r="B22" s="252">
        <v>5877</v>
      </c>
      <c r="C22" s="118" t="s">
        <v>333</v>
      </c>
      <c r="D22" s="84" t="s">
        <v>188</v>
      </c>
      <c r="E22" s="142">
        <v>0.0426</v>
      </c>
      <c r="F22" s="117">
        <v>42.95</v>
      </c>
      <c r="G22" s="83"/>
      <c r="H22" s="69">
        <f>ROUND(E22*F22,2)</f>
        <v>1.83</v>
      </c>
    </row>
    <row r="23" spans="1:8" s="62" customFormat="1" ht="19.5" customHeight="1">
      <c r="A23" s="262">
        <v>3</v>
      </c>
      <c r="B23" s="252">
        <v>92419</v>
      </c>
      <c r="C23" s="118" t="s">
        <v>335</v>
      </c>
      <c r="D23" s="84" t="s">
        <v>336</v>
      </c>
      <c r="E23" s="142">
        <v>12.68</v>
      </c>
      <c r="F23" s="117">
        <v>72.41</v>
      </c>
      <c r="G23" s="83"/>
      <c r="H23" s="69">
        <f>ROUND(E23*F23,2)</f>
        <v>918.16</v>
      </c>
    </row>
    <row r="24" spans="1:8" s="62" customFormat="1" ht="19.5" customHeight="1" thickBot="1">
      <c r="A24" s="262">
        <v>4</v>
      </c>
      <c r="B24" s="252">
        <v>92915</v>
      </c>
      <c r="C24" s="118" t="s">
        <v>337</v>
      </c>
      <c r="D24" s="84" t="s">
        <v>338</v>
      </c>
      <c r="E24" s="142">
        <v>16.4</v>
      </c>
      <c r="F24" s="117">
        <v>16.48</v>
      </c>
      <c r="G24" s="83"/>
      <c r="H24" s="69">
        <f>ROUND(E24*F24,2)</f>
        <v>270.27</v>
      </c>
    </row>
    <row r="25" spans="1:8" s="62" customFormat="1" ht="19.5" customHeight="1" thickBot="1">
      <c r="A25" s="263"/>
      <c r="B25" s="68" t="s">
        <v>209</v>
      </c>
      <c r="C25" s="68"/>
      <c r="D25" s="71"/>
      <c r="E25" s="72" t="s">
        <v>213</v>
      </c>
      <c r="F25" s="85"/>
      <c r="G25" s="86"/>
      <c r="H25" s="75">
        <f>SUM(H21:H24)</f>
        <v>1208.4</v>
      </c>
    </row>
    <row r="26" spans="1:8" s="62" customFormat="1" ht="19.5" customHeight="1">
      <c r="A26" s="263"/>
      <c r="B26" s="752" t="s">
        <v>214</v>
      </c>
      <c r="C26" s="752"/>
      <c r="D26" s="752"/>
      <c r="E26" s="752"/>
      <c r="F26" s="752"/>
      <c r="G26" s="753"/>
      <c r="H26" s="88">
        <f>SUM(H12+H18+H25)</f>
        <v>1929.27</v>
      </c>
    </row>
    <row r="27" spans="1:8" s="62" customFormat="1" ht="19.5" customHeight="1" thickBot="1">
      <c r="A27" s="264"/>
      <c r="B27" s="848" t="s">
        <v>215</v>
      </c>
      <c r="C27" s="848"/>
      <c r="D27" s="848"/>
      <c r="E27" s="848"/>
      <c r="F27" s="848"/>
      <c r="G27" s="253">
        <v>0.2746</v>
      </c>
      <c r="H27" s="254">
        <f>H26*G27</f>
        <v>529.78</v>
      </c>
    </row>
    <row r="28" spans="1:8" s="62" customFormat="1" ht="19.5" customHeight="1" thickBot="1">
      <c r="A28" s="403"/>
      <c r="B28" s="256" t="s">
        <v>216</v>
      </c>
      <c r="C28" s="256"/>
      <c r="D28" s="257"/>
      <c r="E28" s="256"/>
      <c r="F28" s="256"/>
      <c r="G28" s="258"/>
      <c r="H28" s="259">
        <f>SUM(H26:H27)</f>
        <v>2459.05</v>
      </c>
    </row>
  </sheetData>
  <sheetProtection/>
  <mergeCells count="16">
    <mergeCell ref="G20:H20"/>
    <mergeCell ref="B26:G26"/>
    <mergeCell ref="B27:F27"/>
    <mergeCell ref="A7:H7"/>
    <mergeCell ref="A8:H8"/>
    <mergeCell ref="G9:H9"/>
    <mergeCell ref="A13:H13"/>
    <mergeCell ref="G14:H14"/>
    <mergeCell ref="A19:H19"/>
    <mergeCell ref="B1:H1"/>
    <mergeCell ref="A2:H2"/>
    <mergeCell ref="A3:H3"/>
    <mergeCell ref="A4:H4"/>
    <mergeCell ref="B5:H5"/>
    <mergeCell ref="C6:F6"/>
    <mergeCell ref="G6:H6"/>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73" r:id="rId4"/>
  <drawing r:id="rId3"/>
  <legacyDrawing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P141"/>
  <sheetViews>
    <sheetView tabSelected="1" view="pageBreakPreview" zoomScale="55" zoomScaleNormal="60" zoomScaleSheetLayoutView="55" zoomScalePageLayoutView="0" workbookViewId="0" topLeftCell="C1">
      <selection activeCell="F23" sqref="F23"/>
    </sheetView>
  </sheetViews>
  <sheetFormatPr defaultColWidth="9.140625" defaultRowHeight="12.75"/>
  <cols>
    <col min="1" max="2" width="4.421875" style="482" hidden="1" customWidth="1"/>
    <col min="3" max="4" width="16.7109375" style="482" customWidth="1"/>
    <col min="5" max="5" width="22.7109375" style="482" customWidth="1"/>
    <col min="6" max="6" width="100.7109375" style="482" customWidth="1"/>
    <col min="7" max="7" width="18.00390625" style="482" bestFit="1" customWidth="1"/>
    <col min="8" max="8" width="16.7109375" style="482" customWidth="1"/>
    <col min="9" max="9" width="21.140625" style="482" bestFit="1" customWidth="1"/>
    <col min="10" max="10" width="23.00390625" style="482" bestFit="1" customWidth="1"/>
    <col min="11" max="11" width="30.57421875" style="482" bestFit="1" customWidth="1"/>
    <col min="12" max="12" width="14.28125" style="482" customWidth="1"/>
    <col min="13" max="13" width="38.421875" style="482" customWidth="1"/>
    <col min="14" max="14" width="14.8515625" style="482" bestFit="1" customWidth="1"/>
    <col min="15" max="15" width="15.8515625" style="482" customWidth="1"/>
    <col min="16" max="16" width="16.28125" style="482" customWidth="1"/>
    <col min="17" max="16384" width="9.140625" style="482" customWidth="1"/>
  </cols>
  <sheetData>
    <row r="1" spans="3:11" ht="21">
      <c r="C1" s="492"/>
      <c r="D1" s="493"/>
      <c r="E1" s="493"/>
      <c r="F1" s="493"/>
      <c r="G1" s="493"/>
      <c r="H1" s="493"/>
      <c r="I1" s="493"/>
      <c r="J1" s="493"/>
      <c r="K1" s="494"/>
    </row>
    <row r="2" spans="3:11" ht="24.75" customHeight="1">
      <c r="C2" s="608" t="s">
        <v>20</v>
      </c>
      <c r="D2" s="609"/>
      <c r="E2" s="609"/>
      <c r="F2" s="609"/>
      <c r="G2" s="609"/>
      <c r="H2" s="609"/>
      <c r="I2" s="609"/>
      <c r="J2" s="609"/>
      <c r="K2" s="610"/>
    </row>
    <row r="3" spans="3:11" ht="24.75" customHeight="1">
      <c r="C3" s="593" t="s">
        <v>199</v>
      </c>
      <c r="D3" s="594"/>
      <c r="E3" s="594"/>
      <c r="F3" s="594"/>
      <c r="G3" s="594"/>
      <c r="H3" s="594"/>
      <c r="I3" s="594"/>
      <c r="J3" s="594"/>
      <c r="K3" s="595"/>
    </row>
    <row r="4" spans="3:11" ht="24.75" customHeight="1">
      <c r="C4" s="593" t="s">
        <v>19</v>
      </c>
      <c r="D4" s="594"/>
      <c r="E4" s="594"/>
      <c r="F4" s="594"/>
      <c r="G4" s="594"/>
      <c r="H4" s="594"/>
      <c r="I4" s="594"/>
      <c r="J4" s="594"/>
      <c r="K4" s="595"/>
    </row>
    <row r="5" spans="3:11" ht="24.75" customHeight="1" thickBot="1">
      <c r="C5" s="596" t="s">
        <v>666</v>
      </c>
      <c r="D5" s="597"/>
      <c r="E5" s="597"/>
      <c r="F5" s="597"/>
      <c r="G5" s="597"/>
      <c r="H5" s="597"/>
      <c r="I5" s="597"/>
      <c r="J5" s="597"/>
      <c r="K5" s="598"/>
    </row>
    <row r="6" spans="3:11" ht="32.25" customHeight="1" thickBot="1" thickTop="1">
      <c r="C6" s="611" t="s">
        <v>25</v>
      </c>
      <c r="D6" s="612"/>
      <c r="E6" s="612"/>
      <c r="F6" s="612"/>
      <c r="G6" s="612"/>
      <c r="H6" s="612"/>
      <c r="I6" s="612"/>
      <c r="J6" s="612"/>
      <c r="K6" s="613"/>
    </row>
    <row r="7" spans="3:16" ht="58.5" customHeight="1" thickBot="1" thickTop="1">
      <c r="C7" s="616" t="s">
        <v>671</v>
      </c>
      <c r="D7" s="617"/>
      <c r="E7" s="617"/>
      <c r="F7" s="617"/>
      <c r="G7" s="617"/>
      <c r="H7" s="617"/>
      <c r="I7" s="617"/>
      <c r="J7" s="617"/>
      <c r="K7" s="618"/>
      <c r="M7" s="517"/>
      <c r="N7" s="517"/>
      <c r="O7" s="517"/>
      <c r="P7" s="49"/>
    </row>
    <row r="8" spans="3:16" ht="42">
      <c r="C8" s="622" t="s">
        <v>7</v>
      </c>
      <c r="D8" s="624" t="s">
        <v>195</v>
      </c>
      <c r="E8" s="624" t="s">
        <v>598</v>
      </c>
      <c r="F8" s="624" t="s">
        <v>6</v>
      </c>
      <c r="G8" s="625" t="s">
        <v>473</v>
      </c>
      <c r="H8" s="625" t="s">
        <v>23</v>
      </c>
      <c r="I8" s="625" t="s">
        <v>26</v>
      </c>
      <c r="J8" s="527" t="s">
        <v>272</v>
      </c>
      <c r="K8" s="631" t="s">
        <v>472</v>
      </c>
      <c r="M8" s="518"/>
      <c r="N8" s="519"/>
      <c r="O8" s="519"/>
      <c r="P8" s="519"/>
    </row>
    <row r="9" spans="3:16" ht="21">
      <c r="C9" s="623"/>
      <c r="D9" s="625"/>
      <c r="E9" s="625"/>
      <c r="F9" s="625"/>
      <c r="G9" s="630"/>
      <c r="H9" s="630"/>
      <c r="I9" s="630"/>
      <c r="J9" s="528">
        <v>0.2746</v>
      </c>
      <c r="K9" s="632"/>
      <c r="M9" s="518"/>
      <c r="N9" s="519"/>
      <c r="O9" s="519"/>
      <c r="P9" s="519"/>
    </row>
    <row r="10" spans="3:16" ht="27.75" customHeight="1">
      <c r="C10" s="529">
        <v>1</v>
      </c>
      <c r="D10" s="628" t="s">
        <v>1</v>
      </c>
      <c r="E10" s="614"/>
      <c r="F10" s="614"/>
      <c r="G10" s="614"/>
      <c r="H10" s="614"/>
      <c r="I10" s="614"/>
      <c r="J10" s="614"/>
      <c r="K10" s="615"/>
      <c r="M10" s="626"/>
      <c r="N10" s="627"/>
      <c r="O10" s="627"/>
      <c r="P10" s="627"/>
    </row>
    <row r="11" spans="3:16" ht="45" customHeight="1">
      <c r="C11" s="520" t="s">
        <v>21</v>
      </c>
      <c r="D11" s="495" t="s">
        <v>196</v>
      </c>
      <c r="E11" s="463">
        <v>11340</v>
      </c>
      <c r="F11" s="464" t="s">
        <v>301</v>
      </c>
      <c r="G11" s="465">
        <v>6</v>
      </c>
      <c r="H11" s="466" t="s">
        <v>2</v>
      </c>
      <c r="I11" s="467">
        <v>176.27</v>
      </c>
      <c r="J11" s="468">
        <f>ROUND(I11*(1+$J$9),2)</f>
        <v>224.67</v>
      </c>
      <c r="K11" s="469">
        <f>ROUND(J11*G11,2)</f>
        <v>1348.02</v>
      </c>
      <c r="M11" s="626"/>
      <c r="N11" s="627"/>
      <c r="O11" s="627"/>
      <c r="P11" s="627"/>
    </row>
    <row r="12" spans="3:16" ht="45" customHeight="1" hidden="1">
      <c r="C12" s="520" t="s">
        <v>22</v>
      </c>
      <c r="D12" s="495" t="s">
        <v>196</v>
      </c>
      <c r="E12" s="463">
        <v>10005</v>
      </c>
      <c r="F12" s="464" t="s">
        <v>515</v>
      </c>
      <c r="G12" s="465"/>
      <c r="H12" s="466" t="s">
        <v>2</v>
      </c>
      <c r="I12" s="467">
        <v>287.22</v>
      </c>
      <c r="J12" s="468">
        <f>ROUND(I12*(1+$J$9),2)</f>
        <v>366.09</v>
      </c>
      <c r="K12" s="469">
        <f>ROUND(J12*G12,2)</f>
        <v>0</v>
      </c>
      <c r="M12" s="518"/>
      <c r="N12" s="519"/>
      <c r="O12" s="519"/>
      <c r="P12" s="519"/>
    </row>
    <row r="13" spans="3:16" ht="45" customHeight="1" hidden="1">
      <c r="C13" s="520" t="s">
        <v>451</v>
      </c>
      <c r="D13" s="495" t="s">
        <v>198</v>
      </c>
      <c r="E13" s="463">
        <v>99064</v>
      </c>
      <c r="F13" s="464" t="s">
        <v>599</v>
      </c>
      <c r="G13" s="465"/>
      <c r="H13" s="466" t="s">
        <v>3</v>
      </c>
      <c r="I13" s="467">
        <v>0.41</v>
      </c>
      <c r="J13" s="468">
        <f>ROUND(I13*(1+$J$9),2)</f>
        <v>0.52</v>
      </c>
      <c r="K13" s="469">
        <f>ROUND(J13*G13,2)</f>
        <v>0</v>
      </c>
      <c r="M13" s="518"/>
      <c r="N13" s="519"/>
      <c r="O13" s="519"/>
      <c r="P13" s="519"/>
    </row>
    <row r="14" spans="3:16" ht="45" customHeight="1" hidden="1">
      <c r="C14" s="520" t="s">
        <v>514</v>
      </c>
      <c r="D14" s="495" t="s">
        <v>197</v>
      </c>
      <c r="E14" s="463" t="s">
        <v>452</v>
      </c>
      <c r="F14" s="464" t="s">
        <v>462</v>
      </c>
      <c r="G14" s="465"/>
      <c r="H14" s="470" t="s">
        <v>342</v>
      </c>
      <c r="I14" s="467">
        <f>'CPU-I'!K19</f>
        <v>20092.2</v>
      </c>
      <c r="J14" s="468">
        <f>ROUND(I14*(1+$J$9),2)</f>
        <v>25609.52</v>
      </c>
      <c r="K14" s="469">
        <f>ROUND(J14*G14,2)</f>
        <v>0</v>
      </c>
      <c r="M14" s="518"/>
      <c r="N14" s="519"/>
      <c r="O14" s="519"/>
      <c r="P14" s="519"/>
    </row>
    <row r="15" spans="3:16" ht="45" customHeight="1">
      <c r="C15" s="520" t="s">
        <v>22</v>
      </c>
      <c r="D15" s="495" t="s">
        <v>197</v>
      </c>
      <c r="E15" s="471" t="s">
        <v>452</v>
      </c>
      <c r="F15" s="472" t="s">
        <v>471</v>
      </c>
      <c r="G15" s="465">
        <v>1</v>
      </c>
      <c r="H15" s="470" t="s">
        <v>342</v>
      </c>
      <c r="I15" s="467">
        <f>'CPU-II'!H30</f>
        <v>2933.6</v>
      </c>
      <c r="J15" s="468">
        <f>ROUND(I15*(1+$J$9),2)</f>
        <v>3739.17</v>
      </c>
      <c r="K15" s="469">
        <f>ROUND(J15*G15,2)</f>
        <v>3739.17</v>
      </c>
      <c r="M15" s="626"/>
      <c r="N15" s="627"/>
      <c r="O15" s="627"/>
      <c r="P15" s="627"/>
    </row>
    <row r="16" spans="3:16" ht="34.5" customHeight="1">
      <c r="C16" s="619" t="s">
        <v>10</v>
      </c>
      <c r="D16" s="620"/>
      <c r="E16" s="620"/>
      <c r="F16" s="620"/>
      <c r="G16" s="620"/>
      <c r="H16" s="620"/>
      <c r="I16" s="620"/>
      <c r="J16" s="621"/>
      <c r="K16" s="483">
        <f>SUM(K11:K15)</f>
        <v>5087.19</v>
      </c>
      <c r="M16" s="626"/>
      <c r="N16" s="627"/>
      <c r="O16" s="627"/>
      <c r="P16" s="627"/>
    </row>
    <row r="17" spans="3:16" ht="27.75" customHeight="1" hidden="1">
      <c r="C17" s="529">
        <v>2</v>
      </c>
      <c r="D17" s="628" t="s">
        <v>474</v>
      </c>
      <c r="E17" s="614"/>
      <c r="F17" s="614"/>
      <c r="G17" s="614"/>
      <c r="H17" s="614"/>
      <c r="I17" s="614"/>
      <c r="J17" s="614"/>
      <c r="K17" s="615"/>
      <c r="M17" s="626"/>
      <c r="N17" s="627"/>
      <c r="O17" s="627"/>
      <c r="P17" s="627"/>
    </row>
    <row r="18" spans="3:16" ht="45" customHeight="1" hidden="1">
      <c r="C18" s="520" t="s">
        <v>4</v>
      </c>
      <c r="D18" s="486" t="s">
        <v>196</v>
      </c>
      <c r="E18" s="471" t="s">
        <v>239</v>
      </c>
      <c r="F18" s="473" t="s">
        <v>240</v>
      </c>
      <c r="G18" s="474">
        <f>'MC-PAV'!F33</f>
        <v>0</v>
      </c>
      <c r="H18" s="466" t="s">
        <v>0</v>
      </c>
      <c r="I18" s="475">
        <v>249.59</v>
      </c>
      <c r="J18" s="468">
        <f>ROUND(I18*(1+$J$9),2)</f>
        <v>318.13</v>
      </c>
      <c r="K18" s="469">
        <f>ROUND(J18*G18,2)</f>
        <v>0</v>
      </c>
      <c r="M18" s="626"/>
      <c r="N18" s="627"/>
      <c r="O18" s="627"/>
      <c r="P18" s="627"/>
    </row>
    <row r="19" spans="3:16" ht="45" customHeight="1" hidden="1">
      <c r="C19" s="520" t="s">
        <v>8</v>
      </c>
      <c r="D19" s="496" t="s">
        <v>196</v>
      </c>
      <c r="E19" s="471" t="s">
        <v>475</v>
      </c>
      <c r="F19" s="473" t="s">
        <v>476</v>
      </c>
      <c r="G19" s="474">
        <f>'MC-PAV'!J33</f>
        <v>0</v>
      </c>
      <c r="H19" s="466" t="s">
        <v>0</v>
      </c>
      <c r="I19" s="475">
        <v>92.07</v>
      </c>
      <c r="J19" s="468">
        <f>ROUND(I19*(1+$J$9),2)</f>
        <v>117.35</v>
      </c>
      <c r="K19" s="469">
        <f>ROUND(J19*G19,2)</f>
        <v>0</v>
      </c>
      <c r="M19" s="626"/>
      <c r="N19" s="627"/>
      <c r="O19" s="627"/>
      <c r="P19" s="627"/>
    </row>
    <row r="20" spans="3:16" ht="27.75" customHeight="1" hidden="1">
      <c r="C20" s="619" t="s">
        <v>477</v>
      </c>
      <c r="D20" s="620"/>
      <c r="E20" s="620"/>
      <c r="F20" s="620"/>
      <c r="G20" s="620"/>
      <c r="H20" s="620"/>
      <c r="I20" s="620"/>
      <c r="J20" s="621"/>
      <c r="K20" s="483">
        <f>SUM(K18:K19)</f>
        <v>0</v>
      </c>
      <c r="M20" s="626"/>
      <c r="N20" s="627"/>
      <c r="O20" s="627"/>
      <c r="P20" s="627"/>
    </row>
    <row r="21" spans="1:16" ht="34.5" customHeight="1">
      <c r="A21" s="521"/>
      <c r="B21" s="521"/>
      <c r="C21" s="529">
        <v>2</v>
      </c>
      <c r="D21" s="629" t="s">
        <v>14</v>
      </c>
      <c r="E21" s="603"/>
      <c r="F21" s="603"/>
      <c r="G21" s="603"/>
      <c r="H21" s="603"/>
      <c r="I21" s="603"/>
      <c r="J21" s="603"/>
      <c r="K21" s="604"/>
      <c r="M21" s="518"/>
      <c r="N21" s="519"/>
      <c r="O21" s="519"/>
      <c r="P21" s="519"/>
    </row>
    <row r="22" spans="1:16" ht="63" hidden="1">
      <c r="A22" s="521"/>
      <c r="B22" s="521"/>
      <c r="C22" s="522" t="s">
        <v>11</v>
      </c>
      <c r="D22" s="486" t="s">
        <v>198</v>
      </c>
      <c r="E22" s="471" t="s">
        <v>33</v>
      </c>
      <c r="F22" s="473" t="s">
        <v>222</v>
      </c>
      <c r="G22" s="474">
        <f>'MC-PAV'!G33</f>
        <v>0</v>
      </c>
      <c r="H22" s="466" t="s">
        <v>2</v>
      </c>
      <c r="I22" s="475">
        <v>85.82</v>
      </c>
      <c r="J22" s="468">
        <f>ROUND(I22*(1+$J$9),2)</f>
        <v>109.39</v>
      </c>
      <c r="K22" s="469">
        <f>ROUND(J22*G22,2)</f>
        <v>0</v>
      </c>
      <c r="M22" s="518"/>
      <c r="N22" s="519"/>
      <c r="O22" s="519"/>
      <c r="P22" s="519"/>
    </row>
    <row r="23" spans="1:16" ht="45" customHeight="1">
      <c r="A23" s="521"/>
      <c r="B23" s="521"/>
      <c r="C23" s="522" t="s">
        <v>4</v>
      </c>
      <c r="D23" s="486" t="s">
        <v>198</v>
      </c>
      <c r="E23" s="471" t="s">
        <v>159</v>
      </c>
      <c r="F23" s="473" t="s">
        <v>160</v>
      </c>
      <c r="G23" s="474">
        <f>'MC-PAV'!H33</f>
        <v>31.71</v>
      </c>
      <c r="H23" s="465" t="s">
        <v>0</v>
      </c>
      <c r="I23" s="475">
        <v>14.79</v>
      </c>
      <c r="J23" s="468">
        <f>ROUND(I23*(1+$J$9),2)</f>
        <v>18.85</v>
      </c>
      <c r="K23" s="469">
        <f>ROUND(J23*G23,2)</f>
        <v>597.73</v>
      </c>
      <c r="M23" s="518"/>
      <c r="N23" s="519"/>
      <c r="O23" s="519"/>
      <c r="P23" s="519"/>
    </row>
    <row r="24" spans="1:11" ht="45" customHeight="1">
      <c r="A24" s="521"/>
      <c r="B24" s="521"/>
      <c r="C24" s="522" t="s">
        <v>8</v>
      </c>
      <c r="D24" s="486" t="s">
        <v>198</v>
      </c>
      <c r="E24" s="471" t="s">
        <v>66</v>
      </c>
      <c r="F24" s="473" t="s">
        <v>67</v>
      </c>
      <c r="G24" s="474">
        <f>'MC-PAV'!I33</f>
        <v>737.4</v>
      </c>
      <c r="H24" s="470" t="s">
        <v>3</v>
      </c>
      <c r="I24" s="475">
        <v>43.28</v>
      </c>
      <c r="J24" s="468">
        <f>ROUND(I24*(1+$J$9),2)</f>
        <v>55.16</v>
      </c>
      <c r="K24" s="469">
        <f>ROUND(J24*G24,2)</f>
        <v>40674.98</v>
      </c>
    </row>
    <row r="25" spans="1:11" ht="45" customHeight="1">
      <c r="A25" s="521"/>
      <c r="B25" s="521"/>
      <c r="C25" s="522" t="s">
        <v>672</v>
      </c>
      <c r="D25" s="486" t="s">
        <v>198</v>
      </c>
      <c r="E25" s="476" t="s">
        <v>68</v>
      </c>
      <c r="F25" s="477" t="s">
        <v>69</v>
      </c>
      <c r="G25" s="474">
        <f>'MC-PAV'!I33</f>
        <v>737.4</v>
      </c>
      <c r="H25" s="470" t="s">
        <v>3</v>
      </c>
      <c r="I25" s="468">
        <v>34.51</v>
      </c>
      <c r="J25" s="468">
        <f>ROUND(I25*(1+$J$9),2)</f>
        <v>43.99</v>
      </c>
      <c r="K25" s="469">
        <f>ROUND(J25*G25,2)</f>
        <v>32438.23</v>
      </c>
    </row>
    <row r="26" spans="1:11" ht="34.5" customHeight="1">
      <c r="A26" s="521"/>
      <c r="B26" s="521"/>
      <c r="C26" s="600" t="s">
        <v>673</v>
      </c>
      <c r="D26" s="601"/>
      <c r="E26" s="601"/>
      <c r="F26" s="601"/>
      <c r="G26" s="601"/>
      <c r="H26" s="601"/>
      <c r="I26" s="601"/>
      <c r="J26" s="601"/>
      <c r="K26" s="483">
        <f>SUM(K22:K25)</f>
        <v>73710.94</v>
      </c>
    </row>
    <row r="27" spans="3:11" ht="34.5" customHeight="1">
      <c r="C27" s="488">
        <v>3</v>
      </c>
      <c r="D27" s="489"/>
      <c r="E27" s="489"/>
      <c r="F27" s="490" t="s">
        <v>5</v>
      </c>
      <c r="G27" s="603"/>
      <c r="H27" s="603"/>
      <c r="I27" s="603"/>
      <c r="J27" s="603"/>
      <c r="K27" s="604"/>
    </row>
    <row r="28" spans="3:11" ht="45" customHeight="1">
      <c r="C28" s="478" t="s">
        <v>11</v>
      </c>
      <c r="D28" s="479" t="s">
        <v>196</v>
      </c>
      <c r="E28" s="462">
        <v>180720</v>
      </c>
      <c r="F28" s="531" t="s">
        <v>245</v>
      </c>
      <c r="G28" s="532">
        <f>'MC-DRE'!E34</f>
        <v>70</v>
      </c>
      <c r="H28" s="533" t="s">
        <v>342</v>
      </c>
      <c r="I28" s="534">
        <v>145.63</v>
      </c>
      <c r="J28" s="535">
        <f aca="true" t="shared" si="0" ref="J28:J59">ROUND(I28*(1+$J$9),2)</f>
        <v>185.62</v>
      </c>
      <c r="K28" s="536">
        <f aca="true" t="shared" si="1" ref="K28:K59">ROUND(J28*G28,2)</f>
        <v>12993.4</v>
      </c>
    </row>
    <row r="29" spans="3:11" ht="45" customHeight="1">
      <c r="C29" s="491" t="s">
        <v>674</v>
      </c>
      <c r="D29" s="486" t="s">
        <v>196</v>
      </c>
      <c r="E29" s="471" t="s">
        <v>518</v>
      </c>
      <c r="F29" s="472" t="s">
        <v>519</v>
      </c>
      <c r="G29" s="465">
        <f>'MC-DRE'!I34</f>
        <v>77.87</v>
      </c>
      <c r="H29" s="466" t="s">
        <v>0</v>
      </c>
      <c r="I29" s="480">
        <v>8.79</v>
      </c>
      <c r="J29" s="468">
        <f t="shared" si="0"/>
        <v>11.2</v>
      </c>
      <c r="K29" s="469">
        <f t="shared" si="1"/>
        <v>872.14</v>
      </c>
    </row>
    <row r="30" spans="3:11" ht="63">
      <c r="C30" s="491" t="s">
        <v>675</v>
      </c>
      <c r="D30" s="486" t="s">
        <v>198</v>
      </c>
      <c r="E30" s="463">
        <v>100980</v>
      </c>
      <c r="F30" s="473" t="s">
        <v>385</v>
      </c>
      <c r="G30" s="465">
        <f>'MC-DRE'!J34</f>
        <v>8.79</v>
      </c>
      <c r="H30" s="466" t="s">
        <v>0</v>
      </c>
      <c r="I30" s="481">
        <v>6.47</v>
      </c>
      <c r="J30" s="468">
        <f t="shared" si="0"/>
        <v>8.25</v>
      </c>
      <c r="K30" s="469">
        <f t="shared" si="1"/>
        <v>72.52</v>
      </c>
    </row>
    <row r="31" spans="3:11" ht="45" customHeight="1">
      <c r="C31" s="491" t="s">
        <v>676</v>
      </c>
      <c r="D31" s="496" t="s">
        <v>198</v>
      </c>
      <c r="E31" s="471" t="s">
        <v>386</v>
      </c>
      <c r="F31" s="473" t="s">
        <v>387</v>
      </c>
      <c r="G31" s="465">
        <f>'MC-DRE'!K34</f>
        <v>109.88</v>
      </c>
      <c r="H31" s="466" t="s">
        <v>251</v>
      </c>
      <c r="I31" s="480">
        <v>2.84</v>
      </c>
      <c r="J31" s="468">
        <f>ROUND(I31*(1+$J$9),2)</f>
        <v>3.62</v>
      </c>
      <c r="K31" s="469">
        <f>ROUND(J31*G31,2)</f>
        <v>397.77</v>
      </c>
    </row>
    <row r="32" spans="3:11" ht="45" customHeight="1">
      <c r="C32" s="491" t="s">
        <v>677</v>
      </c>
      <c r="D32" s="486" t="s">
        <v>198</v>
      </c>
      <c r="E32" s="463">
        <v>101616</v>
      </c>
      <c r="F32" s="477" t="s">
        <v>246</v>
      </c>
      <c r="G32" s="465">
        <f>'MC-DRE'!L34</f>
        <v>68.6</v>
      </c>
      <c r="H32" s="466" t="s">
        <v>2</v>
      </c>
      <c r="I32" s="480">
        <v>4.95</v>
      </c>
      <c r="J32" s="468">
        <f t="shared" si="0"/>
        <v>6.31</v>
      </c>
      <c r="K32" s="469">
        <f t="shared" si="1"/>
        <v>432.87</v>
      </c>
    </row>
    <row r="33" spans="3:11" ht="45" customHeight="1">
      <c r="C33" s="491" t="s">
        <v>678</v>
      </c>
      <c r="D33" s="486" t="s">
        <v>196</v>
      </c>
      <c r="E33" s="463">
        <v>260278</v>
      </c>
      <c r="F33" s="473" t="s">
        <v>382</v>
      </c>
      <c r="G33" s="465">
        <f>'MC-DRE'!M34</f>
        <v>68.6</v>
      </c>
      <c r="H33" s="465" t="s">
        <v>2</v>
      </c>
      <c r="I33" s="481">
        <v>32.11</v>
      </c>
      <c r="J33" s="468">
        <f t="shared" si="0"/>
        <v>40.93</v>
      </c>
      <c r="K33" s="469">
        <f t="shared" si="1"/>
        <v>2807.8</v>
      </c>
    </row>
    <row r="34" spans="3:11" ht="45" customHeight="1">
      <c r="C34" s="491" t="s">
        <v>679</v>
      </c>
      <c r="D34" s="486" t="s">
        <v>196</v>
      </c>
      <c r="E34" s="463">
        <v>30011</v>
      </c>
      <c r="F34" s="473" t="s">
        <v>517</v>
      </c>
      <c r="G34" s="465">
        <f>'MC-DRE'!O34</f>
        <v>48.36</v>
      </c>
      <c r="H34" s="466" t="s">
        <v>0</v>
      </c>
      <c r="I34" s="481">
        <v>105.78</v>
      </c>
      <c r="J34" s="468">
        <f t="shared" si="0"/>
        <v>134.83</v>
      </c>
      <c r="K34" s="469">
        <f t="shared" si="1"/>
        <v>6520.38</v>
      </c>
    </row>
    <row r="35" spans="3:11" ht="63">
      <c r="C35" s="491" t="s">
        <v>680</v>
      </c>
      <c r="D35" s="496" t="s">
        <v>198</v>
      </c>
      <c r="E35" s="471" t="s">
        <v>384</v>
      </c>
      <c r="F35" s="473" t="s">
        <v>640</v>
      </c>
      <c r="G35" s="465">
        <f>'MC-DRE'!P34</f>
        <v>20.72</v>
      </c>
      <c r="H35" s="466" t="s">
        <v>0</v>
      </c>
      <c r="I35" s="480">
        <v>17.1</v>
      </c>
      <c r="J35" s="468">
        <f t="shared" si="0"/>
        <v>21.8</v>
      </c>
      <c r="K35" s="469">
        <f t="shared" si="1"/>
        <v>451.7</v>
      </c>
    </row>
    <row r="36" spans="3:11" ht="45" customHeight="1" hidden="1">
      <c r="C36" s="491" t="s">
        <v>681</v>
      </c>
      <c r="D36" s="486" t="s">
        <v>198</v>
      </c>
      <c r="E36" s="463">
        <v>101579</v>
      </c>
      <c r="F36" s="473" t="s">
        <v>639</v>
      </c>
      <c r="G36" s="465">
        <f>'MC-DRE'!Q34</f>
        <v>0</v>
      </c>
      <c r="H36" s="465" t="s">
        <v>2</v>
      </c>
      <c r="I36" s="481">
        <v>35.77</v>
      </c>
      <c r="J36" s="468">
        <f t="shared" si="0"/>
        <v>45.59</v>
      </c>
      <c r="K36" s="469">
        <f t="shared" si="1"/>
        <v>0</v>
      </c>
    </row>
    <row r="37" spans="3:11" ht="63">
      <c r="C37" s="491" t="s">
        <v>681</v>
      </c>
      <c r="D37" s="486" t="s">
        <v>198</v>
      </c>
      <c r="E37" s="471" t="s">
        <v>466</v>
      </c>
      <c r="F37" s="473" t="s">
        <v>467</v>
      </c>
      <c r="G37" s="465">
        <f>'MC-DRE'!R34</f>
        <v>70</v>
      </c>
      <c r="H37" s="466" t="s">
        <v>3</v>
      </c>
      <c r="I37" s="480">
        <v>58.71</v>
      </c>
      <c r="J37" s="468">
        <f t="shared" si="0"/>
        <v>74.83</v>
      </c>
      <c r="K37" s="469">
        <f t="shared" si="1"/>
        <v>5238.1</v>
      </c>
    </row>
    <row r="38" spans="3:11" ht="45" customHeight="1">
      <c r="C38" s="478" t="s">
        <v>32</v>
      </c>
      <c r="D38" s="537" t="s">
        <v>196</v>
      </c>
      <c r="E38" s="538" t="s">
        <v>516</v>
      </c>
      <c r="F38" s="531" t="s">
        <v>247</v>
      </c>
      <c r="G38" s="532">
        <f>'MC-DRE'!E62</f>
        <v>231</v>
      </c>
      <c r="H38" s="533" t="s">
        <v>342</v>
      </c>
      <c r="I38" s="534">
        <v>241.65</v>
      </c>
      <c r="J38" s="535">
        <f t="shared" si="0"/>
        <v>308.01</v>
      </c>
      <c r="K38" s="536">
        <f t="shared" si="1"/>
        <v>71150.31</v>
      </c>
    </row>
    <row r="39" spans="3:11" ht="45" customHeight="1">
      <c r="C39" s="491" t="s">
        <v>682</v>
      </c>
      <c r="D39" s="486" t="s">
        <v>196</v>
      </c>
      <c r="E39" s="471" t="s">
        <v>518</v>
      </c>
      <c r="F39" s="472" t="s">
        <v>519</v>
      </c>
      <c r="G39" s="465">
        <f>'MC-DRE'!I62</f>
        <v>387.25</v>
      </c>
      <c r="H39" s="466" t="s">
        <v>0</v>
      </c>
      <c r="I39" s="480">
        <v>8.79</v>
      </c>
      <c r="J39" s="468">
        <f t="shared" si="0"/>
        <v>11.2</v>
      </c>
      <c r="K39" s="469">
        <f t="shared" si="1"/>
        <v>4337.2</v>
      </c>
    </row>
    <row r="40" spans="3:11" ht="63">
      <c r="C40" s="491" t="s">
        <v>683</v>
      </c>
      <c r="D40" s="486" t="s">
        <v>198</v>
      </c>
      <c r="E40" s="463">
        <v>100980</v>
      </c>
      <c r="F40" s="473" t="s">
        <v>385</v>
      </c>
      <c r="G40" s="465">
        <f>'MC-DRE'!J62</f>
        <v>65.28</v>
      </c>
      <c r="H40" s="466" t="s">
        <v>0</v>
      </c>
      <c r="I40" s="481">
        <v>6.47</v>
      </c>
      <c r="J40" s="468">
        <f t="shared" si="0"/>
        <v>8.25</v>
      </c>
      <c r="K40" s="469">
        <f t="shared" si="1"/>
        <v>538.56</v>
      </c>
    </row>
    <row r="41" spans="3:11" ht="45" customHeight="1">
      <c r="C41" s="491" t="s">
        <v>684</v>
      </c>
      <c r="D41" s="496" t="s">
        <v>198</v>
      </c>
      <c r="E41" s="471" t="s">
        <v>386</v>
      </c>
      <c r="F41" s="473" t="s">
        <v>387</v>
      </c>
      <c r="G41" s="465">
        <f>'MC-DRE'!K62</f>
        <v>816</v>
      </c>
      <c r="H41" s="466" t="s">
        <v>251</v>
      </c>
      <c r="I41" s="480">
        <v>2.84</v>
      </c>
      <c r="J41" s="468">
        <f t="shared" si="0"/>
        <v>3.62</v>
      </c>
      <c r="K41" s="469">
        <f t="shared" si="1"/>
        <v>2953.92</v>
      </c>
    </row>
    <row r="42" spans="3:11" ht="45" customHeight="1">
      <c r="C42" s="491" t="s">
        <v>685</v>
      </c>
      <c r="D42" s="486" t="s">
        <v>198</v>
      </c>
      <c r="E42" s="463">
        <v>101616</v>
      </c>
      <c r="F42" s="477" t="s">
        <v>246</v>
      </c>
      <c r="G42" s="465">
        <f>'MC-DRE'!L62</f>
        <v>281.82</v>
      </c>
      <c r="H42" s="466" t="s">
        <v>2</v>
      </c>
      <c r="I42" s="480">
        <v>4.95</v>
      </c>
      <c r="J42" s="468">
        <f t="shared" si="0"/>
        <v>6.31</v>
      </c>
      <c r="K42" s="469">
        <f t="shared" si="1"/>
        <v>1778.28</v>
      </c>
    </row>
    <row r="43" spans="3:11" ht="45" customHeight="1">
      <c r="C43" s="491" t="s">
        <v>686</v>
      </c>
      <c r="D43" s="486" t="s">
        <v>196</v>
      </c>
      <c r="E43" s="463">
        <v>260278</v>
      </c>
      <c r="F43" s="473" t="s">
        <v>382</v>
      </c>
      <c r="G43" s="465">
        <f>'MC-DRE'!M62</f>
        <v>281.82</v>
      </c>
      <c r="H43" s="465" t="s">
        <v>2</v>
      </c>
      <c r="I43" s="481">
        <v>32.11</v>
      </c>
      <c r="J43" s="468">
        <f t="shared" si="0"/>
        <v>40.93</v>
      </c>
      <c r="K43" s="469">
        <f t="shared" si="1"/>
        <v>11534.89</v>
      </c>
    </row>
    <row r="44" spans="3:11" ht="45" customHeight="1">
      <c r="C44" s="491" t="s">
        <v>687</v>
      </c>
      <c r="D44" s="486" t="s">
        <v>196</v>
      </c>
      <c r="E44" s="463">
        <v>30011</v>
      </c>
      <c r="F44" s="473" t="s">
        <v>517</v>
      </c>
      <c r="G44" s="465">
        <f>'MC-DRE'!O62</f>
        <v>225.38</v>
      </c>
      <c r="H44" s="466" t="s">
        <v>0</v>
      </c>
      <c r="I44" s="481">
        <v>105.78</v>
      </c>
      <c r="J44" s="468">
        <f t="shared" si="0"/>
        <v>134.83</v>
      </c>
      <c r="K44" s="469">
        <f t="shared" si="1"/>
        <v>30387.99</v>
      </c>
    </row>
    <row r="45" spans="3:11" ht="63">
      <c r="C45" s="491" t="s">
        <v>688</v>
      </c>
      <c r="D45" s="496" t="s">
        <v>198</v>
      </c>
      <c r="E45" s="471" t="s">
        <v>384</v>
      </c>
      <c r="F45" s="473" t="s">
        <v>640</v>
      </c>
      <c r="G45" s="465">
        <f>'MC-DRE'!P62</f>
        <v>96.59</v>
      </c>
      <c r="H45" s="466" t="s">
        <v>0</v>
      </c>
      <c r="I45" s="480">
        <v>17.1</v>
      </c>
      <c r="J45" s="468">
        <f t="shared" si="0"/>
        <v>21.8</v>
      </c>
      <c r="K45" s="469">
        <f t="shared" si="1"/>
        <v>2105.66</v>
      </c>
    </row>
    <row r="46" spans="3:11" ht="45" customHeight="1" hidden="1">
      <c r="C46" s="491" t="s">
        <v>689</v>
      </c>
      <c r="D46" s="486" t="s">
        <v>198</v>
      </c>
      <c r="E46" s="463">
        <v>101579</v>
      </c>
      <c r="F46" s="473" t="s">
        <v>639</v>
      </c>
      <c r="G46" s="465">
        <f>'MC-DRE'!Q62</f>
        <v>0</v>
      </c>
      <c r="H46" s="465" t="s">
        <v>2</v>
      </c>
      <c r="I46" s="481">
        <v>35.77</v>
      </c>
      <c r="J46" s="468">
        <f t="shared" si="0"/>
        <v>45.59</v>
      </c>
      <c r="K46" s="469">
        <f t="shared" si="1"/>
        <v>0</v>
      </c>
    </row>
    <row r="47" spans="3:11" ht="63">
      <c r="C47" s="491" t="s">
        <v>689</v>
      </c>
      <c r="D47" s="496" t="s">
        <v>198</v>
      </c>
      <c r="E47" s="470">
        <v>92824</v>
      </c>
      <c r="F47" s="472" t="s">
        <v>468</v>
      </c>
      <c r="G47" s="465">
        <f>'MC-DRE'!R62</f>
        <v>231</v>
      </c>
      <c r="H47" s="466" t="s">
        <v>3</v>
      </c>
      <c r="I47" s="480">
        <v>85.48</v>
      </c>
      <c r="J47" s="468">
        <f t="shared" si="0"/>
        <v>108.95</v>
      </c>
      <c r="K47" s="469">
        <f t="shared" si="1"/>
        <v>25167.45</v>
      </c>
    </row>
    <row r="48" spans="3:11" ht="45" customHeight="1" hidden="1">
      <c r="C48" s="491" t="s">
        <v>690</v>
      </c>
      <c r="D48" s="537" t="s">
        <v>196</v>
      </c>
      <c r="E48" s="538" t="s">
        <v>236</v>
      </c>
      <c r="F48" s="531" t="s">
        <v>252</v>
      </c>
      <c r="G48" s="532">
        <f>'MC-DRE'!E90</f>
        <v>0</v>
      </c>
      <c r="H48" s="533" t="s">
        <v>342</v>
      </c>
      <c r="I48" s="534">
        <v>371.74</v>
      </c>
      <c r="J48" s="535">
        <f t="shared" si="0"/>
        <v>473.82</v>
      </c>
      <c r="K48" s="536">
        <f t="shared" si="1"/>
        <v>0</v>
      </c>
    </row>
    <row r="49" spans="3:11" ht="45" customHeight="1" hidden="1">
      <c r="C49" s="491" t="s">
        <v>691</v>
      </c>
      <c r="D49" s="486" t="s">
        <v>196</v>
      </c>
      <c r="E49" s="471" t="s">
        <v>518</v>
      </c>
      <c r="F49" s="472" t="s">
        <v>519</v>
      </c>
      <c r="G49" s="465">
        <f>'MC-DRE'!I90</f>
        <v>0</v>
      </c>
      <c r="H49" s="466" t="s">
        <v>0</v>
      </c>
      <c r="I49" s="480">
        <v>8.79</v>
      </c>
      <c r="J49" s="468">
        <f t="shared" si="0"/>
        <v>11.2</v>
      </c>
      <c r="K49" s="469">
        <f t="shared" si="1"/>
        <v>0</v>
      </c>
    </row>
    <row r="50" spans="3:11" ht="63" hidden="1">
      <c r="C50" s="491" t="s">
        <v>692</v>
      </c>
      <c r="D50" s="486" t="s">
        <v>198</v>
      </c>
      <c r="E50" s="463">
        <v>100980</v>
      </c>
      <c r="F50" s="473" t="s">
        <v>385</v>
      </c>
      <c r="G50" s="465">
        <f>'MC-DRE'!J90</f>
        <v>0</v>
      </c>
      <c r="H50" s="466" t="s">
        <v>0</v>
      </c>
      <c r="I50" s="481">
        <v>6.47</v>
      </c>
      <c r="J50" s="468">
        <f t="shared" si="0"/>
        <v>8.25</v>
      </c>
      <c r="K50" s="469">
        <f t="shared" si="1"/>
        <v>0</v>
      </c>
    </row>
    <row r="51" spans="3:11" ht="45" customHeight="1" hidden="1">
      <c r="C51" s="491" t="s">
        <v>693</v>
      </c>
      <c r="D51" s="496" t="s">
        <v>198</v>
      </c>
      <c r="E51" s="471" t="s">
        <v>386</v>
      </c>
      <c r="F51" s="473" t="s">
        <v>387</v>
      </c>
      <c r="G51" s="465">
        <f>'MC-DRE'!K90</f>
        <v>0</v>
      </c>
      <c r="H51" s="466" t="s">
        <v>251</v>
      </c>
      <c r="I51" s="480">
        <v>2.84</v>
      </c>
      <c r="J51" s="468">
        <f>ROUND(I51*(1+$J$9),2)</f>
        <v>3.62</v>
      </c>
      <c r="K51" s="469">
        <f>ROUND(J51*G51,2)</f>
        <v>0</v>
      </c>
    </row>
    <row r="52" spans="3:11" ht="45" customHeight="1" hidden="1">
      <c r="C52" s="491" t="s">
        <v>694</v>
      </c>
      <c r="D52" s="486" t="s">
        <v>198</v>
      </c>
      <c r="E52" s="463">
        <v>101616</v>
      </c>
      <c r="F52" s="477" t="s">
        <v>246</v>
      </c>
      <c r="G52" s="465">
        <f>'MC-DRE'!L90</f>
        <v>0</v>
      </c>
      <c r="H52" s="466" t="s">
        <v>2</v>
      </c>
      <c r="I52" s="480">
        <v>4.95</v>
      </c>
      <c r="J52" s="468">
        <f t="shared" si="0"/>
        <v>6.31</v>
      </c>
      <c r="K52" s="469">
        <f t="shared" si="1"/>
        <v>0</v>
      </c>
    </row>
    <row r="53" spans="3:11" ht="45" customHeight="1" hidden="1">
      <c r="C53" s="491" t="s">
        <v>695</v>
      </c>
      <c r="D53" s="486" t="s">
        <v>196</v>
      </c>
      <c r="E53" s="463">
        <v>260278</v>
      </c>
      <c r="F53" s="473" t="s">
        <v>382</v>
      </c>
      <c r="G53" s="465">
        <f>'MC-DRE'!M90</f>
        <v>0</v>
      </c>
      <c r="H53" s="465" t="s">
        <v>2</v>
      </c>
      <c r="I53" s="481">
        <v>32.11</v>
      </c>
      <c r="J53" s="468">
        <f t="shared" si="0"/>
        <v>40.93</v>
      </c>
      <c r="K53" s="469">
        <f t="shared" si="1"/>
        <v>0</v>
      </c>
    </row>
    <row r="54" spans="3:11" ht="45" customHeight="1" hidden="1">
      <c r="C54" s="491" t="s">
        <v>696</v>
      </c>
      <c r="D54" s="486" t="s">
        <v>196</v>
      </c>
      <c r="E54" s="463">
        <v>30011</v>
      </c>
      <c r="F54" s="473" t="s">
        <v>517</v>
      </c>
      <c r="G54" s="465">
        <f>'MC-DRE'!O90</f>
        <v>0</v>
      </c>
      <c r="H54" s="466" t="s">
        <v>0</v>
      </c>
      <c r="I54" s="481">
        <v>105.78</v>
      </c>
      <c r="J54" s="468">
        <f t="shared" si="0"/>
        <v>134.83</v>
      </c>
      <c r="K54" s="469">
        <f t="shared" si="1"/>
        <v>0</v>
      </c>
    </row>
    <row r="55" spans="3:11" ht="63" hidden="1">
      <c r="C55" s="491" t="s">
        <v>697</v>
      </c>
      <c r="D55" s="496" t="s">
        <v>198</v>
      </c>
      <c r="E55" s="471" t="s">
        <v>384</v>
      </c>
      <c r="F55" s="473" t="s">
        <v>640</v>
      </c>
      <c r="G55" s="465">
        <f>'MC-DRE'!P90</f>
        <v>0</v>
      </c>
      <c r="H55" s="466" t="s">
        <v>0</v>
      </c>
      <c r="I55" s="480">
        <v>17.1</v>
      </c>
      <c r="J55" s="468">
        <f t="shared" si="0"/>
        <v>21.8</v>
      </c>
      <c r="K55" s="469">
        <f t="shared" si="1"/>
        <v>0</v>
      </c>
    </row>
    <row r="56" spans="3:11" ht="45" customHeight="1" hidden="1">
      <c r="C56" s="491" t="s">
        <v>698</v>
      </c>
      <c r="D56" s="486" t="s">
        <v>198</v>
      </c>
      <c r="E56" s="463">
        <v>101579</v>
      </c>
      <c r="F56" s="473" t="s">
        <v>639</v>
      </c>
      <c r="G56" s="465">
        <f>'MC-DRE'!Q90</f>
        <v>0</v>
      </c>
      <c r="H56" s="465" t="s">
        <v>2</v>
      </c>
      <c r="I56" s="481">
        <v>35.77</v>
      </c>
      <c r="J56" s="468">
        <f t="shared" si="0"/>
        <v>45.59</v>
      </c>
      <c r="K56" s="469">
        <f t="shared" si="1"/>
        <v>0</v>
      </c>
    </row>
    <row r="57" spans="3:11" ht="63" hidden="1">
      <c r="C57" s="491" t="s">
        <v>699</v>
      </c>
      <c r="D57" s="496" t="s">
        <v>198</v>
      </c>
      <c r="E57" s="470">
        <v>92826</v>
      </c>
      <c r="F57" s="472" t="s">
        <v>469</v>
      </c>
      <c r="G57" s="465">
        <f>'MC-DRE'!R90</f>
        <v>0</v>
      </c>
      <c r="H57" s="466" t="s">
        <v>3</v>
      </c>
      <c r="I57" s="480">
        <v>115.1</v>
      </c>
      <c r="J57" s="468">
        <f t="shared" si="0"/>
        <v>146.71</v>
      </c>
      <c r="K57" s="469">
        <f t="shared" si="1"/>
        <v>0</v>
      </c>
    </row>
    <row r="58" spans="3:11" ht="45" customHeight="1" hidden="1">
      <c r="C58" s="491" t="s">
        <v>700</v>
      </c>
      <c r="D58" s="537" t="s">
        <v>196</v>
      </c>
      <c r="E58" s="538" t="s">
        <v>237</v>
      </c>
      <c r="F58" s="531" t="s">
        <v>253</v>
      </c>
      <c r="G58" s="532">
        <f>'MC-DRE'!E118</f>
        <v>0</v>
      </c>
      <c r="H58" s="533" t="s">
        <v>342</v>
      </c>
      <c r="I58" s="534">
        <v>502.42</v>
      </c>
      <c r="J58" s="535">
        <f t="shared" si="0"/>
        <v>640.38</v>
      </c>
      <c r="K58" s="536">
        <f t="shared" si="1"/>
        <v>0</v>
      </c>
    </row>
    <row r="59" spans="3:11" ht="45" customHeight="1" hidden="1">
      <c r="C59" s="491" t="s">
        <v>701</v>
      </c>
      <c r="D59" s="486" t="s">
        <v>196</v>
      </c>
      <c r="E59" s="471" t="s">
        <v>518</v>
      </c>
      <c r="F59" s="472" t="s">
        <v>519</v>
      </c>
      <c r="G59" s="465">
        <f>'MC-DRE'!I118</f>
        <v>0</v>
      </c>
      <c r="H59" s="466" t="s">
        <v>0</v>
      </c>
      <c r="I59" s="480">
        <v>8.79</v>
      </c>
      <c r="J59" s="468">
        <f t="shared" si="0"/>
        <v>11.2</v>
      </c>
      <c r="K59" s="469">
        <f t="shared" si="1"/>
        <v>0</v>
      </c>
    </row>
    <row r="60" spans="3:11" ht="63" hidden="1">
      <c r="C60" s="491" t="s">
        <v>702</v>
      </c>
      <c r="D60" s="486" t="s">
        <v>198</v>
      </c>
      <c r="E60" s="463">
        <v>100980</v>
      </c>
      <c r="F60" s="473" t="s">
        <v>385</v>
      </c>
      <c r="G60" s="465">
        <f>'MC-DRE'!J118</f>
        <v>0</v>
      </c>
      <c r="H60" s="466" t="s">
        <v>0</v>
      </c>
      <c r="I60" s="481">
        <v>6.47</v>
      </c>
      <c r="J60" s="468">
        <f aca="true" t="shared" si="2" ref="J60:J87">ROUND(I60*(1+$J$9),2)</f>
        <v>8.25</v>
      </c>
      <c r="K60" s="469">
        <f aca="true" t="shared" si="3" ref="K60:K87">ROUND(J60*G60,2)</f>
        <v>0</v>
      </c>
    </row>
    <row r="61" spans="3:11" ht="45" customHeight="1" hidden="1">
      <c r="C61" s="491" t="s">
        <v>703</v>
      </c>
      <c r="D61" s="496" t="s">
        <v>198</v>
      </c>
      <c r="E61" s="471" t="s">
        <v>386</v>
      </c>
      <c r="F61" s="473" t="s">
        <v>387</v>
      </c>
      <c r="G61" s="465">
        <f>'MC-DRE'!K118</f>
        <v>0</v>
      </c>
      <c r="H61" s="466" t="s">
        <v>251</v>
      </c>
      <c r="I61" s="480">
        <v>2.84</v>
      </c>
      <c r="J61" s="468">
        <f t="shared" si="2"/>
        <v>3.62</v>
      </c>
      <c r="K61" s="469">
        <f t="shared" si="3"/>
        <v>0</v>
      </c>
    </row>
    <row r="62" spans="3:11" ht="45" customHeight="1" hidden="1">
      <c r="C62" s="491" t="s">
        <v>704</v>
      </c>
      <c r="D62" s="486" t="s">
        <v>198</v>
      </c>
      <c r="E62" s="463">
        <v>101616</v>
      </c>
      <c r="F62" s="477" t="s">
        <v>246</v>
      </c>
      <c r="G62" s="465">
        <f>'MC-DRE'!L118</f>
        <v>0</v>
      </c>
      <c r="H62" s="466" t="s">
        <v>2</v>
      </c>
      <c r="I62" s="480">
        <v>4.95</v>
      </c>
      <c r="J62" s="468">
        <f t="shared" si="2"/>
        <v>6.31</v>
      </c>
      <c r="K62" s="469">
        <f t="shared" si="3"/>
        <v>0</v>
      </c>
    </row>
    <row r="63" spans="3:11" ht="45" customHeight="1" hidden="1">
      <c r="C63" s="491" t="s">
        <v>705</v>
      </c>
      <c r="D63" s="486" t="s">
        <v>196</v>
      </c>
      <c r="E63" s="463">
        <v>260278</v>
      </c>
      <c r="F63" s="473" t="s">
        <v>382</v>
      </c>
      <c r="G63" s="465">
        <f>'MC-DRE'!M118</f>
        <v>0</v>
      </c>
      <c r="H63" s="465" t="s">
        <v>2</v>
      </c>
      <c r="I63" s="481">
        <v>32.11</v>
      </c>
      <c r="J63" s="468">
        <f t="shared" si="2"/>
        <v>40.93</v>
      </c>
      <c r="K63" s="469">
        <f t="shared" si="3"/>
        <v>0</v>
      </c>
    </row>
    <row r="64" spans="3:11" ht="45" customHeight="1" hidden="1">
      <c r="C64" s="491" t="s">
        <v>706</v>
      </c>
      <c r="D64" s="486" t="s">
        <v>196</v>
      </c>
      <c r="E64" s="463">
        <v>30011</v>
      </c>
      <c r="F64" s="473" t="s">
        <v>517</v>
      </c>
      <c r="G64" s="465">
        <f>'MC-DRE'!O118</f>
        <v>0</v>
      </c>
      <c r="H64" s="466" t="s">
        <v>0</v>
      </c>
      <c r="I64" s="481">
        <v>105.78</v>
      </c>
      <c r="J64" s="468">
        <f t="shared" si="2"/>
        <v>134.83</v>
      </c>
      <c r="K64" s="469">
        <f t="shared" si="3"/>
        <v>0</v>
      </c>
    </row>
    <row r="65" spans="3:11" ht="63" hidden="1">
      <c r="C65" s="491" t="s">
        <v>707</v>
      </c>
      <c r="D65" s="496" t="s">
        <v>198</v>
      </c>
      <c r="E65" s="471" t="s">
        <v>384</v>
      </c>
      <c r="F65" s="473" t="s">
        <v>640</v>
      </c>
      <c r="G65" s="465">
        <f>'MC-DRE'!P118</f>
        <v>0</v>
      </c>
      <c r="H65" s="466" t="s">
        <v>0</v>
      </c>
      <c r="I65" s="480">
        <v>17.1</v>
      </c>
      <c r="J65" s="468">
        <f t="shared" si="2"/>
        <v>21.8</v>
      </c>
      <c r="K65" s="469">
        <f t="shared" si="3"/>
        <v>0</v>
      </c>
    </row>
    <row r="66" spans="3:11" ht="45" customHeight="1" hidden="1">
      <c r="C66" s="491" t="s">
        <v>708</v>
      </c>
      <c r="D66" s="486" t="s">
        <v>198</v>
      </c>
      <c r="E66" s="463">
        <v>101579</v>
      </c>
      <c r="F66" s="473" t="s">
        <v>639</v>
      </c>
      <c r="G66" s="465">
        <f>'MC-DRE'!Q118</f>
        <v>0</v>
      </c>
      <c r="H66" s="465" t="s">
        <v>2</v>
      </c>
      <c r="I66" s="481">
        <v>35.77</v>
      </c>
      <c r="J66" s="468">
        <f t="shared" si="2"/>
        <v>45.59</v>
      </c>
      <c r="K66" s="469">
        <f t="shared" si="3"/>
        <v>0</v>
      </c>
    </row>
    <row r="67" spans="3:11" ht="63" hidden="1">
      <c r="C67" s="491" t="s">
        <v>709</v>
      </c>
      <c r="D67" s="496" t="s">
        <v>198</v>
      </c>
      <c r="E67" s="470">
        <v>92828</v>
      </c>
      <c r="F67" s="472" t="s">
        <v>470</v>
      </c>
      <c r="G67" s="465">
        <f>'MC-DRE'!R118</f>
        <v>0</v>
      </c>
      <c r="H67" s="466" t="s">
        <v>3</v>
      </c>
      <c r="I67" s="480">
        <v>151.66</v>
      </c>
      <c r="J67" s="468">
        <f t="shared" si="2"/>
        <v>193.31</v>
      </c>
      <c r="K67" s="469">
        <f t="shared" si="3"/>
        <v>0</v>
      </c>
    </row>
    <row r="68" spans="3:11" ht="45" customHeight="1" hidden="1">
      <c r="C68" s="491" t="s">
        <v>710</v>
      </c>
      <c r="D68" s="537" t="s">
        <v>198</v>
      </c>
      <c r="E68" s="538" t="s">
        <v>478</v>
      </c>
      <c r="F68" s="531" t="s">
        <v>493</v>
      </c>
      <c r="G68" s="532">
        <f>'MC-DRE'!E146</f>
        <v>0</v>
      </c>
      <c r="H68" s="533" t="s">
        <v>342</v>
      </c>
      <c r="I68" s="534">
        <v>940.41</v>
      </c>
      <c r="J68" s="535">
        <f t="shared" si="2"/>
        <v>1198.65</v>
      </c>
      <c r="K68" s="536">
        <f t="shared" si="3"/>
        <v>0</v>
      </c>
    </row>
    <row r="69" spans="3:11" ht="45" customHeight="1" hidden="1">
      <c r="C69" s="491" t="s">
        <v>711</v>
      </c>
      <c r="D69" s="486" t="s">
        <v>196</v>
      </c>
      <c r="E69" s="471" t="s">
        <v>518</v>
      </c>
      <c r="F69" s="472" t="s">
        <v>519</v>
      </c>
      <c r="G69" s="465">
        <f>'MC-DRE'!I146</f>
        <v>0</v>
      </c>
      <c r="H69" s="466" t="s">
        <v>0</v>
      </c>
      <c r="I69" s="480">
        <v>8.79</v>
      </c>
      <c r="J69" s="468">
        <f t="shared" si="2"/>
        <v>11.2</v>
      </c>
      <c r="K69" s="469">
        <f t="shared" si="3"/>
        <v>0</v>
      </c>
    </row>
    <row r="70" spans="3:11" ht="63" hidden="1">
      <c r="C70" s="491" t="s">
        <v>712</v>
      </c>
      <c r="D70" s="486" t="s">
        <v>198</v>
      </c>
      <c r="E70" s="463">
        <v>100980</v>
      </c>
      <c r="F70" s="473" t="s">
        <v>385</v>
      </c>
      <c r="G70" s="465">
        <f>'MC-DRE'!J146</f>
        <v>0</v>
      </c>
      <c r="H70" s="466" t="s">
        <v>0</v>
      </c>
      <c r="I70" s="481">
        <v>6.47</v>
      </c>
      <c r="J70" s="468">
        <f t="shared" si="2"/>
        <v>8.25</v>
      </c>
      <c r="K70" s="469">
        <f t="shared" si="3"/>
        <v>0</v>
      </c>
    </row>
    <row r="71" spans="3:11" ht="45" customHeight="1" hidden="1">
      <c r="C71" s="491" t="s">
        <v>713</v>
      </c>
      <c r="D71" s="496" t="s">
        <v>198</v>
      </c>
      <c r="E71" s="471" t="s">
        <v>386</v>
      </c>
      <c r="F71" s="473" t="s">
        <v>387</v>
      </c>
      <c r="G71" s="465">
        <f>'MC-DRE'!K146</f>
        <v>0</v>
      </c>
      <c r="H71" s="466" t="s">
        <v>251</v>
      </c>
      <c r="I71" s="480">
        <v>2.84</v>
      </c>
      <c r="J71" s="468">
        <f>ROUND(I71*(1+$J$9),2)</f>
        <v>3.62</v>
      </c>
      <c r="K71" s="469">
        <f>ROUND(J71*G71,2)</f>
        <v>0</v>
      </c>
    </row>
    <row r="72" spans="3:11" ht="45" customHeight="1" hidden="1">
      <c r="C72" s="491" t="s">
        <v>714</v>
      </c>
      <c r="D72" s="486" t="s">
        <v>198</v>
      </c>
      <c r="E72" s="463">
        <v>101616</v>
      </c>
      <c r="F72" s="477" t="s">
        <v>246</v>
      </c>
      <c r="G72" s="465">
        <f>'MC-DRE'!L146</f>
        <v>0</v>
      </c>
      <c r="H72" s="466" t="s">
        <v>2</v>
      </c>
      <c r="I72" s="480">
        <v>4.95</v>
      </c>
      <c r="J72" s="468">
        <f t="shared" si="2"/>
        <v>6.31</v>
      </c>
      <c r="K72" s="469">
        <f t="shared" si="3"/>
        <v>0</v>
      </c>
    </row>
    <row r="73" spans="3:11" ht="45" customHeight="1" hidden="1">
      <c r="C73" s="491" t="s">
        <v>715</v>
      </c>
      <c r="D73" s="486" t="s">
        <v>196</v>
      </c>
      <c r="E73" s="463">
        <v>260278</v>
      </c>
      <c r="F73" s="473" t="s">
        <v>382</v>
      </c>
      <c r="G73" s="465">
        <f>'MC-DRE'!M146</f>
        <v>0</v>
      </c>
      <c r="H73" s="465" t="s">
        <v>2</v>
      </c>
      <c r="I73" s="481">
        <v>32.11</v>
      </c>
      <c r="J73" s="468">
        <f t="shared" si="2"/>
        <v>40.93</v>
      </c>
      <c r="K73" s="469">
        <f t="shared" si="3"/>
        <v>0</v>
      </c>
    </row>
    <row r="74" spans="3:11" ht="45" customHeight="1" hidden="1">
      <c r="C74" s="491" t="s">
        <v>716</v>
      </c>
      <c r="D74" s="486" t="s">
        <v>196</v>
      </c>
      <c r="E74" s="463">
        <v>30011</v>
      </c>
      <c r="F74" s="473" t="s">
        <v>517</v>
      </c>
      <c r="G74" s="465">
        <f>'MC-DRE'!O146</f>
        <v>0</v>
      </c>
      <c r="H74" s="466" t="s">
        <v>0</v>
      </c>
      <c r="I74" s="481">
        <v>105.78</v>
      </c>
      <c r="J74" s="468">
        <f t="shared" si="2"/>
        <v>134.83</v>
      </c>
      <c r="K74" s="469">
        <f t="shared" si="3"/>
        <v>0</v>
      </c>
    </row>
    <row r="75" spans="3:11" ht="63" hidden="1">
      <c r="C75" s="491" t="s">
        <v>717</v>
      </c>
      <c r="D75" s="496" t="s">
        <v>198</v>
      </c>
      <c r="E75" s="471" t="s">
        <v>384</v>
      </c>
      <c r="F75" s="473" t="s">
        <v>640</v>
      </c>
      <c r="G75" s="465">
        <f>'MC-DRE'!P146</f>
        <v>0</v>
      </c>
      <c r="H75" s="466" t="s">
        <v>0</v>
      </c>
      <c r="I75" s="480">
        <v>17.1</v>
      </c>
      <c r="J75" s="468">
        <f t="shared" si="2"/>
        <v>21.8</v>
      </c>
      <c r="K75" s="469">
        <f t="shared" si="3"/>
        <v>0</v>
      </c>
    </row>
    <row r="76" spans="3:11" ht="45" customHeight="1" hidden="1">
      <c r="C76" s="491" t="s">
        <v>718</v>
      </c>
      <c r="D76" s="486" t="s">
        <v>198</v>
      </c>
      <c r="E76" s="463">
        <v>101579</v>
      </c>
      <c r="F76" s="473" t="s">
        <v>639</v>
      </c>
      <c r="G76" s="465">
        <f>'MC-DRE'!Q146</f>
        <v>0</v>
      </c>
      <c r="H76" s="465" t="s">
        <v>2</v>
      </c>
      <c r="I76" s="481">
        <v>35.77</v>
      </c>
      <c r="J76" s="468">
        <f t="shared" si="2"/>
        <v>45.59</v>
      </c>
      <c r="K76" s="469">
        <f t="shared" si="3"/>
        <v>0</v>
      </c>
    </row>
    <row r="77" spans="3:11" ht="63" hidden="1">
      <c r="C77" s="491" t="s">
        <v>719</v>
      </c>
      <c r="D77" s="496" t="s">
        <v>198</v>
      </c>
      <c r="E77" s="470">
        <v>92830</v>
      </c>
      <c r="F77" s="472" t="s">
        <v>464</v>
      </c>
      <c r="G77" s="465">
        <f>'MC-DRE'!R146</f>
        <v>0</v>
      </c>
      <c r="H77" s="466" t="s">
        <v>3</v>
      </c>
      <c r="I77" s="480">
        <v>188.12</v>
      </c>
      <c r="J77" s="468">
        <f t="shared" si="2"/>
        <v>239.78</v>
      </c>
      <c r="K77" s="469">
        <f t="shared" si="3"/>
        <v>0</v>
      </c>
    </row>
    <row r="78" spans="3:11" ht="45" customHeight="1" hidden="1">
      <c r="C78" s="491" t="s">
        <v>720</v>
      </c>
      <c r="D78" s="537" t="s">
        <v>198</v>
      </c>
      <c r="E78" s="538" t="s">
        <v>479</v>
      </c>
      <c r="F78" s="531" t="s">
        <v>494</v>
      </c>
      <c r="G78" s="532">
        <f>'MC-DRE'!E174</f>
        <v>0</v>
      </c>
      <c r="H78" s="533" t="s">
        <v>342</v>
      </c>
      <c r="I78" s="534">
        <v>1428.17</v>
      </c>
      <c r="J78" s="535">
        <f t="shared" si="2"/>
        <v>1820.35</v>
      </c>
      <c r="K78" s="536">
        <f t="shared" si="3"/>
        <v>0</v>
      </c>
    </row>
    <row r="79" spans="3:11" ht="45" customHeight="1" hidden="1">
      <c r="C79" s="491" t="s">
        <v>721</v>
      </c>
      <c r="D79" s="486" t="s">
        <v>196</v>
      </c>
      <c r="E79" s="471" t="s">
        <v>518</v>
      </c>
      <c r="F79" s="472" t="s">
        <v>519</v>
      </c>
      <c r="G79" s="465">
        <f>'MC-DRE'!I174</f>
        <v>0</v>
      </c>
      <c r="H79" s="466" t="s">
        <v>0</v>
      </c>
      <c r="I79" s="480">
        <v>8.79</v>
      </c>
      <c r="J79" s="468">
        <f t="shared" si="2"/>
        <v>11.2</v>
      </c>
      <c r="K79" s="469">
        <f t="shared" si="3"/>
        <v>0</v>
      </c>
    </row>
    <row r="80" spans="3:11" ht="63" hidden="1">
      <c r="C80" s="491" t="s">
        <v>722</v>
      </c>
      <c r="D80" s="486" t="s">
        <v>198</v>
      </c>
      <c r="E80" s="463">
        <v>100980</v>
      </c>
      <c r="F80" s="473" t="s">
        <v>385</v>
      </c>
      <c r="G80" s="465">
        <f>'MC-DRE'!J174</f>
        <v>0</v>
      </c>
      <c r="H80" s="466" t="s">
        <v>0</v>
      </c>
      <c r="I80" s="481">
        <v>6.47</v>
      </c>
      <c r="J80" s="468">
        <f t="shared" si="2"/>
        <v>8.25</v>
      </c>
      <c r="K80" s="469">
        <f t="shared" si="3"/>
        <v>0</v>
      </c>
    </row>
    <row r="81" spans="3:11" ht="45" customHeight="1" hidden="1">
      <c r="C81" s="491" t="s">
        <v>723</v>
      </c>
      <c r="D81" s="496" t="s">
        <v>198</v>
      </c>
      <c r="E81" s="471" t="s">
        <v>386</v>
      </c>
      <c r="F81" s="473" t="s">
        <v>387</v>
      </c>
      <c r="G81" s="465">
        <f>'MC-DRE'!K174</f>
        <v>0</v>
      </c>
      <c r="H81" s="466" t="s">
        <v>251</v>
      </c>
      <c r="I81" s="480">
        <v>2.84</v>
      </c>
      <c r="J81" s="468">
        <f t="shared" si="2"/>
        <v>3.62</v>
      </c>
      <c r="K81" s="469">
        <f t="shared" si="3"/>
        <v>0</v>
      </c>
    </row>
    <row r="82" spans="3:11" ht="45" customHeight="1" hidden="1">
      <c r="C82" s="491" t="s">
        <v>724</v>
      </c>
      <c r="D82" s="486" t="s">
        <v>198</v>
      </c>
      <c r="E82" s="463">
        <v>101616</v>
      </c>
      <c r="F82" s="477" t="s">
        <v>246</v>
      </c>
      <c r="G82" s="465">
        <f>'MC-DRE'!L174</f>
        <v>0</v>
      </c>
      <c r="H82" s="466" t="s">
        <v>2</v>
      </c>
      <c r="I82" s="480">
        <v>4.95</v>
      </c>
      <c r="J82" s="468">
        <f t="shared" si="2"/>
        <v>6.31</v>
      </c>
      <c r="K82" s="469">
        <f t="shared" si="3"/>
        <v>0</v>
      </c>
    </row>
    <row r="83" spans="3:11" ht="45" customHeight="1" hidden="1">
      <c r="C83" s="491" t="s">
        <v>725</v>
      </c>
      <c r="D83" s="486" t="s">
        <v>196</v>
      </c>
      <c r="E83" s="463">
        <v>260278</v>
      </c>
      <c r="F83" s="473" t="s">
        <v>382</v>
      </c>
      <c r="G83" s="465">
        <f>'MC-DRE'!M174</f>
        <v>0</v>
      </c>
      <c r="H83" s="465" t="s">
        <v>2</v>
      </c>
      <c r="I83" s="481">
        <v>32.11</v>
      </c>
      <c r="J83" s="468">
        <f t="shared" si="2"/>
        <v>40.93</v>
      </c>
      <c r="K83" s="469">
        <f t="shared" si="3"/>
        <v>0</v>
      </c>
    </row>
    <row r="84" spans="3:11" ht="45" customHeight="1" hidden="1">
      <c r="C84" s="491" t="s">
        <v>726</v>
      </c>
      <c r="D84" s="486" t="s">
        <v>196</v>
      </c>
      <c r="E84" s="463">
        <v>30011</v>
      </c>
      <c r="F84" s="473" t="s">
        <v>517</v>
      </c>
      <c r="G84" s="465">
        <f>'MC-DRE'!O174</f>
        <v>0</v>
      </c>
      <c r="H84" s="466" t="s">
        <v>0</v>
      </c>
      <c r="I84" s="481">
        <v>105.78</v>
      </c>
      <c r="J84" s="468">
        <f t="shared" si="2"/>
        <v>134.83</v>
      </c>
      <c r="K84" s="469">
        <f t="shared" si="3"/>
        <v>0</v>
      </c>
    </row>
    <row r="85" spans="3:11" ht="63" hidden="1">
      <c r="C85" s="491" t="s">
        <v>727</v>
      </c>
      <c r="D85" s="496" t="s">
        <v>198</v>
      </c>
      <c r="E85" s="471" t="s">
        <v>384</v>
      </c>
      <c r="F85" s="473" t="s">
        <v>640</v>
      </c>
      <c r="G85" s="465">
        <f>'MC-DRE'!P174</f>
        <v>0</v>
      </c>
      <c r="H85" s="466" t="s">
        <v>0</v>
      </c>
      <c r="I85" s="480">
        <v>17.1</v>
      </c>
      <c r="J85" s="468">
        <f t="shared" si="2"/>
        <v>21.8</v>
      </c>
      <c r="K85" s="469">
        <f t="shared" si="3"/>
        <v>0</v>
      </c>
    </row>
    <row r="86" spans="3:11" ht="45" customHeight="1" hidden="1">
      <c r="C86" s="491" t="s">
        <v>728</v>
      </c>
      <c r="D86" s="486" t="s">
        <v>198</v>
      </c>
      <c r="E86" s="463">
        <v>101579</v>
      </c>
      <c r="F86" s="473" t="s">
        <v>639</v>
      </c>
      <c r="G86" s="465">
        <f>'MC-DRE'!Q174</f>
        <v>0</v>
      </c>
      <c r="H86" s="465" t="s">
        <v>2</v>
      </c>
      <c r="I86" s="481">
        <v>35.77</v>
      </c>
      <c r="J86" s="468">
        <f t="shared" si="2"/>
        <v>45.59</v>
      </c>
      <c r="K86" s="469">
        <f t="shared" si="3"/>
        <v>0</v>
      </c>
    </row>
    <row r="87" spans="3:11" ht="63" hidden="1">
      <c r="C87" s="491" t="s">
        <v>729</v>
      </c>
      <c r="D87" s="496" t="s">
        <v>198</v>
      </c>
      <c r="E87" s="470">
        <v>92832</v>
      </c>
      <c r="F87" s="472" t="s">
        <v>465</v>
      </c>
      <c r="G87" s="465">
        <f>'MC-DRE'!R174</f>
        <v>0</v>
      </c>
      <c r="H87" s="466" t="s">
        <v>3</v>
      </c>
      <c r="I87" s="480">
        <v>250.08</v>
      </c>
      <c r="J87" s="468">
        <f t="shared" si="2"/>
        <v>318.75</v>
      </c>
      <c r="K87" s="469">
        <f t="shared" si="3"/>
        <v>0</v>
      </c>
    </row>
    <row r="88" spans="3:11" ht="45" customHeight="1">
      <c r="C88" s="478" t="s">
        <v>70</v>
      </c>
      <c r="D88" s="537"/>
      <c r="E88" s="538"/>
      <c r="F88" s="531" t="s">
        <v>248</v>
      </c>
      <c r="G88" s="532"/>
      <c r="H88" s="539"/>
      <c r="I88" s="534"/>
      <c r="J88" s="535"/>
      <c r="K88" s="536"/>
    </row>
    <row r="89" spans="3:11" ht="45" customHeight="1">
      <c r="C89" s="491" t="s">
        <v>730</v>
      </c>
      <c r="D89" s="486" t="s">
        <v>198</v>
      </c>
      <c r="E89" s="471" t="s">
        <v>232</v>
      </c>
      <c r="F89" s="472" t="s">
        <v>233</v>
      </c>
      <c r="G89" s="465">
        <f>'MC-DRE'!C198</f>
        <v>14</v>
      </c>
      <c r="H89" s="470" t="s">
        <v>342</v>
      </c>
      <c r="I89" s="480">
        <v>1433.26</v>
      </c>
      <c r="J89" s="468">
        <f>ROUND(I89*(1+$J$9),2)</f>
        <v>1826.83</v>
      </c>
      <c r="K89" s="469">
        <f>ROUND(J89*G89,2)</f>
        <v>25575.62</v>
      </c>
    </row>
    <row r="90" spans="3:11" ht="45" customHeight="1">
      <c r="C90" s="478" t="s">
        <v>238</v>
      </c>
      <c r="D90" s="537"/>
      <c r="E90" s="538"/>
      <c r="F90" s="531" t="s">
        <v>480</v>
      </c>
      <c r="G90" s="532"/>
      <c r="H90" s="539"/>
      <c r="I90" s="534"/>
      <c r="J90" s="535"/>
      <c r="K90" s="536"/>
    </row>
    <row r="91" spans="3:12" ht="45" customHeight="1">
      <c r="C91" s="491" t="s">
        <v>731</v>
      </c>
      <c r="D91" s="486" t="s">
        <v>481</v>
      </c>
      <c r="E91" s="471">
        <v>11135</v>
      </c>
      <c r="F91" s="472" t="s">
        <v>482</v>
      </c>
      <c r="G91" s="465">
        <f>'MC-DRE'!C222</f>
        <v>14</v>
      </c>
      <c r="H91" s="470" t="s">
        <v>342</v>
      </c>
      <c r="I91" s="480">
        <v>187.35</v>
      </c>
      <c r="J91" s="468">
        <f>ROUND(I91*(1+$J$9),2)</f>
        <v>238.8</v>
      </c>
      <c r="K91" s="469">
        <f>ROUND(J91*G91,2)</f>
        <v>3343.2</v>
      </c>
      <c r="L91" s="482" t="s">
        <v>520</v>
      </c>
    </row>
    <row r="92" spans="3:11" ht="45" customHeight="1">
      <c r="C92" s="478" t="s">
        <v>732</v>
      </c>
      <c r="D92" s="537"/>
      <c r="E92" s="538"/>
      <c r="F92" s="531" t="s">
        <v>249</v>
      </c>
      <c r="G92" s="532"/>
      <c r="H92" s="539"/>
      <c r="I92" s="534"/>
      <c r="J92" s="535"/>
      <c r="K92" s="536"/>
    </row>
    <row r="93" spans="3:11" ht="45" customHeight="1">
      <c r="C93" s="491" t="s">
        <v>733</v>
      </c>
      <c r="D93" s="486" t="s">
        <v>196</v>
      </c>
      <c r="E93" s="471" t="s">
        <v>234</v>
      </c>
      <c r="F93" s="472" t="s">
        <v>235</v>
      </c>
      <c r="G93" s="465">
        <f>'MC-DRE'!C246</f>
        <v>5</v>
      </c>
      <c r="H93" s="470" t="s">
        <v>342</v>
      </c>
      <c r="I93" s="480">
        <v>5032.69</v>
      </c>
      <c r="J93" s="468">
        <f>ROUND(I93*(1+$J$9),2)</f>
        <v>6414.67</v>
      </c>
      <c r="K93" s="469">
        <f>ROUND(J93*G93,2)</f>
        <v>32073.35</v>
      </c>
    </row>
    <row r="94" spans="3:11" ht="45" customHeight="1">
      <c r="C94" s="478" t="s">
        <v>734</v>
      </c>
      <c r="D94" s="537"/>
      <c r="E94" s="538"/>
      <c r="F94" s="531" t="s">
        <v>483</v>
      </c>
      <c r="G94" s="532"/>
      <c r="H94" s="539"/>
      <c r="I94" s="534"/>
      <c r="J94" s="535"/>
      <c r="K94" s="536"/>
    </row>
    <row r="95" spans="3:11" ht="45" customHeight="1">
      <c r="C95" s="491" t="s">
        <v>735</v>
      </c>
      <c r="D95" s="486" t="s">
        <v>198</v>
      </c>
      <c r="E95" s="471" t="s">
        <v>484</v>
      </c>
      <c r="F95" s="472" t="s">
        <v>485</v>
      </c>
      <c r="G95" s="465">
        <f>'MC-DRE'!C270</f>
        <v>5</v>
      </c>
      <c r="H95" s="470" t="s">
        <v>342</v>
      </c>
      <c r="I95" s="480">
        <v>91.4</v>
      </c>
      <c r="J95" s="468">
        <f>ROUND(I95*(1+$J$9),2)</f>
        <v>116.5</v>
      </c>
      <c r="K95" s="469">
        <f>ROUND(J95*G95,2)</f>
        <v>582.5</v>
      </c>
    </row>
    <row r="96" spans="3:11" ht="45" customHeight="1">
      <c r="C96" s="478" t="s">
        <v>736</v>
      </c>
      <c r="D96" s="537"/>
      <c r="E96" s="538"/>
      <c r="F96" s="531" t="s">
        <v>542</v>
      </c>
      <c r="G96" s="532"/>
      <c r="H96" s="539"/>
      <c r="I96" s="534"/>
      <c r="J96" s="535"/>
      <c r="K96" s="536"/>
    </row>
    <row r="97" spans="3:11" ht="45" customHeight="1">
      <c r="C97" s="491" t="s">
        <v>737</v>
      </c>
      <c r="D97" s="486" t="s">
        <v>196</v>
      </c>
      <c r="E97" s="471" t="s">
        <v>234</v>
      </c>
      <c r="F97" s="472" t="s">
        <v>543</v>
      </c>
      <c r="G97" s="465">
        <f>'MC-DRE'!C294</f>
        <v>1</v>
      </c>
      <c r="H97" s="470" t="s">
        <v>342</v>
      </c>
      <c r="I97" s="480">
        <v>5032.69</v>
      </c>
      <c r="J97" s="468">
        <f>ROUND(I97*(1+$J$9),2)</f>
        <v>6414.67</v>
      </c>
      <c r="K97" s="469">
        <f>ROUND(J97*G97,2)</f>
        <v>6414.67</v>
      </c>
    </row>
    <row r="98" spans="3:12" ht="34.5" customHeight="1">
      <c r="C98" s="600" t="s">
        <v>13</v>
      </c>
      <c r="D98" s="601"/>
      <c r="E98" s="601"/>
      <c r="F98" s="601"/>
      <c r="G98" s="601"/>
      <c r="H98" s="601"/>
      <c r="I98" s="601"/>
      <c r="J98" s="602"/>
      <c r="K98" s="483">
        <f>SUM(K28:K97)</f>
        <v>247730.28</v>
      </c>
      <c r="L98" s="523"/>
    </row>
    <row r="99" spans="3:11" ht="27.75" customHeight="1" hidden="1">
      <c r="C99" s="484">
        <v>5</v>
      </c>
      <c r="D99" s="516"/>
      <c r="E99" s="516"/>
      <c r="F99" s="485" t="s">
        <v>17</v>
      </c>
      <c r="G99" s="603"/>
      <c r="H99" s="603"/>
      <c r="I99" s="603"/>
      <c r="J99" s="603"/>
      <c r="K99" s="604"/>
    </row>
    <row r="100" spans="3:11" ht="45" customHeight="1" hidden="1">
      <c r="C100" s="524" t="s">
        <v>15</v>
      </c>
      <c r="D100" s="486" t="s">
        <v>196</v>
      </c>
      <c r="E100" s="486">
        <v>10008</v>
      </c>
      <c r="F100" s="473" t="s">
        <v>521</v>
      </c>
      <c r="G100" s="474">
        <f>'MC-TER'!E34</f>
        <v>0</v>
      </c>
      <c r="H100" s="465" t="s">
        <v>2</v>
      </c>
      <c r="I100" s="487">
        <v>2.05</v>
      </c>
      <c r="J100" s="468">
        <f>ROUND(I100*(1+$J$9),2)</f>
        <v>2.61</v>
      </c>
      <c r="K100" s="469">
        <f>ROUND(J100*G100,2)</f>
        <v>0</v>
      </c>
    </row>
    <row r="101" spans="3:12" ht="45" customHeight="1" hidden="1">
      <c r="C101" s="524" t="s">
        <v>154</v>
      </c>
      <c r="D101" s="486" t="s">
        <v>198</v>
      </c>
      <c r="E101" s="486">
        <v>101116</v>
      </c>
      <c r="F101" s="473" t="s">
        <v>530</v>
      </c>
      <c r="G101" s="474">
        <f>'MC-TER'!G34</f>
        <v>0</v>
      </c>
      <c r="H101" s="465" t="s">
        <v>0</v>
      </c>
      <c r="I101" s="487">
        <v>2.21</v>
      </c>
      <c r="J101" s="468">
        <f>ROUND(I101*(1+$J$9),2)</f>
        <v>2.82</v>
      </c>
      <c r="K101" s="469">
        <f>ROUND(J101*G101,2)</f>
        <v>0</v>
      </c>
      <c r="L101" s="523"/>
    </row>
    <row r="102" spans="3:11" ht="61.5" customHeight="1" hidden="1">
      <c r="C102" s="524" t="s">
        <v>155</v>
      </c>
      <c r="D102" s="486" t="s">
        <v>198</v>
      </c>
      <c r="E102" s="463">
        <v>100980</v>
      </c>
      <c r="F102" s="473" t="s">
        <v>385</v>
      </c>
      <c r="G102" s="465">
        <f>'MC-TER'!H34</f>
        <v>0</v>
      </c>
      <c r="H102" s="466" t="s">
        <v>0</v>
      </c>
      <c r="I102" s="481">
        <v>6.47</v>
      </c>
      <c r="J102" s="468">
        <f>ROUND(I102*(1+$J$9),2)</f>
        <v>8.25</v>
      </c>
      <c r="K102" s="469">
        <f>ROUND(J102*G102,2)</f>
        <v>0</v>
      </c>
    </row>
    <row r="103" spans="3:12" ht="45" customHeight="1" hidden="1">
      <c r="C103" s="524" t="s">
        <v>495</v>
      </c>
      <c r="D103" s="470" t="s">
        <v>198</v>
      </c>
      <c r="E103" s="471" t="s">
        <v>386</v>
      </c>
      <c r="F103" s="473" t="s">
        <v>387</v>
      </c>
      <c r="G103" s="465">
        <f>'MC-TER'!I34</f>
        <v>0</v>
      </c>
      <c r="H103" s="466" t="s">
        <v>251</v>
      </c>
      <c r="I103" s="480">
        <v>2.84</v>
      </c>
      <c r="J103" s="468">
        <f>ROUND(I103*(1+$J$9),2)</f>
        <v>3.62</v>
      </c>
      <c r="K103" s="469">
        <f>ROUND(J103*G103,2)</f>
        <v>0</v>
      </c>
      <c r="L103" s="523"/>
    </row>
    <row r="104" spans="3:11" ht="27.75" customHeight="1" hidden="1">
      <c r="C104" s="600" t="s">
        <v>18</v>
      </c>
      <c r="D104" s="601"/>
      <c r="E104" s="601"/>
      <c r="F104" s="601"/>
      <c r="G104" s="601"/>
      <c r="H104" s="601"/>
      <c r="I104" s="601"/>
      <c r="J104" s="602"/>
      <c r="K104" s="483">
        <f>SUM(K100:K103)</f>
        <v>0</v>
      </c>
    </row>
    <row r="105" spans="3:12" ht="27.75" customHeight="1" hidden="1">
      <c r="C105" s="484">
        <v>6</v>
      </c>
      <c r="D105" s="516"/>
      <c r="E105" s="516"/>
      <c r="F105" s="485" t="s">
        <v>34</v>
      </c>
      <c r="G105" s="603"/>
      <c r="H105" s="603"/>
      <c r="I105" s="603"/>
      <c r="J105" s="603"/>
      <c r="K105" s="604"/>
      <c r="L105" s="523"/>
    </row>
    <row r="106" spans="3:11" ht="79.5" customHeight="1" hidden="1">
      <c r="C106" s="524" t="s">
        <v>192</v>
      </c>
      <c r="D106" s="486" t="s">
        <v>197</v>
      </c>
      <c r="E106" s="486" t="s">
        <v>221</v>
      </c>
      <c r="F106" s="473" t="s">
        <v>250</v>
      </c>
      <c r="G106" s="474">
        <f>'MC-TER'!K34</f>
        <v>0</v>
      </c>
      <c r="H106" s="465" t="s">
        <v>0</v>
      </c>
      <c r="I106" s="513">
        <f>'CPU-III'!G29</f>
        <v>165.42</v>
      </c>
      <c r="J106" s="468">
        <f>ROUND(I106*(1+$J$9),2)</f>
        <v>210.84</v>
      </c>
      <c r="K106" s="469">
        <f aca="true" t="shared" si="4" ref="K106:K113">ROUND(J106*G106,2)</f>
        <v>0</v>
      </c>
    </row>
    <row r="107" spans="3:11" ht="79.5" customHeight="1" hidden="1">
      <c r="C107" s="524" t="s">
        <v>193</v>
      </c>
      <c r="D107" s="486" t="s">
        <v>198</v>
      </c>
      <c r="E107" s="463">
        <v>100980</v>
      </c>
      <c r="F107" s="473" t="s">
        <v>385</v>
      </c>
      <c r="G107" s="465">
        <f>'MC-TER'!L34</f>
        <v>0</v>
      </c>
      <c r="H107" s="466" t="s">
        <v>0</v>
      </c>
      <c r="I107" s="514">
        <v>6.47</v>
      </c>
      <c r="J107" s="468">
        <f>ROUND(I107*(1+$J$9),2)</f>
        <v>8.25</v>
      </c>
      <c r="K107" s="469">
        <f t="shared" si="4"/>
        <v>0</v>
      </c>
    </row>
    <row r="108" spans="3:11" ht="45" customHeight="1" hidden="1">
      <c r="C108" s="524" t="s">
        <v>650</v>
      </c>
      <c r="D108" s="486" t="s">
        <v>198</v>
      </c>
      <c r="E108" s="486">
        <v>100574</v>
      </c>
      <c r="F108" s="473" t="s">
        <v>217</v>
      </c>
      <c r="G108" s="474">
        <f>'MC-TER'!M34</f>
        <v>0</v>
      </c>
      <c r="H108" s="465" t="s">
        <v>0</v>
      </c>
      <c r="I108" s="513">
        <v>1.42</v>
      </c>
      <c r="J108" s="468">
        <f>ROUND(I108*(1+$J$9),2)</f>
        <v>1.81</v>
      </c>
      <c r="K108" s="469">
        <f t="shared" si="4"/>
        <v>0</v>
      </c>
    </row>
    <row r="109" spans="3:11" ht="45" customHeight="1" hidden="1">
      <c r="C109" s="524" t="s">
        <v>651</v>
      </c>
      <c r="D109" s="486" t="s">
        <v>198</v>
      </c>
      <c r="E109" s="486" t="s">
        <v>580</v>
      </c>
      <c r="F109" s="473" t="s">
        <v>581</v>
      </c>
      <c r="G109" s="474">
        <f>'MC-TER'!N34</f>
        <v>0</v>
      </c>
      <c r="H109" s="465" t="s">
        <v>582</v>
      </c>
      <c r="I109" s="513">
        <v>1.94</v>
      </c>
      <c r="J109" s="468">
        <v>2.29</v>
      </c>
      <c r="K109" s="469">
        <f t="shared" si="4"/>
        <v>0</v>
      </c>
    </row>
    <row r="110" spans="3:11" ht="79.5" customHeight="1" hidden="1">
      <c r="C110" s="524" t="s">
        <v>652</v>
      </c>
      <c r="D110" s="486" t="s">
        <v>197</v>
      </c>
      <c r="E110" s="486" t="s">
        <v>311</v>
      </c>
      <c r="F110" s="473" t="s">
        <v>662</v>
      </c>
      <c r="G110" s="474">
        <f>'MC-TER'!P34</f>
        <v>0</v>
      </c>
      <c r="H110" s="465" t="s">
        <v>507</v>
      </c>
      <c r="I110" s="513">
        <f>'CPU-IV'!G28</f>
        <v>83.7</v>
      </c>
      <c r="J110" s="468">
        <f>ROUND(I110*(1+$J$9),2)</f>
        <v>106.68</v>
      </c>
      <c r="K110" s="469">
        <f t="shared" si="4"/>
        <v>0</v>
      </c>
    </row>
    <row r="111" spans="3:11" ht="79.5" customHeight="1" hidden="1">
      <c r="C111" s="524" t="s">
        <v>653</v>
      </c>
      <c r="D111" s="486" t="s">
        <v>198</v>
      </c>
      <c r="E111" s="463">
        <v>100980</v>
      </c>
      <c r="F111" s="473" t="s">
        <v>385</v>
      </c>
      <c r="G111" s="465">
        <f>'MC-TER'!Q34</f>
        <v>0</v>
      </c>
      <c r="H111" s="466" t="s">
        <v>0</v>
      </c>
      <c r="I111" s="514">
        <v>6.47</v>
      </c>
      <c r="J111" s="468">
        <f>ROUND(I111*(1+$J$9),2)</f>
        <v>8.25</v>
      </c>
      <c r="K111" s="469">
        <f t="shared" si="4"/>
        <v>0</v>
      </c>
    </row>
    <row r="112" spans="3:11" ht="45" customHeight="1" hidden="1">
      <c r="C112" s="524" t="s">
        <v>654</v>
      </c>
      <c r="D112" s="486" t="s">
        <v>198</v>
      </c>
      <c r="E112" s="486">
        <v>100574</v>
      </c>
      <c r="F112" s="473" t="s">
        <v>217</v>
      </c>
      <c r="G112" s="474">
        <f>'MC-TER'!R34</f>
        <v>0</v>
      </c>
      <c r="H112" s="465" t="s">
        <v>0</v>
      </c>
      <c r="I112" s="513">
        <v>1.42</v>
      </c>
      <c r="J112" s="468">
        <f>ROUND(I112*(1+$J$9),2)</f>
        <v>1.81</v>
      </c>
      <c r="K112" s="469">
        <f t="shared" si="4"/>
        <v>0</v>
      </c>
    </row>
    <row r="113" spans="3:11" ht="45" customHeight="1" hidden="1">
      <c r="C113" s="524" t="s">
        <v>655</v>
      </c>
      <c r="D113" s="486" t="s">
        <v>198</v>
      </c>
      <c r="E113" s="486" t="s">
        <v>580</v>
      </c>
      <c r="F113" s="473" t="s">
        <v>581</v>
      </c>
      <c r="G113" s="474">
        <f>'MC-TER'!S34</f>
        <v>0</v>
      </c>
      <c r="H113" s="465" t="s">
        <v>582</v>
      </c>
      <c r="I113" s="513">
        <v>1.94</v>
      </c>
      <c r="J113" s="468">
        <f>ROUND(I113*(1+$J$9),2)</f>
        <v>2.47</v>
      </c>
      <c r="K113" s="469">
        <f t="shared" si="4"/>
        <v>0</v>
      </c>
    </row>
    <row r="114" spans="3:12" ht="27.75" customHeight="1" hidden="1">
      <c r="C114" s="600" t="s">
        <v>156</v>
      </c>
      <c r="D114" s="601"/>
      <c r="E114" s="601"/>
      <c r="F114" s="601"/>
      <c r="G114" s="601"/>
      <c r="H114" s="601"/>
      <c r="I114" s="601"/>
      <c r="J114" s="602"/>
      <c r="K114" s="483">
        <f>SUM(K106:K113)</f>
        <v>0</v>
      </c>
      <c r="L114" s="523"/>
    </row>
    <row r="115" spans="3:11" ht="27.75" customHeight="1" hidden="1">
      <c r="C115" s="484">
        <v>7</v>
      </c>
      <c r="D115" s="516"/>
      <c r="E115" s="516"/>
      <c r="F115" s="485" t="s">
        <v>28</v>
      </c>
      <c r="G115" s="603"/>
      <c r="H115" s="603"/>
      <c r="I115" s="603"/>
      <c r="J115" s="603"/>
      <c r="K115" s="604"/>
    </row>
    <row r="116" spans="3:11" ht="45" customHeight="1" hidden="1">
      <c r="C116" s="524" t="s">
        <v>194</v>
      </c>
      <c r="D116" s="470" t="s">
        <v>197</v>
      </c>
      <c r="E116" s="486" t="s">
        <v>311</v>
      </c>
      <c r="F116" s="473" t="s">
        <v>218</v>
      </c>
      <c r="G116" s="474">
        <f>'MC-PAV'!K33</f>
        <v>0</v>
      </c>
      <c r="H116" s="466" t="s">
        <v>2</v>
      </c>
      <c r="I116" s="487">
        <f>'CPU-V'!H25</f>
        <v>11.61</v>
      </c>
      <c r="J116" s="468">
        <f aca="true" t="shared" si="5" ref="J116:J122">ROUND(I116*(1+$J$9),2)</f>
        <v>14.8</v>
      </c>
      <c r="K116" s="469">
        <f aca="true" t="shared" si="6" ref="K116:K121">ROUND(J116*G116,2)</f>
        <v>0</v>
      </c>
    </row>
    <row r="117" spans="3:11" ht="45" customHeight="1" hidden="1">
      <c r="C117" s="524" t="s">
        <v>497</v>
      </c>
      <c r="D117" s="486" t="s">
        <v>198</v>
      </c>
      <c r="E117" s="486">
        <v>96402</v>
      </c>
      <c r="F117" s="473" t="s">
        <v>219</v>
      </c>
      <c r="G117" s="474">
        <f>'MC-PAV'!L33</f>
        <v>0</v>
      </c>
      <c r="H117" s="466" t="s">
        <v>2</v>
      </c>
      <c r="I117" s="487">
        <v>2.92</v>
      </c>
      <c r="J117" s="468">
        <f t="shared" si="5"/>
        <v>3.72</v>
      </c>
      <c r="K117" s="469">
        <f t="shared" si="6"/>
        <v>0</v>
      </c>
    </row>
    <row r="118" spans="3:12" ht="45" customHeight="1" hidden="1">
      <c r="C118" s="524" t="s">
        <v>498</v>
      </c>
      <c r="D118" s="486" t="s">
        <v>197</v>
      </c>
      <c r="E118" s="486" t="s">
        <v>463</v>
      </c>
      <c r="F118" s="473" t="s">
        <v>161</v>
      </c>
      <c r="G118" s="474"/>
      <c r="H118" s="466" t="s">
        <v>29</v>
      </c>
      <c r="I118" s="487">
        <f>'CPU-VI'!G44</f>
        <v>740.59</v>
      </c>
      <c r="J118" s="468">
        <f t="shared" si="5"/>
        <v>943.96</v>
      </c>
      <c r="K118" s="469">
        <f t="shared" si="6"/>
        <v>0</v>
      </c>
      <c r="L118" s="482" t="s">
        <v>602</v>
      </c>
    </row>
    <row r="119" spans="3:11" ht="45" customHeight="1" hidden="1">
      <c r="C119" s="524" t="s">
        <v>499</v>
      </c>
      <c r="D119" s="486" t="s">
        <v>198</v>
      </c>
      <c r="E119" s="525">
        <v>93598</v>
      </c>
      <c r="F119" s="473" t="s">
        <v>383</v>
      </c>
      <c r="G119" s="474"/>
      <c r="H119" s="466" t="s">
        <v>30</v>
      </c>
      <c r="I119" s="487">
        <v>1.57</v>
      </c>
      <c r="J119" s="468">
        <f t="shared" si="5"/>
        <v>2</v>
      </c>
      <c r="K119" s="469">
        <f t="shared" si="6"/>
        <v>0</v>
      </c>
    </row>
    <row r="120" spans="3:12" ht="45" customHeight="1" hidden="1">
      <c r="C120" s="524" t="s">
        <v>498</v>
      </c>
      <c r="D120" s="486" t="s">
        <v>198</v>
      </c>
      <c r="E120" s="486" t="s">
        <v>600</v>
      </c>
      <c r="F120" s="473" t="s">
        <v>601</v>
      </c>
      <c r="G120" s="474">
        <f>'MC-PAV'!N33</f>
        <v>0</v>
      </c>
      <c r="H120" s="465" t="s">
        <v>0</v>
      </c>
      <c r="I120" s="487">
        <v>2399.23</v>
      </c>
      <c r="J120" s="468">
        <f t="shared" si="5"/>
        <v>3058.06</v>
      </c>
      <c r="K120" s="469">
        <f t="shared" si="6"/>
        <v>0</v>
      </c>
      <c r="L120" s="482" t="s">
        <v>603</v>
      </c>
    </row>
    <row r="121" spans="3:11" ht="45" customHeight="1" hidden="1">
      <c r="C121" s="524" t="s">
        <v>499</v>
      </c>
      <c r="D121" s="486" t="s">
        <v>198</v>
      </c>
      <c r="E121" s="525">
        <v>93592</v>
      </c>
      <c r="F121" s="473" t="s">
        <v>383</v>
      </c>
      <c r="G121" s="474">
        <f>'MC-PAV'!O33</f>
        <v>0</v>
      </c>
      <c r="H121" s="465" t="s">
        <v>582</v>
      </c>
      <c r="I121" s="487">
        <v>2.46</v>
      </c>
      <c r="J121" s="468">
        <f t="shared" si="5"/>
        <v>3.14</v>
      </c>
      <c r="K121" s="469">
        <f t="shared" si="6"/>
        <v>0</v>
      </c>
    </row>
    <row r="122" spans="3:11" ht="45" customHeight="1" hidden="1">
      <c r="C122" s="524" t="s">
        <v>625</v>
      </c>
      <c r="D122" s="486" t="s">
        <v>197</v>
      </c>
      <c r="E122" s="486" t="s">
        <v>626</v>
      </c>
      <c r="F122" s="473" t="s">
        <v>510</v>
      </c>
      <c r="G122" s="474">
        <f>'MC-PAV'!P33</f>
        <v>0</v>
      </c>
      <c r="H122" s="465" t="s">
        <v>507</v>
      </c>
      <c r="I122" s="487">
        <f>'CPU-VII'!G43</f>
        <v>185.11</v>
      </c>
      <c r="J122" s="468">
        <f t="shared" si="5"/>
        <v>235.94</v>
      </c>
      <c r="K122" s="469">
        <f>ROUND(J122*G122,2)</f>
        <v>0</v>
      </c>
    </row>
    <row r="123" spans="3:11" ht="27.75" customHeight="1" hidden="1">
      <c r="C123" s="600" t="s">
        <v>189</v>
      </c>
      <c r="D123" s="601"/>
      <c r="E123" s="601"/>
      <c r="F123" s="601"/>
      <c r="G123" s="601"/>
      <c r="H123" s="601"/>
      <c r="I123" s="601"/>
      <c r="J123" s="602"/>
      <c r="K123" s="483">
        <f>SUM(K116:K122)</f>
        <v>0</v>
      </c>
    </row>
    <row r="124" spans="3:13" ht="27.75" customHeight="1" hidden="1">
      <c r="C124" s="488">
        <v>8</v>
      </c>
      <c r="D124" s="489"/>
      <c r="E124" s="489"/>
      <c r="F124" s="490" t="s">
        <v>12</v>
      </c>
      <c r="G124" s="603"/>
      <c r="H124" s="603"/>
      <c r="I124" s="603"/>
      <c r="J124" s="603"/>
      <c r="K124" s="604"/>
      <c r="M124" s="482">
        <v>1</v>
      </c>
    </row>
    <row r="125" spans="3:11" ht="45" customHeight="1" hidden="1">
      <c r="C125" s="491" t="s">
        <v>500</v>
      </c>
      <c r="D125" s="496" t="s">
        <v>196</v>
      </c>
      <c r="E125" s="471" t="s">
        <v>220</v>
      </c>
      <c r="F125" s="473" t="s">
        <v>157</v>
      </c>
      <c r="G125" s="474"/>
      <c r="H125" s="466" t="s">
        <v>2</v>
      </c>
      <c r="I125" s="475">
        <v>6.83</v>
      </c>
      <c r="J125" s="468">
        <f>ROUND(I125*(1+$J$9),2)</f>
        <v>8.71</v>
      </c>
      <c r="K125" s="469">
        <f>ROUND(J125*G125,2)</f>
        <v>0</v>
      </c>
    </row>
    <row r="126" spans="3:11" ht="27.75" customHeight="1" hidden="1">
      <c r="C126" s="600" t="s">
        <v>496</v>
      </c>
      <c r="D126" s="601"/>
      <c r="E126" s="601"/>
      <c r="F126" s="601"/>
      <c r="G126" s="601"/>
      <c r="H126" s="601"/>
      <c r="I126" s="601"/>
      <c r="J126" s="602"/>
      <c r="K126" s="483">
        <f>SUM(K125)</f>
        <v>0</v>
      </c>
    </row>
    <row r="127" spans="3:13" ht="34.5" customHeight="1" thickBot="1">
      <c r="C127" s="605" t="s">
        <v>27</v>
      </c>
      <c r="D127" s="606"/>
      <c r="E127" s="606"/>
      <c r="F127" s="606"/>
      <c r="G127" s="606"/>
      <c r="H127" s="606"/>
      <c r="I127" s="606"/>
      <c r="J127" s="607"/>
      <c r="K127" s="530">
        <f>SUM(K16,K20,K26,K98,K104,K114,K123,K126)</f>
        <v>326528.41</v>
      </c>
      <c r="M127" s="482">
        <v>11</v>
      </c>
    </row>
    <row r="128" ht="21">
      <c r="N128" s="526"/>
    </row>
    <row r="129" ht="21">
      <c r="N129" s="523"/>
    </row>
    <row r="130" ht="21">
      <c r="K130" s="523"/>
    </row>
    <row r="141" spans="7:9" ht="21">
      <c r="G141" s="599"/>
      <c r="H141" s="599"/>
      <c r="I141" s="599"/>
    </row>
  </sheetData>
  <sheetProtection/>
  <mergeCells count="51">
    <mergeCell ref="O17:O18"/>
    <mergeCell ref="P17:P18"/>
    <mergeCell ref="M19:M20"/>
    <mergeCell ref="N19:N20"/>
    <mergeCell ref="O19:O20"/>
    <mergeCell ref="P19:P20"/>
    <mergeCell ref="D17:F17"/>
    <mergeCell ref="G17:K17"/>
    <mergeCell ref="C20:J20"/>
    <mergeCell ref="E8:E9"/>
    <mergeCell ref="F8:F9"/>
    <mergeCell ref="G8:G9"/>
    <mergeCell ref="H8:H9"/>
    <mergeCell ref="I8:I9"/>
    <mergeCell ref="K8:K9"/>
    <mergeCell ref="O10:O11"/>
    <mergeCell ref="P10:P11"/>
    <mergeCell ref="M15:M16"/>
    <mergeCell ref="N15:N16"/>
    <mergeCell ref="O15:O16"/>
    <mergeCell ref="P15:P16"/>
    <mergeCell ref="C126:J126"/>
    <mergeCell ref="C26:J26"/>
    <mergeCell ref="G21:K21"/>
    <mergeCell ref="G27:K27"/>
    <mergeCell ref="M10:M11"/>
    <mergeCell ref="N10:N11"/>
    <mergeCell ref="M17:M18"/>
    <mergeCell ref="N17:N18"/>
    <mergeCell ref="D10:F10"/>
    <mergeCell ref="D21:F21"/>
    <mergeCell ref="C127:J127"/>
    <mergeCell ref="C2:K2"/>
    <mergeCell ref="C6:K6"/>
    <mergeCell ref="G10:K10"/>
    <mergeCell ref="C7:K7"/>
    <mergeCell ref="G99:K99"/>
    <mergeCell ref="C98:J98"/>
    <mergeCell ref="C16:J16"/>
    <mergeCell ref="C8:C9"/>
    <mergeCell ref="D8:D9"/>
    <mergeCell ref="C3:K3"/>
    <mergeCell ref="C4:K4"/>
    <mergeCell ref="C5:K5"/>
    <mergeCell ref="G141:I141"/>
    <mergeCell ref="C123:J123"/>
    <mergeCell ref="C104:J104"/>
    <mergeCell ref="G105:K105"/>
    <mergeCell ref="C114:J114"/>
    <mergeCell ref="G124:K124"/>
    <mergeCell ref="G115:K115"/>
  </mergeCells>
  <printOptions horizontalCentered="1"/>
  <pageMargins left="0" right="0" top="0.4330708661417323" bottom="0" header="0" footer="0"/>
  <pageSetup fitToHeight="0" fitToWidth="1" horizontalDpi="600" verticalDpi="600" orientation="portrait" paperSize="9" scale="39" r:id="rId4"/>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D294"/>
  <sheetViews>
    <sheetView view="pageBreakPreview" zoomScale="40" zoomScaleNormal="48" zoomScaleSheetLayoutView="40" zoomScalePageLayoutView="0" workbookViewId="0" topLeftCell="A1">
      <selection activeCell="B9" sqref="B9:B13"/>
    </sheetView>
  </sheetViews>
  <sheetFormatPr defaultColWidth="11.57421875" defaultRowHeight="12.75"/>
  <cols>
    <col min="1" max="1" width="11.57421875" style="1" bestFit="1" customWidth="1"/>
    <col min="2" max="2" width="27.421875" style="1" bestFit="1" customWidth="1"/>
    <col min="3" max="3" width="13.421875" style="321" bestFit="1" customWidth="1"/>
    <col min="4" max="4" width="19.421875" style="321" bestFit="1" customWidth="1"/>
    <col min="5" max="5" width="19.140625" style="321" bestFit="1" customWidth="1"/>
    <col min="6" max="6" width="20.8515625" style="321" bestFit="1" customWidth="1"/>
    <col min="7" max="7" width="27.7109375" style="321" bestFit="1" customWidth="1"/>
    <col min="8" max="8" width="27.7109375" style="321" customWidth="1"/>
    <col min="9" max="9" width="45.8515625" style="1" bestFit="1" customWidth="1"/>
    <col min="10" max="10" width="29.140625" style="1" bestFit="1" customWidth="1"/>
    <col min="11" max="11" width="42.7109375" style="1" customWidth="1"/>
    <col min="12" max="12" width="30.57421875" style="1" bestFit="1" customWidth="1"/>
    <col min="13" max="13" width="29.8515625" style="1" bestFit="1" customWidth="1"/>
    <col min="14" max="14" width="30.00390625" style="1" bestFit="1" customWidth="1"/>
    <col min="15" max="15" width="25.57421875" style="1" customWidth="1"/>
    <col min="16" max="16" width="29.140625" style="1" customWidth="1"/>
    <col min="17" max="17" width="37.7109375" style="1" bestFit="1" customWidth="1"/>
    <col min="18" max="18" width="42.7109375" style="1" customWidth="1"/>
    <col min="19" max="19" width="19.00390625" style="1" customWidth="1"/>
    <col min="20" max="29" width="23.7109375" style="1" customWidth="1"/>
    <col min="30" max="30" width="25.57421875" style="1" bestFit="1" customWidth="1"/>
    <col min="31" max="16384" width="11.57421875" style="1" customWidth="1"/>
  </cols>
  <sheetData>
    <row r="1" spans="1:19" s="301" customFormat="1" ht="24.75" customHeight="1">
      <c r="A1" s="297"/>
      <c r="B1" s="298"/>
      <c r="C1" s="299"/>
      <c r="D1" s="299"/>
      <c r="E1" s="299"/>
      <c r="F1" s="299"/>
      <c r="G1" s="299"/>
      <c r="H1" s="299"/>
      <c r="I1" s="298"/>
      <c r="J1" s="298"/>
      <c r="K1" s="298"/>
      <c r="L1" s="298"/>
      <c r="M1" s="298"/>
      <c r="N1" s="298"/>
      <c r="O1" s="298"/>
      <c r="P1" s="298"/>
      <c r="Q1" s="298"/>
      <c r="R1" s="300"/>
      <c r="S1" s="323"/>
    </row>
    <row r="2" spans="1:19" s="301" customFormat="1" ht="24.75" customHeight="1">
      <c r="A2" s="661" t="s">
        <v>20</v>
      </c>
      <c r="B2" s="662"/>
      <c r="C2" s="662"/>
      <c r="D2" s="662"/>
      <c r="E2" s="662"/>
      <c r="F2" s="662"/>
      <c r="G2" s="662"/>
      <c r="H2" s="662"/>
      <c r="I2" s="662"/>
      <c r="J2" s="662"/>
      <c r="K2" s="662"/>
      <c r="L2" s="662"/>
      <c r="M2" s="662"/>
      <c r="N2" s="662"/>
      <c r="O2" s="662"/>
      <c r="P2" s="662"/>
      <c r="Q2" s="662"/>
      <c r="R2" s="663"/>
      <c r="S2" s="324"/>
    </row>
    <row r="3" spans="1:19" s="301" customFormat="1" ht="24.75" customHeight="1">
      <c r="A3" s="661" t="s">
        <v>199</v>
      </c>
      <c r="B3" s="662"/>
      <c r="C3" s="662"/>
      <c r="D3" s="662"/>
      <c r="E3" s="662"/>
      <c r="F3" s="662"/>
      <c r="G3" s="662"/>
      <c r="H3" s="662"/>
      <c r="I3" s="662"/>
      <c r="J3" s="662"/>
      <c r="K3" s="662"/>
      <c r="L3" s="662"/>
      <c r="M3" s="662"/>
      <c r="N3" s="662"/>
      <c r="O3" s="662"/>
      <c r="P3" s="662"/>
      <c r="Q3" s="662"/>
      <c r="R3" s="663"/>
      <c r="S3" s="324"/>
    </row>
    <row r="4" spans="1:19" s="301" customFormat="1" ht="24.75" customHeight="1">
      <c r="A4" s="661" t="s">
        <v>19</v>
      </c>
      <c r="B4" s="662"/>
      <c r="C4" s="662"/>
      <c r="D4" s="662"/>
      <c r="E4" s="662"/>
      <c r="F4" s="662"/>
      <c r="G4" s="662"/>
      <c r="H4" s="662"/>
      <c r="I4" s="662"/>
      <c r="J4" s="662"/>
      <c r="K4" s="662"/>
      <c r="L4" s="662"/>
      <c r="M4" s="662"/>
      <c r="N4" s="662"/>
      <c r="O4" s="662"/>
      <c r="P4" s="662"/>
      <c r="Q4" s="662"/>
      <c r="R4" s="663"/>
      <c r="S4" s="324"/>
    </row>
    <row r="5" spans="1:19" s="301" customFormat="1" ht="24.75" customHeight="1" thickBot="1">
      <c r="A5" s="334"/>
      <c r="B5" s="335"/>
      <c r="C5" s="335"/>
      <c r="D5" s="335"/>
      <c r="E5" s="335"/>
      <c r="F5" s="335"/>
      <c r="G5" s="335"/>
      <c r="H5" s="335"/>
      <c r="I5" s="335"/>
      <c r="J5" s="335"/>
      <c r="K5" s="335"/>
      <c r="L5" s="335"/>
      <c r="M5" s="335"/>
      <c r="N5" s="335"/>
      <c r="O5" s="335"/>
      <c r="P5" s="335"/>
      <c r="Q5" s="335"/>
      <c r="R5" s="336"/>
      <c r="S5" s="325"/>
    </row>
    <row r="6" spans="1:19" ht="41.25" customHeight="1" thickBot="1" thickTop="1">
      <c r="A6" s="664" t="s">
        <v>412</v>
      </c>
      <c r="B6" s="665"/>
      <c r="C6" s="665"/>
      <c r="D6" s="665"/>
      <c r="E6" s="665"/>
      <c r="F6" s="665"/>
      <c r="G6" s="665"/>
      <c r="H6" s="665"/>
      <c r="I6" s="665"/>
      <c r="J6" s="665"/>
      <c r="K6" s="665"/>
      <c r="L6" s="665"/>
      <c r="M6" s="665"/>
      <c r="N6" s="665"/>
      <c r="O6" s="665"/>
      <c r="P6" s="665"/>
      <c r="Q6" s="665"/>
      <c r="R6" s="666"/>
      <c r="S6" s="326"/>
    </row>
    <row r="7" spans="1:19" ht="66.75" customHeight="1" thickBot="1" thickTop="1">
      <c r="A7" s="667" t="str">
        <f>'ORÇAMENTO GERAL'!C7</f>
        <v>EXECUÇÃO DOS SERVIÇOS DE DRENAGEM SUPERFICIAL E PROFUNDA NA RUA DO PORTO E RUA DO PORTO 2 - DISTRITO INDUSTRIAL - NO MUNICÍPIO DE ANANINDEUA - PA.</v>
      </c>
      <c r="B7" s="668"/>
      <c r="C7" s="668"/>
      <c r="D7" s="668"/>
      <c r="E7" s="668"/>
      <c r="F7" s="668"/>
      <c r="G7" s="668"/>
      <c r="H7" s="668"/>
      <c r="I7" s="668"/>
      <c r="J7" s="668"/>
      <c r="K7" s="668"/>
      <c r="L7" s="668"/>
      <c r="M7" s="668"/>
      <c r="N7" s="668"/>
      <c r="O7" s="668"/>
      <c r="P7" s="668"/>
      <c r="Q7" s="668"/>
      <c r="R7" s="669"/>
      <c r="S7" s="327"/>
    </row>
    <row r="8" spans="1:19" s="302" customFormat="1" ht="45" customHeight="1" thickBot="1">
      <c r="A8" s="643" t="s">
        <v>402</v>
      </c>
      <c r="B8" s="644"/>
      <c r="C8" s="644"/>
      <c r="D8" s="644"/>
      <c r="E8" s="644"/>
      <c r="F8" s="644"/>
      <c r="G8" s="644"/>
      <c r="H8" s="644"/>
      <c r="I8" s="644"/>
      <c r="J8" s="644"/>
      <c r="K8" s="644"/>
      <c r="L8" s="644"/>
      <c r="M8" s="644"/>
      <c r="N8" s="644"/>
      <c r="O8" s="644"/>
      <c r="P8" s="644"/>
      <c r="Q8" s="644"/>
      <c r="R8" s="644"/>
      <c r="S8" s="328"/>
    </row>
    <row r="9" spans="1:19" s="302" customFormat="1" ht="45" customHeight="1">
      <c r="A9" s="646" t="s">
        <v>7</v>
      </c>
      <c r="B9" s="649" t="s">
        <v>406</v>
      </c>
      <c r="C9" s="652" t="s">
        <v>388</v>
      </c>
      <c r="D9" s="652"/>
      <c r="E9" s="652"/>
      <c r="F9" s="654" t="s">
        <v>532</v>
      </c>
      <c r="G9" s="654"/>
      <c r="H9" s="654"/>
      <c r="I9" s="654"/>
      <c r="J9" s="654" t="s">
        <v>533</v>
      </c>
      <c r="K9" s="659" t="s">
        <v>536</v>
      </c>
      <c r="L9" s="654" t="s">
        <v>397</v>
      </c>
      <c r="M9" s="654" t="s">
        <v>400</v>
      </c>
      <c r="N9" s="656" t="s">
        <v>398</v>
      </c>
      <c r="O9" s="656" t="s">
        <v>534</v>
      </c>
      <c r="P9" s="656" t="s">
        <v>634</v>
      </c>
      <c r="Q9" s="656" t="s">
        <v>535</v>
      </c>
      <c r="R9" s="652" t="s">
        <v>401</v>
      </c>
      <c r="S9" s="328"/>
    </row>
    <row r="10" spans="1:29" s="302" customFormat="1" ht="45" customHeight="1">
      <c r="A10" s="647"/>
      <c r="B10" s="650"/>
      <c r="C10" s="653"/>
      <c r="D10" s="653"/>
      <c r="E10" s="653"/>
      <c r="F10" s="655"/>
      <c r="G10" s="655"/>
      <c r="H10" s="655"/>
      <c r="I10" s="655"/>
      <c r="J10" s="655"/>
      <c r="K10" s="660"/>
      <c r="L10" s="655"/>
      <c r="M10" s="655"/>
      <c r="N10" s="657"/>
      <c r="O10" s="658"/>
      <c r="P10" s="658"/>
      <c r="Q10" s="657"/>
      <c r="R10" s="653"/>
      <c r="S10" s="328"/>
      <c r="T10" s="439"/>
      <c r="U10" s="439"/>
      <c r="V10" s="439"/>
      <c r="W10" s="439"/>
      <c r="X10" s="439"/>
      <c r="Y10" s="439"/>
      <c r="Z10" s="440"/>
      <c r="AA10" s="440"/>
      <c r="AB10" s="440"/>
      <c r="AC10" s="440"/>
    </row>
    <row r="11" spans="1:29" s="302" customFormat="1" ht="45" customHeight="1">
      <c r="A11" s="647"/>
      <c r="B11" s="650"/>
      <c r="C11" s="303" t="s">
        <v>158</v>
      </c>
      <c r="D11" s="438" t="s">
        <v>541</v>
      </c>
      <c r="E11" s="303" t="s">
        <v>395</v>
      </c>
      <c r="F11" s="303" t="s">
        <v>389</v>
      </c>
      <c r="G11" s="303" t="s">
        <v>394</v>
      </c>
      <c r="H11" s="303" t="s">
        <v>396</v>
      </c>
      <c r="I11" s="303" t="s">
        <v>24</v>
      </c>
      <c r="J11" s="655"/>
      <c r="K11" s="660"/>
      <c r="L11" s="655"/>
      <c r="M11" s="655"/>
      <c r="N11" s="658"/>
      <c r="O11" s="303" t="s">
        <v>24</v>
      </c>
      <c r="P11" s="303" t="s">
        <v>24</v>
      </c>
      <c r="Q11" s="658"/>
      <c r="R11" s="653"/>
      <c r="S11" s="328"/>
      <c r="T11" s="441"/>
      <c r="U11" s="441"/>
      <c r="V11" s="439"/>
      <c r="W11" s="439"/>
      <c r="X11" s="439"/>
      <c r="Y11" s="439"/>
      <c r="Z11" s="441"/>
      <c r="AA11" s="440"/>
      <c r="AB11" s="440"/>
      <c r="AC11" s="440"/>
    </row>
    <row r="12" spans="1:30" s="302" customFormat="1" ht="52.5">
      <c r="A12" s="647"/>
      <c r="B12" s="650"/>
      <c r="C12" s="304"/>
      <c r="D12" s="304"/>
      <c r="E12" s="304" t="s">
        <v>53</v>
      </c>
      <c r="F12" s="304" t="s">
        <v>56</v>
      </c>
      <c r="G12" s="304" t="s">
        <v>16</v>
      </c>
      <c r="H12" s="304" t="s">
        <v>9</v>
      </c>
      <c r="I12" s="304" t="s">
        <v>629</v>
      </c>
      <c r="J12" s="436" t="s">
        <v>604</v>
      </c>
      <c r="K12" s="437" t="s">
        <v>537</v>
      </c>
      <c r="L12" s="304" t="s">
        <v>538</v>
      </c>
      <c r="M12" s="436" t="s">
        <v>539</v>
      </c>
      <c r="N12" s="304" t="s">
        <v>540</v>
      </c>
      <c r="O12" s="304" t="s">
        <v>637</v>
      </c>
      <c r="P12" s="507" t="s">
        <v>638</v>
      </c>
      <c r="Q12" s="507" t="s">
        <v>635</v>
      </c>
      <c r="R12" s="507" t="s">
        <v>636</v>
      </c>
      <c r="S12" s="328"/>
      <c r="T12" s="672" t="s">
        <v>545</v>
      </c>
      <c r="U12" s="673"/>
      <c r="V12" s="673"/>
      <c r="W12" s="673"/>
      <c r="X12" s="673"/>
      <c r="Y12" s="673"/>
      <c r="Z12" s="673"/>
      <c r="AA12" s="673"/>
      <c r="AB12" s="673"/>
      <c r="AC12" s="673"/>
      <c r="AD12" s="674"/>
    </row>
    <row r="13" spans="1:30" s="302" customFormat="1" ht="45" customHeight="1" thickBot="1">
      <c r="A13" s="648"/>
      <c r="B13" s="651"/>
      <c r="C13" s="305" t="s">
        <v>393</v>
      </c>
      <c r="D13" s="305" t="s">
        <v>390</v>
      </c>
      <c r="E13" s="305" t="s">
        <v>390</v>
      </c>
      <c r="F13" s="305" t="s">
        <v>605</v>
      </c>
      <c r="G13" s="305" t="s">
        <v>606</v>
      </c>
      <c r="H13" s="305"/>
      <c r="I13" s="305"/>
      <c r="J13" s="305"/>
      <c r="K13" s="332">
        <v>10</v>
      </c>
      <c r="L13" s="305"/>
      <c r="M13" s="305"/>
      <c r="N13" s="305"/>
      <c r="O13" s="305"/>
      <c r="P13" s="506"/>
      <c r="Q13" s="506" t="s">
        <v>631</v>
      </c>
      <c r="R13" s="305"/>
      <c r="S13" s="329"/>
      <c r="T13" s="438" t="s">
        <v>546</v>
      </c>
      <c r="U13" s="438" t="s">
        <v>547</v>
      </c>
      <c r="V13" s="438" t="s">
        <v>548</v>
      </c>
      <c r="W13" s="438" t="s">
        <v>549</v>
      </c>
      <c r="X13" s="438" t="s">
        <v>550</v>
      </c>
      <c r="Y13" s="438" t="s">
        <v>407</v>
      </c>
      <c r="Z13" s="303" t="s">
        <v>534</v>
      </c>
      <c r="AA13" s="303" t="s">
        <v>634</v>
      </c>
      <c r="AB13" s="303" t="s">
        <v>535</v>
      </c>
      <c r="AC13" s="303" t="s">
        <v>401</v>
      </c>
      <c r="AD13" s="435" t="s">
        <v>24</v>
      </c>
    </row>
    <row r="14" spans="1:30" s="302" customFormat="1" ht="45" customHeight="1" hidden="1">
      <c r="A14" s="306">
        <v>1</v>
      </c>
      <c r="B14" s="361" t="str">
        <f>DADOS!B9</f>
        <v>TV. SÃO SEBASTIÃO</v>
      </c>
      <c r="C14" s="309"/>
      <c r="D14" s="308">
        <v>5</v>
      </c>
      <c r="E14" s="309">
        <f>C14*D14</f>
        <v>0</v>
      </c>
      <c r="F14" s="310">
        <f>0.48+0.5</f>
        <v>0.98</v>
      </c>
      <c r="G14" s="310">
        <f>0.48+0.6</f>
        <v>1.08</v>
      </c>
      <c r="H14" s="310">
        <v>0.05</v>
      </c>
      <c r="I14" s="310">
        <f>(E14*F14*G14)+(E14*G14*H14)</f>
        <v>0</v>
      </c>
      <c r="J14" s="311">
        <f>N14</f>
        <v>0</v>
      </c>
      <c r="K14" s="333">
        <f>J14*1.25*$K$13</f>
        <v>0</v>
      </c>
      <c r="L14" s="310">
        <f>E14*F14</f>
        <v>0</v>
      </c>
      <c r="M14" s="311">
        <f>L14</f>
        <v>0</v>
      </c>
      <c r="N14" s="310">
        <f>(3.14*0.2^2)*E14</f>
        <v>0</v>
      </c>
      <c r="O14" s="310">
        <f>(I14-N14)*70%</f>
        <v>0</v>
      </c>
      <c r="P14" s="310">
        <f>(I14-N14)*30%</f>
        <v>0</v>
      </c>
      <c r="Q14" s="310">
        <v>0</v>
      </c>
      <c r="R14" s="333">
        <f>E14</f>
        <v>0</v>
      </c>
      <c r="S14" s="331"/>
      <c r="T14" s="313">
        <f>'ORÇAMENTO GERAL'!$J$28</f>
        <v>185.62</v>
      </c>
      <c r="U14" s="313">
        <f>'ORÇAMENTO GERAL'!$J$29</f>
        <v>11.2</v>
      </c>
      <c r="V14" s="313">
        <f>'ORÇAMENTO GERAL'!$J$30</f>
        <v>8.25</v>
      </c>
      <c r="W14" s="313">
        <f>'ORÇAMENTO GERAL'!$J$31</f>
        <v>3.62</v>
      </c>
      <c r="X14" s="313">
        <f>'ORÇAMENTO GERAL'!$J$32</f>
        <v>6.31</v>
      </c>
      <c r="Y14" s="313">
        <f>'ORÇAMENTO GERAL'!$J$33</f>
        <v>40.93</v>
      </c>
      <c r="Z14" s="313">
        <f>'ORÇAMENTO GERAL'!$J$34</f>
        <v>134.83</v>
      </c>
      <c r="AA14" s="313">
        <f>'ORÇAMENTO GERAL'!$J$35</f>
        <v>21.8</v>
      </c>
      <c r="AB14" s="313">
        <f>'ORÇAMENTO GERAL'!$J$36</f>
        <v>45.59</v>
      </c>
      <c r="AC14" s="313">
        <f>'ORÇAMENTO GERAL'!$J$37</f>
        <v>74.83</v>
      </c>
      <c r="AD14" s="313">
        <f>(E14*T14)+(I14*U14)+(J14*V14)+(K14*W14)+(L14*X14)+(M14*Y14)+(O14*Z14)+(P14*AA14)+(Q14*AB14)+(R14*AC14)</f>
        <v>0</v>
      </c>
    </row>
    <row r="15" spans="1:30" s="302" customFormat="1" ht="60" customHeight="1">
      <c r="A15" s="306">
        <v>1</v>
      </c>
      <c r="B15" s="361" t="str">
        <f>DADOS!B10</f>
        <v>RUA DO PORTO</v>
      </c>
      <c r="C15" s="314">
        <v>10</v>
      </c>
      <c r="D15" s="312">
        <v>5</v>
      </c>
      <c r="E15" s="314">
        <f aca="true" t="shared" si="0" ref="E15:E33">C15*D15</f>
        <v>50</v>
      </c>
      <c r="F15" s="310">
        <f aca="true" t="shared" si="1" ref="F15:F33">0.48+0.5</f>
        <v>0.98</v>
      </c>
      <c r="G15" s="310">
        <f aca="true" t="shared" si="2" ref="G15:G33">0.48+0.6</f>
        <v>1.08</v>
      </c>
      <c r="H15" s="310">
        <v>0.05</v>
      </c>
      <c r="I15" s="310">
        <f aca="true" t="shared" si="3" ref="I15:I33">(E15*F15*G15)+(E15*G15*H15)</f>
        <v>55.62</v>
      </c>
      <c r="J15" s="311">
        <f aca="true" t="shared" si="4" ref="J15:J33">N15</f>
        <v>6.28</v>
      </c>
      <c r="K15" s="333">
        <f aca="true" t="shared" si="5" ref="K15:K33">J15*1.25*$K$13</f>
        <v>78.5</v>
      </c>
      <c r="L15" s="310">
        <f aca="true" t="shared" si="6" ref="L15:L33">E15*F15</f>
        <v>49</v>
      </c>
      <c r="M15" s="311">
        <f aca="true" t="shared" si="7" ref="M15:M33">L15</f>
        <v>49</v>
      </c>
      <c r="N15" s="310">
        <f aca="true" t="shared" si="8" ref="N15:N33">(3.14*0.2^2)*E15</f>
        <v>6.28</v>
      </c>
      <c r="O15" s="310">
        <f aca="true" t="shared" si="9" ref="O15:O33">(I15-N15)*70%</f>
        <v>34.54</v>
      </c>
      <c r="P15" s="310">
        <f aca="true" t="shared" si="10" ref="P15:P33">(I15-N15)*30%</f>
        <v>14.8</v>
      </c>
      <c r="Q15" s="310">
        <v>0</v>
      </c>
      <c r="R15" s="333">
        <f aca="true" t="shared" si="11" ref="R15:R33">E15</f>
        <v>50</v>
      </c>
      <c r="S15" s="331"/>
      <c r="T15" s="313">
        <f>'ORÇAMENTO GERAL'!$J$28</f>
        <v>185.62</v>
      </c>
      <c r="U15" s="313">
        <f>'ORÇAMENTO GERAL'!$J$29</f>
        <v>11.2</v>
      </c>
      <c r="V15" s="313">
        <f>'ORÇAMENTO GERAL'!$J$30</f>
        <v>8.25</v>
      </c>
      <c r="W15" s="313">
        <f>'ORÇAMENTO GERAL'!$J$31</f>
        <v>3.62</v>
      </c>
      <c r="X15" s="313">
        <f>'ORÇAMENTO GERAL'!$J$32</f>
        <v>6.31</v>
      </c>
      <c r="Y15" s="313">
        <f>'ORÇAMENTO GERAL'!$J$33</f>
        <v>40.93</v>
      </c>
      <c r="Z15" s="313">
        <f>'ORÇAMENTO GERAL'!$J$34</f>
        <v>134.83</v>
      </c>
      <c r="AA15" s="313">
        <f>'ORÇAMENTO GERAL'!$J$35</f>
        <v>21.8</v>
      </c>
      <c r="AB15" s="313">
        <f>'ORÇAMENTO GERAL'!$J$36</f>
        <v>45.59</v>
      </c>
      <c r="AC15" s="313">
        <f>'ORÇAMENTO GERAL'!$J$37</f>
        <v>74.83</v>
      </c>
      <c r="AD15" s="313">
        <f aca="true" t="shared" si="12" ref="AD15:AD33">(E15*T15)+(I15*U15)+(J15*V15)+(K15*W15)+(L15*X15)+(M15*Y15)+(O15*Z15)+(P15*AA15)+(Q15*AB15)+(R15*AC15)</f>
        <v>21275.85</v>
      </c>
    </row>
    <row r="16" spans="1:30" s="302" customFormat="1" ht="60" customHeight="1" thickBot="1">
      <c r="A16" s="306">
        <v>2</v>
      </c>
      <c r="B16" s="361" t="str">
        <f>DADOS!B11</f>
        <v>RUA DO PORTO 2</v>
      </c>
      <c r="C16" s="314">
        <v>4</v>
      </c>
      <c r="D16" s="312">
        <v>5</v>
      </c>
      <c r="E16" s="314">
        <f t="shared" si="0"/>
        <v>20</v>
      </c>
      <c r="F16" s="310">
        <f t="shared" si="1"/>
        <v>0.98</v>
      </c>
      <c r="G16" s="310">
        <f t="shared" si="2"/>
        <v>1.08</v>
      </c>
      <c r="H16" s="310">
        <v>0.05</v>
      </c>
      <c r="I16" s="310">
        <f t="shared" si="3"/>
        <v>22.25</v>
      </c>
      <c r="J16" s="311">
        <f t="shared" si="4"/>
        <v>2.51</v>
      </c>
      <c r="K16" s="333">
        <f t="shared" si="5"/>
        <v>31.38</v>
      </c>
      <c r="L16" s="310">
        <f t="shared" si="6"/>
        <v>19.6</v>
      </c>
      <c r="M16" s="311">
        <f t="shared" si="7"/>
        <v>19.6</v>
      </c>
      <c r="N16" s="310">
        <f t="shared" si="8"/>
        <v>2.51</v>
      </c>
      <c r="O16" s="310">
        <f t="shared" si="9"/>
        <v>13.82</v>
      </c>
      <c r="P16" s="310">
        <f t="shared" si="10"/>
        <v>5.92</v>
      </c>
      <c r="Q16" s="310">
        <v>0</v>
      </c>
      <c r="R16" s="333">
        <f t="shared" si="11"/>
        <v>20</v>
      </c>
      <c r="S16" s="331"/>
      <c r="T16" s="313">
        <f>'ORÇAMENTO GERAL'!$J$28</f>
        <v>185.62</v>
      </c>
      <c r="U16" s="313">
        <f>'ORÇAMENTO GERAL'!$J$29</f>
        <v>11.2</v>
      </c>
      <c r="V16" s="313">
        <f>'ORÇAMENTO GERAL'!$J$30</f>
        <v>8.25</v>
      </c>
      <c r="W16" s="313">
        <f>'ORÇAMENTO GERAL'!$J$31</f>
        <v>3.62</v>
      </c>
      <c r="X16" s="313">
        <f>'ORÇAMENTO GERAL'!$J$32</f>
        <v>6.31</v>
      </c>
      <c r="Y16" s="313">
        <f>'ORÇAMENTO GERAL'!$J$33</f>
        <v>40.93</v>
      </c>
      <c r="Z16" s="313">
        <f>'ORÇAMENTO GERAL'!$J$34</f>
        <v>134.83</v>
      </c>
      <c r="AA16" s="313">
        <f>'ORÇAMENTO GERAL'!$J$35</f>
        <v>21.8</v>
      </c>
      <c r="AB16" s="313">
        <f>'ORÇAMENTO GERAL'!$J$36</f>
        <v>45.59</v>
      </c>
      <c r="AC16" s="313">
        <f>'ORÇAMENTO GERAL'!$J$37</f>
        <v>74.83</v>
      </c>
      <c r="AD16" s="313">
        <f t="shared" si="12"/>
        <v>8510.81</v>
      </c>
    </row>
    <row r="17" spans="1:30" s="302" customFormat="1" ht="45" customHeight="1" hidden="1" thickBot="1">
      <c r="A17" s="306">
        <v>3</v>
      </c>
      <c r="B17" s="361">
        <f>DADOS!B12</f>
        <v>0</v>
      </c>
      <c r="C17" s="314"/>
      <c r="D17" s="312">
        <v>5</v>
      </c>
      <c r="E17" s="314">
        <f t="shared" si="0"/>
        <v>0</v>
      </c>
      <c r="F17" s="310">
        <f t="shared" si="1"/>
        <v>0.98</v>
      </c>
      <c r="G17" s="310">
        <f t="shared" si="2"/>
        <v>1.08</v>
      </c>
      <c r="H17" s="310">
        <v>0.05</v>
      </c>
      <c r="I17" s="310">
        <f t="shared" si="3"/>
        <v>0</v>
      </c>
      <c r="J17" s="311">
        <f t="shared" si="4"/>
        <v>0</v>
      </c>
      <c r="K17" s="333">
        <f t="shared" si="5"/>
        <v>0</v>
      </c>
      <c r="L17" s="310">
        <f t="shared" si="6"/>
        <v>0</v>
      </c>
      <c r="M17" s="311">
        <f t="shared" si="7"/>
        <v>0</v>
      </c>
      <c r="N17" s="310">
        <f t="shared" si="8"/>
        <v>0</v>
      </c>
      <c r="O17" s="310">
        <f t="shared" si="9"/>
        <v>0</v>
      </c>
      <c r="P17" s="310">
        <f t="shared" si="10"/>
        <v>0</v>
      </c>
      <c r="Q17" s="310">
        <v>0</v>
      </c>
      <c r="R17" s="333">
        <f t="shared" si="11"/>
        <v>0</v>
      </c>
      <c r="S17" s="331"/>
      <c r="T17" s="313">
        <f>'ORÇAMENTO GERAL'!$J$28</f>
        <v>185.62</v>
      </c>
      <c r="U17" s="313">
        <f>'ORÇAMENTO GERAL'!$J$29</f>
        <v>11.2</v>
      </c>
      <c r="V17" s="313">
        <f>'ORÇAMENTO GERAL'!$J$30</f>
        <v>8.25</v>
      </c>
      <c r="W17" s="313">
        <f>'ORÇAMENTO GERAL'!$J$31</f>
        <v>3.62</v>
      </c>
      <c r="X17" s="313">
        <f>'ORÇAMENTO GERAL'!$J$32</f>
        <v>6.31</v>
      </c>
      <c r="Y17" s="313">
        <f>'ORÇAMENTO GERAL'!$J$33</f>
        <v>40.93</v>
      </c>
      <c r="Z17" s="313">
        <f>'ORÇAMENTO GERAL'!$J$34</f>
        <v>134.83</v>
      </c>
      <c r="AA17" s="313">
        <f>'ORÇAMENTO GERAL'!$J$35</f>
        <v>21.8</v>
      </c>
      <c r="AB17" s="313">
        <f>'ORÇAMENTO GERAL'!$J$36</f>
        <v>45.59</v>
      </c>
      <c r="AC17" s="313">
        <f>'ORÇAMENTO GERAL'!$J$37</f>
        <v>74.83</v>
      </c>
      <c r="AD17" s="313">
        <f t="shared" si="12"/>
        <v>0</v>
      </c>
    </row>
    <row r="18" spans="1:30" s="302" customFormat="1" ht="45" customHeight="1" hidden="1">
      <c r="A18" s="306">
        <v>5</v>
      </c>
      <c r="B18" s="361">
        <f>DADOS!B13</f>
        <v>0</v>
      </c>
      <c r="C18" s="314"/>
      <c r="D18" s="312">
        <v>5</v>
      </c>
      <c r="E18" s="314">
        <f t="shared" si="0"/>
        <v>0</v>
      </c>
      <c r="F18" s="310">
        <f t="shared" si="1"/>
        <v>0.98</v>
      </c>
      <c r="G18" s="310">
        <f t="shared" si="2"/>
        <v>1.08</v>
      </c>
      <c r="H18" s="310">
        <v>0.05</v>
      </c>
      <c r="I18" s="310">
        <f t="shared" si="3"/>
        <v>0</v>
      </c>
      <c r="J18" s="311">
        <f t="shared" si="4"/>
        <v>0</v>
      </c>
      <c r="K18" s="333">
        <f t="shared" si="5"/>
        <v>0</v>
      </c>
      <c r="L18" s="310">
        <f t="shared" si="6"/>
        <v>0</v>
      </c>
      <c r="M18" s="311">
        <f t="shared" si="7"/>
        <v>0</v>
      </c>
      <c r="N18" s="310">
        <f t="shared" si="8"/>
        <v>0</v>
      </c>
      <c r="O18" s="310">
        <f t="shared" si="9"/>
        <v>0</v>
      </c>
      <c r="P18" s="310">
        <f t="shared" si="10"/>
        <v>0</v>
      </c>
      <c r="Q18" s="310">
        <v>0</v>
      </c>
      <c r="R18" s="333">
        <f t="shared" si="11"/>
        <v>0</v>
      </c>
      <c r="S18" s="331"/>
      <c r="T18" s="313">
        <f>'ORÇAMENTO GERAL'!$J$28</f>
        <v>185.62</v>
      </c>
      <c r="U18" s="313">
        <f>'ORÇAMENTO GERAL'!$J$29</f>
        <v>11.2</v>
      </c>
      <c r="V18" s="313">
        <f>'ORÇAMENTO GERAL'!$J$30</f>
        <v>8.25</v>
      </c>
      <c r="W18" s="313">
        <f>'ORÇAMENTO GERAL'!$J$31</f>
        <v>3.62</v>
      </c>
      <c r="X18" s="313">
        <f>'ORÇAMENTO GERAL'!$J$32</f>
        <v>6.31</v>
      </c>
      <c r="Y18" s="313">
        <f>'ORÇAMENTO GERAL'!$J$33</f>
        <v>40.93</v>
      </c>
      <c r="Z18" s="313">
        <f>'ORÇAMENTO GERAL'!$J$34</f>
        <v>134.83</v>
      </c>
      <c r="AA18" s="313">
        <f>'ORÇAMENTO GERAL'!$J$35</f>
        <v>21.8</v>
      </c>
      <c r="AB18" s="313">
        <f>'ORÇAMENTO GERAL'!$J$36</f>
        <v>45.59</v>
      </c>
      <c r="AC18" s="313">
        <f>'ORÇAMENTO GERAL'!$J$37</f>
        <v>74.83</v>
      </c>
      <c r="AD18" s="313">
        <f t="shared" si="12"/>
        <v>0</v>
      </c>
    </row>
    <row r="19" spans="1:30" s="302" customFormat="1" ht="45" customHeight="1" hidden="1">
      <c r="A19" s="306">
        <v>6</v>
      </c>
      <c r="B19" s="361">
        <f>DADOS!B14</f>
        <v>0</v>
      </c>
      <c r="C19" s="314"/>
      <c r="D19" s="312">
        <v>5</v>
      </c>
      <c r="E19" s="314">
        <f t="shared" si="0"/>
        <v>0</v>
      </c>
      <c r="F19" s="310">
        <f t="shared" si="1"/>
        <v>0.98</v>
      </c>
      <c r="G19" s="310">
        <f t="shared" si="2"/>
        <v>1.08</v>
      </c>
      <c r="H19" s="310">
        <v>0.05</v>
      </c>
      <c r="I19" s="310">
        <f t="shared" si="3"/>
        <v>0</v>
      </c>
      <c r="J19" s="311">
        <f t="shared" si="4"/>
        <v>0</v>
      </c>
      <c r="K19" s="333">
        <f t="shared" si="5"/>
        <v>0</v>
      </c>
      <c r="L19" s="310">
        <f t="shared" si="6"/>
        <v>0</v>
      </c>
      <c r="M19" s="311">
        <f t="shared" si="7"/>
        <v>0</v>
      </c>
      <c r="N19" s="310">
        <f t="shared" si="8"/>
        <v>0</v>
      </c>
      <c r="O19" s="310">
        <f t="shared" si="9"/>
        <v>0</v>
      </c>
      <c r="P19" s="310">
        <f t="shared" si="10"/>
        <v>0</v>
      </c>
      <c r="Q19" s="310">
        <v>0</v>
      </c>
      <c r="R19" s="333">
        <f t="shared" si="11"/>
        <v>0</v>
      </c>
      <c r="S19" s="331"/>
      <c r="T19" s="313">
        <f>'ORÇAMENTO GERAL'!$J$28</f>
        <v>185.62</v>
      </c>
      <c r="U19" s="313">
        <f>'ORÇAMENTO GERAL'!$J$29</f>
        <v>11.2</v>
      </c>
      <c r="V19" s="313">
        <f>'ORÇAMENTO GERAL'!$J$30</f>
        <v>8.25</v>
      </c>
      <c r="W19" s="313">
        <f>'ORÇAMENTO GERAL'!$J$31</f>
        <v>3.62</v>
      </c>
      <c r="X19" s="313">
        <f>'ORÇAMENTO GERAL'!$J$32</f>
        <v>6.31</v>
      </c>
      <c r="Y19" s="313">
        <f>'ORÇAMENTO GERAL'!$J$33</f>
        <v>40.93</v>
      </c>
      <c r="Z19" s="313">
        <f>'ORÇAMENTO GERAL'!$J$34</f>
        <v>134.83</v>
      </c>
      <c r="AA19" s="313">
        <f>'ORÇAMENTO GERAL'!$J$35</f>
        <v>21.8</v>
      </c>
      <c r="AB19" s="313">
        <f>'ORÇAMENTO GERAL'!$J$36</f>
        <v>45.59</v>
      </c>
      <c r="AC19" s="313">
        <f>'ORÇAMENTO GERAL'!$J$37</f>
        <v>74.83</v>
      </c>
      <c r="AD19" s="313">
        <f t="shared" si="12"/>
        <v>0</v>
      </c>
    </row>
    <row r="20" spans="1:30" s="302" customFormat="1" ht="45" customHeight="1" hidden="1">
      <c r="A20" s="306">
        <v>7</v>
      </c>
      <c r="B20" s="361">
        <f>DADOS!B15</f>
        <v>0</v>
      </c>
      <c r="C20" s="314"/>
      <c r="D20" s="312">
        <v>5</v>
      </c>
      <c r="E20" s="314">
        <f t="shared" si="0"/>
        <v>0</v>
      </c>
      <c r="F20" s="310">
        <f t="shared" si="1"/>
        <v>0.98</v>
      </c>
      <c r="G20" s="310">
        <f t="shared" si="2"/>
        <v>1.08</v>
      </c>
      <c r="H20" s="310">
        <v>0.05</v>
      </c>
      <c r="I20" s="310">
        <f t="shared" si="3"/>
        <v>0</v>
      </c>
      <c r="J20" s="311">
        <f t="shared" si="4"/>
        <v>0</v>
      </c>
      <c r="K20" s="333">
        <f t="shared" si="5"/>
        <v>0</v>
      </c>
      <c r="L20" s="310">
        <f t="shared" si="6"/>
        <v>0</v>
      </c>
      <c r="M20" s="311">
        <f t="shared" si="7"/>
        <v>0</v>
      </c>
      <c r="N20" s="310">
        <f t="shared" si="8"/>
        <v>0</v>
      </c>
      <c r="O20" s="310">
        <f t="shared" si="9"/>
        <v>0</v>
      </c>
      <c r="P20" s="310">
        <f t="shared" si="10"/>
        <v>0</v>
      </c>
      <c r="Q20" s="310">
        <v>0</v>
      </c>
      <c r="R20" s="333">
        <f t="shared" si="11"/>
        <v>0</v>
      </c>
      <c r="S20" s="331"/>
      <c r="T20" s="313">
        <f>'ORÇAMENTO GERAL'!$J$28</f>
        <v>185.62</v>
      </c>
      <c r="U20" s="313">
        <f>'ORÇAMENTO GERAL'!$J$29</f>
        <v>11.2</v>
      </c>
      <c r="V20" s="313">
        <f>'ORÇAMENTO GERAL'!$J$30</f>
        <v>8.25</v>
      </c>
      <c r="W20" s="313">
        <f>'ORÇAMENTO GERAL'!$J$31</f>
        <v>3.62</v>
      </c>
      <c r="X20" s="313">
        <f>'ORÇAMENTO GERAL'!$J$32</f>
        <v>6.31</v>
      </c>
      <c r="Y20" s="313">
        <f>'ORÇAMENTO GERAL'!$J$33</f>
        <v>40.93</v>
      </c>
      <c r="Z20" s="313">
        <f>'ORÇAMENTO GERAL'!$J$34</f>
        <v>134.83</v>
      </c>
      <c r="AA20" s="313">
        <f>'ORÇAMENTO GERAL'!$J$35</f>
        <v>21.8</v>
      </c>
      <c r="AB20" s="313">
        <f>'ORÇAMENTO GERAL'!$J$36</f>
        <v>45.59</v>
      </c>
      <c r="AC20" s="313">
        <f>'ORÇAMENTO GERAL'!$J$37</f>
        <v>74.83</v>
      </c>
      <c r="AD20" s="313">
        <f t="shared" si="12"/>
        <v>0</v>
      </c>
    </row>
    <row r="21" spans="1:30" s="302" customFormat="1" ht="45" customHeight="1" hidden="1">
      <c r="A21" s="306">
        <v>8</v>
      </c>
      <c r="B21" s="361">
        <f>DADOS!B16</f>
        <v>0</v>
      </c>
      <c r="C21" s="314"/>
      <c r="D21" s="312">
        <v>5</v>
      </c>
      <c r="E21" s="314">
        <f t="shared" si="0"/>
        <v>0</v>
      </c>
      <c r="F21" s="310">
        <f t="shared" si="1"/>
        <v>0.98</v>
      </c>
      <c r="G21" s="310">
        <f t="shared" si="2"/>
        <v>1.08</v>
      </c>
      <c r="H21" s="310">
        <v>0.05</v>
      </c>
      <c r="I21" s="310">
        <f t="shared" si="3"/>
        <v>0</v>
      </c>
      <c r="J21" s="311">
        <f t="shared" si="4"/>
        <v>0</v>
      </c>
      <c r="K21" s="333">
        <f t="shared" si="5"/>
        <v>0</v>
      </c>
      <c r="L21" s="310">
        <f t="shared" si="6"/>
        <v>0</v>
      </c>
      <c r="M21" s="311">
        <f t="shared" si="7"/>
        <v>0</v>
      </c>
      <c r="N21" s="310">
        <f t="shared" si="8"/>
        <v>0</v>
      </c>
      <c r="O21" s="310">
        <f t="shared" si="9"/>
        <v>0</v>
      </c>
      <c r="P21" s="310">
        <f t="shared" si="10"/>
        <v>0</v>
      </c>
      <c r="Q21" s="310">
        <v>0</v>
      </c>
      <c r="R21" s="333">
        <f t="shared" si="11"/>
        <v>0</v>
      </c>
      <c r="S21" s="331"/>
      <c r="T21" s="313">
        <f>'ORÇAMENTO GERAL'!$J$28</f>
        <v>185.62</v>
      </c>
      <c r="U21" s="313">
        <f>'ORÇAMENTO GERAL'!$J$29</f>
        <v>11.2</v>
      </c>
      <c r="V21" s="313">
        <f>'ORÇAMENTO GERAL'!$J$30</f>
        <v>8.25</v>
      </c>
      <c r="W21" s="313">
        <f>'ORÇAMENTO GERAL'!$J$31</f>
        <v>3.62</v>
      </c>
      <c r="X21" s="313">
        <f>'ORÇAMENTO GERAL'!$J$32</f>
        <v>6.31</v>
      </c>
      <c r="Y21" s="313">
        <f>'ORÇAMENTO GERAL'!$J$33</f>
        <v>40.93</v>
      </c>
      <c r="Z21" s="313">
        <f>'ORÇAMENTO GERAL'!$J$34</f>
        <v>134.83</v>
      </c>
      <c r="AA21" s="313">
        <f>'ORÇAMENTO GERAL'!$J$35</f>
        <v>21.8</v>
      </c>
      <c r="AB21" s="313">
        <f>'ORÇAMENTO GERAL'!$J$36</f>
        <v>45.59</v>
      </c>
      <c r="AC21" s="313">
        <f>'ORÇAMENTO GERAL'!$J$37</f>
        <v>74.83</v>
      </c>
      <c r="AD21" s="313">
        <f t="shared" si="12"/>
        <v>0</v>
      </c>
    </row>
    <row r="22" spans="1:30" s="302" customFormat="1" ht="45" customHeight="1" hidden="1">
      <c r="A22" s="306">
        <v>9</v>
      </c>
      <c r="B22" s="361">
        <f>DADOS!B17</f>
        <v>0</v>
      </c>
      <c r="C22" s="314"/>
      <c r="D22" s="312">
        <v>5</v>
      </c>
      <c r="E22" s="314">
        <f t="shared" si="0"/>
        <v>0</v>
      </c>
      <c r="F22" s="310">
        <f t="shared" si="1"/>
        <v>0.98</v>
      </c>
      <c r="G22" s="310">
        <f t="shared" si="2"/>
        <v>1.08</v>
      </c>
      <c r="H22" s="310">
        <v>0.05</v>
      </c>
      <c r="I22" s="310">
        <f t="shared" si="3"/>
        <v>0</v>
      </c>
      <c r="J22" s="311">
        <f t="shared" si="4"/>
        <v>0</v>
      </c>
      <c r="K22" s="333">
        <f t="shared" si="5"/>
        <v>0</v>
      </c>
      <c r="L22" s="310">
        <f t="shared" si="6"/>
        <v>0</v>
      </c>
      <c r="M22" s="311">
        <f t="shared" si="7"/>
        <v>0</v>
      </c>
      <c r="N22" s="310">
        <f t="shared" si="8"/>
        <v>0</v>
      </c>
      <c r="O22" s="310">
        <f t="shared" si="9"/>
        <v>0</v>
      </c>
      <c r="P22" s="310">
        <f t="shared" si="10"/>
        <v>0</v>
      </c>
      <c r="Q22" s="310">
        <v>0</v>
      </c>
      <c r="R22" s="333">
        <f t="shared" si="11"/>
        <v>0</v>
      </c>
      <c r="S22" s="331"/>
      <c r="T22" s="313">
        <f>'ORÇAMENTO GERAL'!$J$28</f>
        <v>185.62</v>
      </c>
      <c r="U22" s="313">
        <f>'ORÇAMENTO GERAL'!$J$29</f>
        <v>11.2</v>
      </c>
      <c r="V22" s="313">
        <f>'ORÇAMENTO GERAL'!$J$30</f>
        <v>8.25</v>
      </c>
      <c r="W22" s="313">
        <f>'ORÇAMENTO GERAL'!$J$31</f>
        <v>3.62</v>
      </c>
      <c r="X22" s="313">
        <f>'ORÇAMENTO GERAL'!$J$32</f>
        <v>6.31</v>
      </c>
      <c r="Y22" s="313">
        <f>'ORÇAMENTO GERAL'!$J$33</f>
        <v>40.93</v>
      </c>
      <c r="Z22" s="313">
        <f>'ORÇAMENTO GERAL'!$J$34</f>
        <v>134.83</v>
      </c>
      <c r="AA22" s="313">
        <f>'ORÇAMENTO GERAL'!$J$35</f>
        <v>21.8</v>
      </c>
      <c r="AB22" s="313">
        <f>'ORÇAMENTO GERAL'!$J$36</f>
        <v>45.59</v>
      </c>
      <c r="AC22" s="313">
        <f>'ORÇAMENTO GERAL'!$J$37</f>
        <v>74.83</v>
      </c>
      <c r="AD22" s="313">
        <f t="shared" si="12"/>
        <v>0</v>
      </c>
    </row>
    <row r="23" spans="1:30" s="302" customFormat="1" ht="45" customHeight="1" hidden="1">
      <c r="A23" s="306">
        <v>10</v>
      </c>
      <c r="B23" s="361">
        <f>DADOS!B18</f>
        <v>0</v>
      </c>
      <c r="C23" s="314"/>
      <c r="D23" s="312">
        <v>5</v>
      </c>
      <c r="E23" s="314">
        <f t="shared" si="0"/>
        <v>0</v>
      </c>
      <c r="F23" s="310">
        <f t="shared" si="1"/>
        <v>0.98</v>
      </c>
      <c r="G23" s="310">
        <f t="shared" si="2"/>
        <v>1.08</v>
      </c>
      <c r="H23" s="310">
        <v>0.05</v>
      </c>
      <c r="I23" s="310">
        <f t="shared" si="3"/>
        <v>0</v>
      </c>
      <c r="J23" s="311">
        <f t="shared" si="4"/>
        <v>0</v>
      </c>
      <c r="K23" s="333">
        <f t="shared" si="5"/>
        <v>0</v>
      </c>
      <c r="L23" s="310">
        <f t="shared" si="6"/>
        <v>0</v>
      </c>
      <c r="M23" s="311">
        <f t="shared" si="7"/>
        <v>0</v>
      </c>
      <c r="N23" s="310">
        <f t="shared" si="8"/>
        <v>0</v>
      </c>
      <c r="O23" s="310">
        <f t="shared" si="9"/>
        <v>0</v>
      </c>
      <c r="P23" s="310">
        <f t="shared" si="10"/>
        <v>0</v>
      </c>
      <c r="Q23" s="310">
        <v>0</v>
      </c>
      <c r="R23" s="333">
        <f t="shared" si="11"/>
        <v>0</v>
      </c>
      <c r="S23" s="331"/>
      <c r="T23" s="313">
        <f>'ORÇAMENTO GERAL'!$J$28</f>
        <v>185.62</v>
      </c>
      <c r="U23" s="313">
        <f>'ORÇAMENTO GERAL'!$J$29</f>
        <v>11.2</v>
      </c>
      <c r="V23" s="313">
        <f>'ORÇAMENTO GERAL'!$J$30</f>
        <v>8.25</v>
      </c>
      <c r="W23" s="313">
        <f>'ORÇAMENTO GERAL'!$J$31</f>
        <v>3.62</v>
      </c>
      <c r="X23" s="313">
        <f>'ORÇAMENTO GERAL'!$J$32</f>
        <v>6.31</v>
      </c>
      <c r="Y23" s="313">
        <f>'ORÇAMENTO GERAL'!$J$33</f>
        <v>40.93</v>
      </c>
      <c r="Z23" s="313">
        <f>'ORÇAMENTO GERAL'!$J$34</f>
        <v>134.83</v>
      </c>
      <c r="AA23" s="313">
        <f>'ORÇAMENTO GERAL'!$J$35</f>
        <v>21.8</v>
      </c>
      <c r="AB23" s="313">
        <f>'ORÇAMENTO GERAL'!$J$36</f>
        <v>45.59</v>
      </c>
      <c r="AC23" s="313">
        <f>'ORÇAMENTO GERAL'!$J$37</f>
        <v>74.83</v>
      </c>
      <c r="AD23" s="313">
        <f t="shared" si="12"/>
        <v>0</v>
      </c>
    </row>
    <row r="24" spans="1:30" s="302" customFormat="1" ht="45" customHeight="1" hidden="1">
      <c r="A24" s="306">
        <v>11</v>
      </c>
      <c r="B24" s="361">
        <f>DADOS!B19</f>
        <v>0</v>
      </c>
      <c r="C24" s="314"/>
      <c r="D24" s="312">
        <v>5</v>
      </c>
      <c r="E24" s="314">
        <f t="shared" si="0"/>
        <v>0</v>
      </c>
      <c r="F24" s="310">
        <f t="shared" si="1"/>
        <v>0.98</v>
      </c>
      <c r="G24" s="310">
        <f t="shared" si="2"/>
        <v>1.08</v>
      </c>
      <c r="H24" s="310">
        <v>0.05</v>
      </c>
      <c r="I24" s="310">
        <f t="shared" si="3"/>
        <v>0</v>
      </c>
      <c r="J24" s="311">
        <f t="shared" si="4"/>
        <v>0</v>
      </c>
      <c r="K24" s="333">
        <f t="shared" si="5"/>
        <v>0</v>
      </c>
      <c r="L24" s="310">
        <f t="shared" si="6"/>
        <v>0</v>
      </c>
      <c r="M24" s="311">
        <f t="shared" si="7"/>
        <v>0</v>
      </c>
      <c r="N24" s="310">
        <f t="shared" si="8"/>
        <v>0</v>
      </c>
      <c r="O24" s="310">
        <f t="shared" si="9"/>
        <v>0</v>
      </c>
      <c r="P24" s="310">
        <f t="shared" si="10"/>
        <v>0</v>
      </c>
      <c r="Q24" s="310">
        <v>0</v>
      </c>
      <c r="R24" s="333">
        <f t="shared" si="11"/>
        <v>0</v>
      </c>
      <c r="S24" s="331"/>
      <c r="T24" s="313">
        <f>'ORÇAMENTO GERAL'!$J$28</f>
        <v>185.62</v>
      </c>
      <c r="U24" s="313">
        <f>'ORÇAMENTO GERAL'!$J$29</f>
        <v>11.2</v>
      </c>
      <c r="V24" s="313">
        <f>'ORÇAMENTO GERAL'!$J$30</f>
        <v>8.25</v>
      </c>
      <c r="W24" s="313">
        <f>'ORÇAMENTO GERAL'!$J$31</f>
        <v>3.62</v>
      </c>
      <c r="X24" s="313">
        <f>'ORÇAMENTO GERAL'!$J$32</f>
        <v>6.31</v>
      </c>
      <c r="Y24" s="313">
        <f>'ORÇAMENTO GERAL'!$J$33</f>
        <v>40.93</v>
      </c>
      <c r="Z24" s="313">
        <f>'ORÇAMENTO GERAL'!$J$34</f>
        <v>134.83</v>
      </c>
      <c r="AA24" s="313">
        <f>'ORÇAMENTO GERAL'!$J$35</f>
        <v>21.8</v>
      </c>
      <c r="AB24" s="313">
        <f>'ORÇAMENTO GERAL'!$J$36</f>
        <v>45.59</v>
      </c>
      <c r="AC24" s="313">
        <f>'ORÇAMENTO GERAL'!$J$37</f>
        <v>74.83</v>
      </c>
      <c r="AD24" s="313">
        <f t="shared" si="12"/>
        <v>0</v>
      </c>
    </row>
    <row r="25" spans="1:30" s="302" customFormat="1" ht="45" customHeight="1" hidden="1">
      <c r="A25" s="306">
        <v>12</v>
      </c>
      <c r="B25" s="361">
        <f>DADOS!B20</f>
        <v>0</v>
      </c>
      <c r="C25" s="314"/>
      <c r="D25" s="312">
        <v>5</v>
      </c>
      <c r="E25" s="314">
        <f t="shared" si="0"/>
        <v>0</v>
      </c>
      <c r="F25" s="310">
        <f t="shared" si="1"/>
        <v>0.98</v>
      </c>
      <c r="G25" s="310">
        <f t="shared" si="2"/>
        <v>1.08</v>
      </c>
      <c r="H25" s="310">
        <v>0.05</v>
      </c>
      <c r="I25" s="310">
        <f t="shared" si="3"/>
        <v>0</v>
      </c>
      <c r="J25" s="311">
        <f t="shared" si="4"/>
        <v>0</v>
      </c>
      <c r="K25" s="333">
        <f t="shared" si="5"/>
        <v>0</v>
      </c>
      <c r="L25" s="310">
        <f t="shared" si="6"/>
        <v>0</v>
      </c>
      <c r="M25" s="311">
        <f t="shared" si="7"/>
        <v>0</v>
      </c>
      <c r="N25" s="310">
        <f t="shared" si="8"/>
        <v>0</v>
      </c>
      <c r="O25" s="310">
        <f t="shared" si="9"/>
        <v>0</v>
      </c>
      <c r="P25" s="310">
        <f t="shared" si="10"/>
        <v>0</v>
      </c>
      <c r="Q25" s="310">
        <v>0</v>
      </c>
      <c r="R25" s="333">
        <f t="shared" si="11"/>
        <v>0</v>
      </c>
      <c r="S25" s="331"/>
      <c r="T25" s="313">
        <f>'ORÇAMENTO GERAL'!$J$28</f>
        <v>185.62</v>
      </c>
      <c r="U25" s="313">
        <f>'ORÇAMENTO GERAL'!$J$29</f>
        <v>11.2</v>
      </c>
      <c r="V25" s="313">
        <f>'ORÇAMENTO GERAL'!$J$30</f>
        <v>8.25</v>
      </c>
      <c r="W25" s="313">
        <f>'ORÇAMENTO GERAL'!$J$31</f>
        <v>3.62</v>
      </c>
      <c r="X25" s="313">
        <f>'ORÇAMENTO GERAL'!$J$32</f>
        <v>6.31</v>
      </c>
      <c r="Y25" s="313">
        <f>'ORÇAMENTO GERAL'!$J$33</f>
        <v>40.93</v>
      </c>
      <c r="Z25" s="313">
        <f>'ORÇAMENTO GERAL'!$J$34</f>
        <v>134.83</v>
      </c>
      <c r="AA25" s="313">
        <f>'ORÇAMENTO GERAL'!$J$35</f>
        <v>21.8</v>
      </c>
      <c r="AB25" s="313">
        <f>'ORÇAMENTO GERAL'!$J$36</f>
        <v>45.59</v>
      </c>
      <c r="AC25" s="313">
        <f>'ORÇAMENTO GERAL'!$J$37</f>
        <v>74.83</v>
      </c>
      <c r="AD25" s="313">
        <f t="shared" si="12"/>
        <v>0</v>
      </c>
    </row>
    <row r="26" spans="1:30" s="302" customFormat="1" ht="45" customHeight="1" hidden="1">
      <c r="A26" s="306">
        <v>13</v>
      </c>
      <c r="B26" s="361">
        <f>DADOS!B21</f>
        <v>0</v>
      </c>
      <c r="C26" s="314"/>
      <c r="D26" s="312">
        <v>5</v>
      </c>
      <c r="E26" s="314">
        <f t="shared" si="0"/>
        <v>0</v>
      </c>
      <c r="F26" s="310">
        <f t="shared" si="1"/>
        <v>0.98</v>
      </c>
      <c r="G26" s="310">
        <f t="shared" si="2"/>
        <v>1.08</v>
      </c>
      <c r="H26" s="310">
        <v>0.05</v>
      </c>
      <c r="I26" s="310">
        <f t="shared" si="3"/>
        <v>0</v>
      </c>
      <c r="J26" s="311">
        <f t="shared" si="4"/>
        <v>0</v>
      </c>
      <c r="K26" s="333">
        <f t="shared" si="5"/>
        <v>0</v>
      </c>
      <c r="L26" s="310">
        <f t="shared" si="6"/>
        <v>0</v>
      </c>
      <c r="M26" s="311">
        <f t="shared" si="7"/>
        <v>0</v>
      </c>
      <c r="N26" s="310">
        <f t="shared" si="8"/>
        <v>0</v>
      </c>
      <c r="O26" s="310">
        <f t="shared" si="9"/>
        <v>0</v>
      </c>
      <c r="P26" s="310">
        <f t="shared" si="10"/>
        <v>0</v>
      </c>
      <c r="Q26" s="310">
        <v>0</v>
      </c>
      <c r="R26" s="333">
        <f t="shared" si="11"/>
        <v>0</v>
      </c>
      <c r="S26" s="331"/>
      <c r="T26" s="313">
        <f>'ORÇAMENTO GERAL'!$J$28</f>
        <v>185.62</v>
      </c>
      <c r="U26" s="313">
        <f>'ORÇAMENTO GERAL'!$J$29</f>
        <v>11.2</v>
      </c>
      <c r="V26" s="313">
        <f>'ORÇAMENTO GERAL'!$J$30</f>
        <v>8.25</v>
      </c>
      <c r="W26" s="313">
        <f>'ORÇAMENTO GERAL'!$J$31</f>
        <v>3.62</v>
      </c>
      <c r="X26" s="313">
        <f>'ORÇAMENTO GERAL'!$J$32</f>
        <v>6.31</v>
      </c>
      <c r="Y26" s="313">
        <f>'ORÇAMENTO GERAL'!$J$33</f>
        <v>40.93</v>
      </c>
      <c r="Z26" s="313">
        <f>'ORÇAMENTO GERAL'!$J$34</f>
        <v>134.83</v>
      </c>
      <c r="AA26" s="313">
        <f>'ORÇAMENTO GERAL'!$J$35</f>
        <v>21.8</v>
      </c>
      <c r="AB26" s="313">
        <f>'ORÇAMENTO GERAL'!$J$36</f>
        <v>45.59</v>
      </c>
      <c r="AC26" s="313">
        <f>'ORÇAMENTO GERAL'!$J$37</f>
        <v>74.83</v>
      </c>
      <c r="AD26" s="313">
        <f t="shared" si="12"/>
        <v>0</v>
      </c>
    </row>
    <row r="27" spans="1:30" s="302" customFormat="1" ht="45" customHeight="1" hidden="1">
      <c r="A27" s="306">
        <v>14</v>
      </c>
      <c r="B27" s="361">
        <f>DADOS!B22</f>
        <v>0</v>
      </c>
      <c r="C27" s="314"/>
      <c r="D27" s="312">
        <v>5</v>
      </c>
      <c r="E27" s="314">
        <f t="shared" si="0"/>
        <v>0</v>
      </c>
      <c r="F27" s="310">
        <f t="shared" si="1"/>
        <v>0.98</v>
      </c>
      <c r="G27" s="310">
        <f t="shared" si="2"/>
        <v>1.08</v>
      </c>
      <c r="H27" s="310">
        <v>0.05</v>
      </c>
      <c r="I27" s="310">
        <f t="shared" si="3"/>
        <v>0</v>
      </c>
      <c r="J27" s="311">
        <f t="shared" si="4"/>
        <v>0</v>
      </c>
      <c r="K27" s="333">
        <f t="shared" si="5"/>
        <v>0</v>
      </c>
      <c r="L27" s="310">
        <f t="shared" si="6"/>
        <v>0</v>
      </c>
      <c r="M27" s="311">
        <f t="shared" si="7"/>
        <v>0</v>
      </c>
      <c r="N27" s="310">
        <f t="shared" si="8"/>
        <v>0</v>
      </c>
      <c r="O27" s="310">
        <f t="shared" si="9"/>
        <v>0</v>
      </c>
      <c r="P27" s="310">
        <f t="shared" si="10"/>
        <v>0</v>
      </c>
      <c r="Q27" s="310">
        <v>0</v>
      </c>
      <c r="R27" s="333">
        <f t="shared" si="11"/>
        <v>0</v>
      </c>
      <c r="S27" s="331"/>
      <c r="T27" s="313">
        <f>'ORÇAMENTO GERAL'!$J$28</f>
        <v>185.62</v>
      </c>
      <c r="U27" s="313">
        <f>'ORÇAMENTO GERAL'!$J$29</f>
        <v>11.2</v>
      </c>
      <c r="V27" s="313">
        <f>'ORÇAMENTO GERAL'!$J$30</f>
        <v>8.25</v>
      </c>
      <c r="W27" s="313">
        <f>'ORÇAMENTO GERAL'!$J$31</f>
        <v>3.62</v>
      </c>
      <c r="X27" s="313">
        <f>'ORÇAMENTO GERAL'!$J$32</f>
        <v>6.31</v>
      </c>
      <c r="Y27" s="313">
        <f>'ORÇAMENTO GERAL'!$J$33</f>
        <v>40.93</v>
      </c>
      <c r="Z27" s="313">
        <f>'ORÇAMENTO GERAL'!$J$34</f>
        <v>134.83</v>
      </c>
      <c r="AA27" s="313">
        <f>'ORÇAMENTO GERAL'!$J$35</f>
        <v>21.8</v>
      </c>
      <c r="AB27" s="313">
        <f>'ORÇAMENTO GERAL'!$J$36</f>
        <v>45.59</v>
      </c>
      <c r="AC27" s="313">
        <f>'ORÇAMENTO GERAL'!$J$37</f>
        <v>74.83</v>
      </c>
      <c r="AD27" s="313">
        <f t="shared" si="12"/>
        <v>0</v>
      </c>
    </row>
    <row r="28" spans="1:30" s="302" customFormat="1" ht="45" customHeight="1" hidden="1">
      <c r="A28" s="306">
        <v>15</v>
      </c>
      <c r="B28" s="361">
        <f>DADOS!B23</f>
        <v>0</v>
      </c>
      <c r="C28" s="314"/>
      <c r="D28" s="312">
        <v>5</v>
      </c>
      <c r="E28" s="314">
        <f t="shared" si="0"/>
        <v>0</v>
      </c>
      <c r="F28" s="310">
        <f t="shared" si="1"/>
        <v>0.98</v>
      </c>
      <c r="G28" s="310">
        <f t="shared" si="2"/>
        <v>1.08</v>
      </c>
      <c r="H28" s="310">
        <v>0.05</v>
      </c>
      <c r="I28" s="310">
        <f t="shared" si="3"/>
        <v>0</v>
      </c>
      <c r="J28" s="311">
        <f t="shared" si="4"/>
        <v>0</v>
      </c>
      <c r="K28" s="333">
        <f t="shared" si="5"/>
        <v>0</v>
      </c>
      <c r="L28" s="310">
        <f t="shared" si="6"/>
        <v>0</v>
      </c>
      <c r="M28" s="311">
        <f t="shared" si="7"/>
        <v>0</v>
      </c>
      <c r="N28" s="310">
        <f t="shared" si="8"/>
        <v>0</v>
      </c>
      <c r="O28" s="310">
        <f t="shared" si="9"/>
        <v>0</v>
      </c>
      <c r="P28" s="310">
        <f t="shared" si="10"/>
        <v>0</v>
      </c>
      <c r="Q28" s="310">
        <v>0</v>
      </c>
      <c r="R28" s="333">
        <f t="shared" si="11"/>
        <v>0</v>
      </c>
      <c r="S28" s="331"/>
      <c r="T28" s="313">
        <f>'ORÇAMENTO GERAL'!$J$28</f>
        <v>185.62</v>
      </c>
      <c r="U28" s="313">
        <f>'ORÇAMENTO GERAL'!$J$29</f>
        <v>11.2</v>
      </c>
      <c r="V28" s="313">
        <f>'ORÇAMENTO GERAL'!$J$30</f>
        <v>8.25</v>
      </c>
      <c r="W28" s="313">
        <f>'ORÇAMENTO GERAL'!$J$31</f>
        <v>3.62</v>
      </c>
      <c r="X28" s="313">
        <f>'ORÇAMENTO GERAL'!$J$32</f>
        <v>6.31</v>
      </c>
      <c r="Y28" s="313">
        <f>'ORÇAMENTO GERAL'!$J$33</f>
        <v>40.93</v>
      </c>
      <c r="Z28" s="313">
        <f>'ORÇAMENTO GERAL'!$J$34</f>
        <v>134.83</v>
      </c>
      <c r="AA28" s="313">
        <f>'ORÇAMENTO GERAL'!$J$35</f>
        <v>21.8</v>
      </c>
      <c r="AB28" s="313">
        <f>'ORÇAMENTO GERAL'!$J$36</f>
        <v>45.59</v>
      </c>
      <c r="AC28" s="313">
        <f>'ORÇAMENTO GERAL'!$J$37</f>
        <v>74.83</v>
      </c>
      <c r="AD28" s="313">
        <f t="shared" si="12"/>
        <v>0</v>
      </c>
    </row>
    <row r="29" spans="1:30" s="302" customFormat="1" ht="45" customHeight="1" hidden="1">
      <c r="A29" s="306">
        <v>16</v>
      </c>
      <c r="B29" s="361">
        <f>DADOS!B24</f>
        <v>0</v>
      </c>
      <c r="C29" s="314"/>
      <c r="D29" s="312">
        <v>5</v>
      </c>
      <c r="E29" s="314">
        <f t="shared" si="0"/>
        <v>0</v>
      </c>
      <c r="F29" s="310">
        <f t="shared" si="1"/>
        <v>0.98</v>
      </c>
      <c r="G29" s="310">
        <f t="shared" si="2"/>
        <v>1.08</v>
      </c>
      <c r="H29" s="310">
        <v>0.05</v>
      </c>
      <c r="I29" s="310">
        <f t="shared" si="3"/>
        <v>0</v>
      </c>
      <c r="J29" s="311">
        <f t="shared" si="4"/>
        <v>0</v>
      </c>
      <c r="K29" s="333">
        <f t="shared" si="5"/>
        <v>0</v>
      </c>
      <c r="L29" s="310">
        <f t="shared" si="6"/>
        <v>0</v>
      </c>
      <c r="M29" s="311">
        <f t="shared" si="7"/>
        <v>0</v>
      </c>
      <c r="N29" s="310">
        <f t="shared" si="8"/>
        <v>0</v>
      </c>
      <c r="O29" s="310">
        <f t="shared" si="9"/>
        <v>0</v>
      </c>
      <c r="P29" s="310">
        <f t="shared" si="10"/>
        <v>0</v>
      </c>
      <c r="Q29" s="310">
        <v>0</v>
      </c>
      <c r="R29" s="333">
        <f t="shared" si="11"/>
        <v>0</v>
      </c>
      <c r="S29" s="331"/>
      <c r="T29" s="313">
        <f>'ORÇAMENTO GERAL'!$J$28</f>
        <v>185.62</v>
      </c>
      <c r="U29" s="313">
        <f>'ORÇAMENTO GERAL'!$J$29</f>
        <v>11.2</v>
      </c>
      <c r="V29" s="313">
        <f>'ORÇAMENTO GERAL'!$J$30</f>
        <v>8.25</v>
      </c>
      <c r="W29" s="313">
        <f>'ORÇAMENTO GERAL'!$J$31</f>
        <v>3.62</v>
      </c>
      <c r="X29" s="313">
        <f>'ORÇAMENTO GERAL'!$J$32</f>
        <v>6.31</v>
      </c>
      <c r="Y29" s="313">
        <f>'ORÇAMENTO GERAL'!$J$33</f>
        <v>40.93</v>
      </c>
      <c r="Z29" s="313">
        <f>'ORÇAMENTO GERAL'!$J$34</f>
        <v>134.83</v>
      </c>
      <c r="AA29" s="313">
        <f>'ORÇAMENTO GERAL'!$J$35</f>
        <v>21.8</v>
      </c>
      <c r="AB29" s="313">
        <f>'ORÇAMENTO GERAL'!$J$36</f>
        <v>45.59</v>
      </c>
      <c r="AC29" s="313">
        <f>'ORÇAMENTO GERAL'!$J$37</f>
        <v>74.83</v>
      </c>
      <c r="AD29" s="313">
        <f t="shared" si="12"/>
        <v>0</v>
      </c>
    </row>
    <row r="30" spans="1:30" s="302" customFormat="1" ht="45" customHeight="1" hidden="1">
      <c r="A30" s="306">
        <v>17</v>
      </c>
      <c r="B30" s="361">
        <f>DADOS!B25</f>
        <v>0</v>
      </c>
      <c r="C30" s="314"/>
      <c r="D30" s="312">
        <v>5</v>
      </c>
      <c r="E30" s="314">
        <f t="shared" si="0"/>
        <v>0</v>
      </c>
      <c r="F30" s="310">
        <f t="shared" si="1"/>
        <v>0.98</v>
      </c>
      <c r="G30" s="310">
        <f t="shared" si="2"/>
        <v>1.08</v>
      </c>
      <c r="H30" s="310">
        <v>0.05</v>
      </c>
      <c r="I30" s="310">
        <f t="shared" si="3"/>
        <v>0</v>
      </c>
      <c r="J30" s="311">
        <f t="shared" si="4"/>
        <v>0</v>
      </c>
      <c r="K30" s="333">
        <f t="shared" si="5"/>
        <v>0</v>
      </c>
      <c r="L30" s="310">
        <f t="shared" si="6"/>
        <v>0</v>
      </c>
      <c r="M30" s="311">
        <f t="shared" si="7"/>
        <v>0</v>
      </c>
      <c r="N30" s="310">
        <f t="shared" si="8"/>
        <v>0</v>
      </c>
      <c r="O30" s="310">
        <f t="shared" si="9"/>
        <v>0</v>
      </c>
      <c r="P30" s="310">
        <f t="shared" si="10"/>
        <v>0</v>
      </c>
      <c r="Q30" s="310">
        <v>0</v>
      </c>
      <c r="R30" s="333">
        <f t="shared" si="11"/>
        <v>0</v>
      </c>
      <c r="S30" s="331"/>
      <c r="T30" s="313">
        <f>'ORÇAMENTO GERAL'!$J$28</f>
        <v>185.62</v>
      </c>
      <c r="U30" s="313">
        <f>'ORÇAMENTO GERAL'!$J$29</f>
        <v>11.2</v>
      </c>
      <c r="V30" s="313">
        <f>'ORÇAMENTO GERAL'!$J$30</f>
        <v>8.25</v>
      </c>
      <c r="W30" s="313">
        <f>'ORÇAMENTO GERAL'!$J$31</f>
        <v>3.62</v>
      </c>
      <c r="X30" s="313">
        <f>'ORÇAMENTO GERAL'!$J$32</f>
        <v>6.31</v>
      </c>
      <c r="Y30" s="313">
        <f>'ORÇAMENTO GERAL'!$J$33</f>
        <v>40.93</v>
      </c>
      <c r="Z30" s="313">
        <f>'ORÇAMENTO GERAL'!$J$34</f>
        <v>134.83</v>
      </c>
      <c r="AA30" s="313">
        <f>'ORÇAMENTO GERAL'!$J$35</f>
        <v>21.8</v>
      </c>
      <c r="AB30" s="313">
        <f>'ORÇAMENTO GERAL'!$J$36</f>
        <v>45.59</v>
      </c>
      <c r="AC30" s="313">
        <f>'ORÇAMENTO GERAL'!$J$37</f>
        <v>74.83</v>
      </c>
      <c r="AD30" s="313">
        <f t="shared" si="12"/>
        <v>0</v>
      </c>
    </row>
    <row r="31" spans="1:30" s="302" customFormat="1" ht="45" customHeight="1" hidden="1">
      <c r="A31" s="306">
        <v>18</v>
      </c>
      <c r="B31" s="361">
        <f>DADOS!B26</f>
        <v>0</v>
      </c>
      <c r="C31" s="314"/>
      <c r="D31" s="312">
        <v>5</v>
      </c>
      <c r="E31" s="314">
        <f t="shared" si="0"/>
        <v>0</v>
      </c>
      <c r="F31" s="310">
        <f t="shared" si="1"/>
        <v>0.98</v>
      </c>
      <c r="G31" s="310">
        <f t="shared" si="2"/>
        <v>1.08</v>
      </c>
      <c r="H31" s="310">
        <v>0.05</v>
      </c>
      <c r="I31" s="310">
        <f t="shared" si="3"/>
        <v>0</v>
      </c>
      <c r="J31" s="311">
        <f t="shared" si="4"/>
        <v>0</v>
      </c>
      <c r="K31" s="333">
        <f t="shared" si="5"/>
        <v>0</v>
      </c>
      <c r="L31" s="310">
        <f t="shared" si="6"/>
        <v>0</v>
      </c>
      <c r="M31" s="311">
        <f t="shared" si="7"/>
        <v>0</v>
      </c>
      <c r="N31" s="310">
        <f t="shared" si="8"/>
        <v>0</v>
      </c>
      <c r="O31" s="310">
        <f t="shared" si="9"/>
        <v>0</v>
      </c>
      <c r="P31" s="310">
        <f t="shared" si="10"/>
        <v>0</v>
      </c>
      <c r="Q31" s="310">
        <v>0</v>
      </c>
      <c r="R31" s="333">
        <f t="shared" si="11"/>
        <v>0</v>
      </c>
      <c r="S31" s="331"/>
      <c r="T31" s="313">
        <f>'ORÇAMENTO GERAL'!$J$28</f>
        <v>185.62</v>
      </c>
      <c r="U31" s="313">
        <f>'ORÇAMENTO GERAL'!$J$29</f>
        <v>11.2</v>
      </c>
      <c r="V31" s="313">
        <f>'ORÇAMENTO GERAL'!$J$30</f>
        <v>8.25</v>
      </c>
      <c r="W31" s="313">
        <f>'ORÇAMENTO GERAL'!$J$31</f>
        <v>3.62</v>
      </c>
      <c r="X31" s="313">
        <f>'ORÇAMENTO GERAL'!$J$32</f>
        <v>6.31</v>
      </c>
      <c r="Y31" s="313">
        <f>'ORÇAMENTO GERAL'!$J$33</f>
        <v>40.93</v>
      </c>
      <c r="Z31" s="313">
        <f>'ORÇAMENTO GERAL'!$J$34</f>
        <v>134.83</v>
      </c>
      <c r="AA31" s="313">
        <f>'ORÇAMENTO GERAL'!$J$35</f>
        <v>21.8</v>
      </c>
      <c r="AB31" s="313">
        <f>'ORÇAMENTO GERAL'!$J$36</f>
        <v>45.59</v>
      </c>
      <c r="AC31" s="313">
        <f>'ORÇAMENTO GERAL'!$J$37</f>
        <v>74.83</v>
      </c>
      <c r="AD31" s="313">
        <f t="shared" si="12"/>
        <v>0</v>
      </c>
    </row>
    <row r="32" spans="1:30" s="302" customFormat="1" ht="45" customHeight="1" hidden="1">
      <c r="A32" s="306">
        <v>19</v>
      </c>
      <c r="B32" s="361">
        <f>DADOS!B27</f>
        <v>0</v>
      </c>
      <c r="C32" s="314"/>
      <c r="D32" s="312">
        <v>5</v>
      </c>
      <c r="E32" s="314">
        <f t="shared" si="0"/>
        <v>0</v>
      </c>
      <c r="F32" s="310">
        <f t="shared" si="1"/>
        <v>0.98</v>
      </c>
      <c r="G32" s="310">
        <f t="shared" si="2"/>
        <v>1.08</v>
      </c>
      <c r="H32" s="310">
        <v>0.05</v>
      </c>
      <c r="I32" s="310">
        <f t="shared" si="3"/>
        <v>0</v>
      </c>
      <c r="J32" s="311">
        <f t="shared" si="4"/>
        <v>0</v>
      </c>
      <c r="K32" s="333">
        <f t="shared" si="5"/>
        <v>0</v>
      </c>
      <c r="L32" s="310">
        <f t="shared" si="6"/>
        <v>0</v>
      </c>
      <c r="M32" s="311">
        <f t="shared" si="7"/>
        <v>0</v>
      </c>
      <c r="N32" s="310">
        <f t="shared" si="8"/>
        <v>0</v>
      </c>
      <c r="O32" s="310">
        <f t="shared" si="9"/>
        <v>0</v>
      </c>
      <c r="P32" s="310">
        <f t="shared" si="10"/>
        <v>0</v>
      </c>
      <c r="Q32" s="310">
        <v>0</v>
      </c>
      <c r="R32" s="333">
        <f t="shared" si="11"/>
        <v>0</v>
      </c>
      <c r="S32" s="331"/>
      <c r="T32" s="313">
        <f>'ORÇAMENTO GERAL'!$J$28</f>
        <v>185.62</v>
      </c>
      <c r="U32" s="313">
        <f>'ORÇAMENTO GERAL'!$J$29</f>
        <v>11.2</v>
      </c>
      <c r="V32" s="313">
        <f>'ORÇAMENTO GERAL'!$J$30</f>
        <v>8.25</v>
      </c>
      <c r="W32" s="313">
        <f>'ORÇAMENTO GERAL'!$J$31</f>
        <v>3.62</v>
      </c>
      <c r="X32" s="313">
        <f>'ORÇAMENTO GERAL'!$J$32</f>
        <v>6.31</v>
      </c>
      <c r="Y32" s="313">
        <f>'ORÇAMENTO GERAL'!$J$33</f>
        <v>40.93</v>
      </c>
      <c r="Z32" s="313">
        <f>'ORÇAMENTO GERAL'!$J$34</f>
        <v>134.83</v>
      </c>
      <c r="AA32" s="313">
        <f>'ORÇAMENTO GERAL'!$J$35</f>
        <v>21.8</v>
      </c>
      <c r="AB32" s="313">
        <f>'ORÇAMENTO GERAL'!$J$36</f>
        <v>45.59</v>
      </c>
      <c r="AC32" s="313">
        <f>'ORÇAMENTO GERAL'!$J$37</f>
        <v>74.83</v>
      </c>
      <c r="AD32" s="313">
        <f t="shared" si="12"/>
        <v>0</v>
      </c>
    </row>
    <row r="33" spans="1:30" s="302" customFormat="1" ht="45" customHeight="1" hidden="1" thickBot="1">
      <c r="A33" s="306">
        <v>20</v>
      </c>
      <c r="B33" s="361">
        <f>DADOS!B28</f>
        <v>0</v>
      </c>
      <c r="C33" s="314"/>
      <c r="D33" s="312">
        <v>5</v>
      </c>
      <c r="E33" s="314">
        <f t="shared" si="0"/>
        <v>0</v>
      </c>
      <c r="F33" s="310">
        <f t="shared" si="1"/>
        <v>0.98</v>
      </c>
      <c r="G33" s="310">
        <f t="shared" si="2"/>
        <v>1.08</v>
      </c>
      <c r="H33" s="310">
        <v>0.05</v>
      </c>
      <c r="I33" s="310">
        <f t="shared" si="3"/>
        <v>0</v>
      </c>
      <c r="J33" s="311">
        <f t="shared" si="4"/>
        <v>0</v>
      </c>
      <c r="K33" s="333">
        <f t="shared" si="5"/>
        <v>0</v>
      </c>
      <c r="L33" s="310">
        <f t="shared" si="6"/>
        <v>0</v>
      </c>
      <c r="M33" s="311">
        <f t="shared" si="7"/>
        <v>0</v>
      </c>
      <c r="N33" s="310">
        <f t="shared" si="8"/>
        <v>0</v>
      </c>
      <c r="O33" s="310">
        <f t="shared" si="9"/>
        <v>0</v>
      </c>
      <c r="P33" s="310">
        <f t="shared" si="10"/>
        <v>0</v>
      </c>
      <c r="Q33" s="310">
        <v>0</v>
      </c>
      <c r="R33" s="333">
        <f t="shared" si="11"/>
        <v>0</v>
      </c>
      <c r="S33" s="331"/>
      <c r="T33" s="313">
        <f>'ORÇAMENTO GERAL'!$J$28</f>
        <v>185.62</v>
      </c>
      <c r="U33" s="313">
        <f>'ORÇAMENTO GERAL'!$J$29</f>
        <v>11.2</v>
      </c>
      <c r="V33" s="313">
        <f>'ORÇAMENTO GERAL'!$J$30</f>
        <v>8.25</v>
      </c>
      <c r="W33" s="313">
        <f>'ORÇAMENTO GERAL'!$J$31</f>
        <v>3.62</v>
      </c>
      <c r="X33" s="313">
        <f>'ORÇAMENTO GERAL'!$J$32</f>
        <v>6.31</v>
      </c>
      <c r="Y33" s="313">
        <f>'ORÇAMENTO GERAL'!$J$33</f>
        <v>40.93</v>
      </c>
      <c r="Z33" s="313">
        <f>'ORÇAMENTO GERAL'!$J$34</f>
        <v>134.83</v>
      </c>
      <c r="AA33" s="313">
        <f>'ORÇAMENTO GERAL'!$J$35</f>
        <v>21.8</v>
      </c>
      <c r="AB33" s="313">
        <f>'ORÇAMENTO GERAL'!$J$36</f>
        <v>45.59</v>
      </c>
      <c r="AC33" s="313">
        <f>'ORÇAMENTO GERAL'!$J$37</f>
        <v>74.83</v>
      </c>
      <c r="AD33" s="313">
        <f t="shared" si="12"/>
        <v>0</v>
      </c>
    </row>
    <row r="34" spans="1:19" s="302" customFormat="1" ht="60" customHeight="1" thickBot="1">
      <c r="A34" s="641" t="s">
        <v>24</v>
      </c>
      <c r="B34" s="642"/>
      <c r="C34" s="315"/>
      <c r="D34" s="315"/>
      <c r="E34" s="315">
        <f>SUM(E14:E33)</f>
        <v>70</v>
      </c>
      <c r="F34" s="315"/>
      <c r="G34" s="315"/>
      <c r="H34" s="315"/>
      <c r="I34" s="315">
        <f>SUM(I14:I33)</f>
        <v>77.87</v>
      </c>
      <c r="J34" s="315">
        <f aca="true" t="shared" si="13" ref="J34:R34">SUM(J14:J33)</f>
        <v>8.79</v>
      </c>
      <c r="K34" s="315">
        <f t="shared" si="13"/>
        <v>109.88</v>
      </c>
      <c r="L34" s="315">
        <f t="shared" si="13"/>
        <v>68.6</v>
      </c>
      <c r="M34" s="315">
        <f t="shared" si="13"/>
        <v>68.6</v>
      </c>
      <c r="N34" s="315">
        <f t="shared" si="13"/>
        <v>8.79</v>
      </c>
      <c r="O34" s="315">
        <f t="shared" si="13"/>
        <v>48.36</v>
      </c>
      <c r="P34" s="315">
        <f t="shared" si="13"/>
        <v>20.72</v>
      </c>
      <c r="Q34" s="315">
        <f t="shared" si="13"/>
        <v>0</v>
      </c>
      <c r="R34" s="315">
        <f t="shared" si="13"/>
        <v>70</v>
      </c>
      <c r="S34" s="330"/>
    </row>
    <row r="35" spans="1:19" s="319" customFormat="1" ht="45" customHeight="1" thickBot="1">
      <c r="A35" s="316"/>
      <c r="B35" s="317"/>
      <c r="C35" s="317"/>
      <c r="D35" s="317"/>
      <c r="E35" s="317"/>
      <c r="F35" s="318"/>
      <c r="G35" s="317"/>
      <c r="H35" s="317"/>
      <c r="I35" s="317"/>
      <c r="J35" s="317"/>
      <c r="K35" s="302"/>
      <c r="L35" s="317"/>
      <c r="M35" s="317"/>
      <c r="N35" s="317"/>
      <c r="O35" s="317"/>
      <c r="P35" s="317"/>
      <c r="Q35" s="317"/>
      <c r="R35" s="302"/>
      <c r="S35" s="302"/>
    </row>
    <row r="36" spans="1:19" s="302" customFormat="1" ht="45" customHeight="1" thickBot="1">
      <c r="A36" s="643" t="s">
        <v>403</v>
      </c>
      <c r="B36" s="644"/>
      <c r="C36" s="644"/>
      <c r="D36" s="644"/>
      <c r="E36" s="644"/>
      <c r="F36" s="644"/>
      <c r="G36" s="644"/>
      <c r="H36" s="644"/>
      <c r="I36" s="644"/>
      <c r="J36" s="644"/>
      <c r="K36" s="644"/>
      <c r="L36" s="644"/>
      <c r="M36" s="644"/>
      <c r="N36" s="644"/>
      <c r="O36" s="644"/>
      <c r="P36" s="644"/>
      <c r="Q36" s="644"/>
      <c r="R36" s="645"/>
      <c r="S36" s="328"/>
    </row>
    <row r="37" spans="1:19" s="302" customFormat="1" ht="45" customHeight="1">
      <c r="A37" s="646" t="s">
        <v>7</v>
      </c>
      <c r="B37" s="649" t="s">
        <v>406</v>
      </c>
      <c r="C37" s="652" t="s">
        <v>411</v>
      </c>
      <c r="D37" s="652"/>
      <c r="E37" s="652"/>
      <c r="F37" s="654" t="s">
        <v>532</v>
      </c>
      <c r="G37" s="654"/>
      <c r="H37" s="654"/>
      <c r="I37" s="654"/>
      <c r="J37" s="654" t="s">
        <v>533</v>
      </c>
      <c r="K37" s="659" t="s">
        <v>536</v>
      </c>
      <c r="L37" s="654" t="s">
        <v>397</v>
      </c>
      <c r="M37" s="654" t="s">
        <v>400</v>
      </c>
      <c r="N37" s="656" t="s">
        <v>398</v>
      </c>
      <c r="O37" s="656" t="s">
        <v>534</v>
      </c>
      <c r="P37" s="656" t="s">
        <v>634</v>
      </c>
      <c r="Q37" s="656" t="s">
        <v>535</v>
      </c>
      <c r="R37" s="652" t="s">
        <v>401</v>
      </c>
      <c r="S37" s="328"/>
    </row>
    <row r="38" spans="1:19" s="302" customFormat="1" ht="45" customHeight="1">
      <c r="A38" s="647"/>
      <c r="B38" s="650"/>
      <c r="C38" s="653"/>
      <c r="D38" s="653"/>
      <c r="E38" s="653"/>
      <c r="F38" s="655"/>
      <c r="G38" s="655"/>
      <c r="H38" s="655"/>
      <c r="I38" s="655"/>
      <c r="J38" s="655"/>
      <c r="K38" s="660"/>
      <c r="L38" s="655"/>
      <c r="M38" s="655"/>
      <c r="N38" s="657"/>
      <c r="O38" s="658"/>
      <c r="P38" s="658"/>
      <c r="Q38" s="657"/>
      <c r="R38" s="653"/>
      <c r="S38" s="328"/>
    </row>
    <row r="39" spans="1:19" s="302" customFormat="1" ht="45" customHeight="1">
      <c r="A39" s="647"/>
      <c r="B39" s="650"/>
      <c r="C39" s="303" t="s">
        <v>158</v>
      </c>
      <c r="D39" s="438" t="s">
        <v>576</v>
      </c>
      <c r="E39" s="303" t="s">
        <v>395</v>
      </c>
      <c r="F39" s="303" t="s">
        <v>389</v>
      </c>
      <c r="G39" s="303" t="s">
        <v>394</v>
      </c>
      <c r="H39" s="303" t="s">
        <v>396</v>
      </c>
      <c r="I39" s="303" t="s">
        <v>24</v>
      </c>
      <c r="J39" s="655"/>
      <c r="K39" s="660"/>
      <c r="L39" s="655"/>
      <c r="M39" s="655"/>
      <c r="N39" s="658"/>
      <c r="O39" s="303" t="s">
        <v>24</v>
      </c>
      <c r="P39" s="303" t="s">
        <v>24</v>
      </c>
      <c r="Q39" s="658"/>
      <c r="R39" s="653"/>
      <c r="S39" s="328"/>
    </row>
    <row r="40" spans="1:30" s="302" customFormat="1" ht="45" customHeight="1">
      <c r="A40" s="647"/>
      <c r="B40" s="650"/>
      <c r="C40" s="436"/>
      <c r="D40" s="436"/>
      <c r="E40" s="436" t="s">
        <v>53</v>
      </c>
      <c r="F40" s="436" t="s">
        <v>56</v>
      </c>
      <c r="G40" s="436" t="s">
        <v>16</v>
      </c>
      <c r="H40" s="436" t="s">
        <v>9</v>
      </c>
      <c r="I40" s="436" t="s">
        <v>399</v>
      </c>
      <c r="J40" s="507" t="s">
        <v>604</v>
      </c>
      <c r="K40" s="508" t="s">
        <v>537</v>
      </c>
      <c r="L40" s="507" t="s">
        <v>538</v>
      </c>
      <c r="M40" s="507" t="s">
        <v>539</v>
      </c>
      <c r="N40" s="507" t="s">
        <v>540</v>
      </c>
      <c r="O40" s="507" t="s">
        <v>637</v>
      </c>
      <c r="P40" s="507" t="s">
        <v>638</v>
      </c>
      <c r="Q40" s="507" t="s">
        <v>635</v>
      </c>
      <c r="R40" s="507" t="s">
        <v>636</v>
      </c>
      <c r="S40" s="328"/>
      <c r="T40" s="672" t="s">
        <v>551</v>
      </c>
      <c r="U40" s="673"/>
      <c r="V40" s="673"/>
      <c r="W40" s="673"/>
      <c r="X40" s="673"/>
      <c r="Y40" s="673"/>
      <c r="Z40" s="673"/>
      <c r="AA40" s="673"/>
      <c r="AB40" s="673"/>
      <c r="AC40" s="673"/>
      <c r="AD40" s="674"/>
    </row>
    <row r="41" spans="1:30" s="302" customFormat="1" ht="45" customHeight="1" thickBot="1">
      <c r="A41" s="648"/>
      <c r="B41" s="651"/>
      <c r="C41" s="305" t="s">
        <v>393</v>
      </c>
      <c r="D41" s="305" t="s">
        <v>390</v>
      </c>
      <c r="E41" s="305" t="s">
        <v>390</v>
      </c>
      <c r="F41" s="305" t="s">
        <v>605</v>
      </c>
      <c r="G41" s="305" t="s">
        <v>606</v>
      </c>
      <c r="H41" s="305"/>
      <c r="I41" s="305"/>
      <c r="J41" s="305"/>
      <c r="K41" s="332">
        <v>10</v>
      </c>
      <c r="L41" s="305"/>
      <c r="M41" s="305"/>
      <c r="N41" s="305"/>
      <c r="O41" s="305"/>
      <c r="P41" s="506"/>
      <c r="Q41" s="506" t="s">
        <v>631</v>
      </c>
      <c r="R41" s="305"/>
      <c r="S41" s="329"/>
      <c r="T41" s="438" t="s">
        <v>546</v>
      </c>
      <c r="U41" s="438" t="s">
        <v>547</v>
      </c>
      <c r="V41" s="438" t="s">
        <v>548</v>
      </c>
      <c r="W41" s="438" t="s">
        <v>549</v>
      </c>
      <c r="X41" s="438" t="s">
        <v>550</v>
      </c>
      <c r="Y41" s="438" t="s">
        <v>407</v>
      </c>
      <c r="Z41" s="303" t="s">
        <v>534</v>
      </c>
      <c r="AA41" s="303" t="s">
        <v>634</v>
      </c>
      <c r="AB41" s="303" t="s">
        <v>535</v>
      </c>
      <c r="AC41" s="303" t="s">
        <v>401</v>
      </c>
      <c r="AD41" s="435" t="s">
        <v>24</v>
      </c>
    </row>
    <row r="42" spans="1:30" s="302" customFormat="1" ht="45" customHeight="1" hidden="1">
      <c r="A42" s="306">
        <v>1</v>
      </c>
      <c r="B42" s="361" t="str">
        <f>B14</f>
        <v>TV. SÃO SEBASTIÃO</v>
      </c>
      <c r="C42" s="309">
        <v>1</v>
      </c>
      <c r="D42" s="308"/>
      <c r="E42" s="309">
        <f>C42*D42</f>
        <v>0</v>
      </c>
      <c r="F42" s="310">
        <f>0.72+0.5</f>
        <v>1.22</v>
      </c>
      <c r="G42" s="310">
        <f>0.72+0.6</f>
        <v>1.32</v>
      </c>
      <c r="H42" s="310">
        <v>0.05</v>
      </c>
      <c r="I42" s="310">
        <f>(E42*F42*G42)+(E42*G42*H42)</f>
        <v>0</v>
      </c>
      <c r="J42" s="311">
        <f>N42</f>
        <v>0</v>
      </c>
      <c r="K42" s="333">
        <f>J42*1.25*$K$13</f>
        <v>0</v>
      </c>
      <c r="L42" s="310">
        <f>E42*F42</f>
        <v>0</v>
      </c>
      <c r="M42" s="311">
        <f>L42</f>
        <v>0</v>
      </c>
      <c r="N42" s="310">
        <f>(3.14*0.3^2)*E42</f>
        <v>0</v>
      </c>
      <c r="O42" s="310">
        <f>(I42-N42)*70%</f>
        <v>0</v>
      </c>
      <c r="P42" s="310">
        <f>(I42-N42)*30%</f>
        <v>0</v>
      </c>
      <c r="Q42" s="310">
        <v>0</v>
      </c>
      <c r="R42" s="333">
        <f>E42</f>
        <v>0</v>
      </c>
      <c r="S42" s="331"/>
      <c r="T42" s="442">
        <f>'ORÇAMENTO GERAL'!$J$38</f>
        <v>308.01</v>
      </c>
      <c r="U42" s="442">
        <f>'ORÇAMENTO GERAL'!$J$39</f>
        <v>11.2</v>
      </c>
      <c r="V42" s="442">
        <f>'ORÇAMENTO GERAL'!$J$40</f>
        <v>8.25</v>
      </c>
      <c r="W42" s="442">
        <f>'ORÇAMENTO GERAL'!$J$41</f>
        <v>3.62</v>
      </c>
      <c r="X42" s="442">
        <f>'ORÇAMENTO GERAL'!$J$42</f>
        <v>6.31</v>
      </c>
      <c r="Y42" s="442">
        <f>'ORÇAMENTO GERAL'!$J$43</f>
        <v>40.93</v>
      </c>
      <c r="Z42" s="442">
        <f>'ORÇAMENTO GERAL'!$J$44</f>
        <v>134.83</v>
      </c>
      <c r="AA42" s="442">
        <f>'ORÇAMENTO GERAL'!$J$45</f>
        <v>21.8</v>
      </c>
      <c r="AB42" s="442">
        <f>'ORÇAMENTO GERAL'!$J$46</f>
        <v>45.59</v>
      </c>
      <c r="AC42" s="442">
        <f>'ORÇAMENTO GERAL'!$J$47</f>
        <v>108.95</v>
      </c>
      <c r="AD42" s="313">
        <f>(E42*T42)+(I42*U42)+(J42*V42)+(K42*W42)+(L42*X42)+(M42*Y42)+(O42*Z42)+(P42*AA42)+(Q42*AB42)+(R42*AC42)</f>
        <v>0</v>
      </c>
    </row>
    <row r="43" spans="1:30" s="302" customFormat="1" ht="60" customHeight="1">
      <c r="A43" s="306">
        <v>1</v>
      </c>
      <c r="B43" s="361" t="str">
        <f aca="true" t="shared" si="14" ref="B43:B61">B15</f>
        <v>RUA DO PORTO</v>
      </c>
      <c r="C43" s="314">
        <v>1</v>
      </c>
      <c r="D43" s="311">
        <v>231</v>
      </c>
      <c r="E43" s="310">
        <f>C43*D43</f>
        <v>231</v>
      </c>
      <c r="F43" s="310">
        <f aca="true" t="shared" si="15" ref="F43:F61">0.72+0.5</f>
        <v>1.22</v>
      </c>
      <c r="G43" s="310">
        <f aca="true" t="shared" si="16" ref="G43:G61">0.72+0.6</f>
        <v>1.32</v>
      </c>
      <c r="H43" s="310">
        <v>0.05</v>
      </c>
      <c r="I43" s="310">
        <f>(E43*F43*G43)+(E43*G43*H43)</f>
        <v>387.25</v>
      </c>
      <c r="J43" s="311">
        <f aca="true" t="shared" si="17" ref="J43:J61">N43</f>
        <v>65.28</v>
      </c>
      <c r="K43" s="333">
        <f aca="true" t="shared" si="18" ref="K43:K61">J43*1.25*$K$13</f>
        <v>816</v>
      </c>
      <c r="L43" s="310">
        <f aca="true" t="shared" si="19" ref="L43:L61">E43*F43</f>
        <v>281.82</v>
      </c>
      <c r="M43" s="311">
        <f aca="true" t="shared" si="20" ref="M43:M61">L43</f>
        <v>281.82</v>
      </c>
      <c r="N43" s="310">
        <f aca="true" t="shared" si="21" ref="N43:N61">(3.14*0.3^2)*E43</f>
        <v>65.28</v>
      </c>
      <c r="O43" s="310">
        <f aca="true" t="shared" si="22" ref="O43:O61">(I43-N43)*70%</f>
        <v>225.38</v>
      </c>
      <c r="P43" s="310">
        <f aca="true" t="shared" si="23" ref="P43:P61">(I43-N43)*30%</f>
        <v>96.59</v>
      </c>
      <c r="Q43" s="310">
        <v>0</v>
      </c>
      <c r="R43" s="333">
        <f aca="true" t="shared" si="24" ref="R43:R61">E43</f>
        <v>231</v>
      </c>
      <c r="S43" s="331"/>
      <c r="T43" s="442">
        <f>'ORÇAMENTO GERAL'!$J$38</f>
        <v>308.01</v>
      </c>
      <c r="U43" s="442">
        <f>'ORÇAMENTO GERAL'!$J$39</f>
        <v>11.2</v>
      </c>
      <c r="V43" s="442">
        <f>'ORÇAMENTO GERAL'!$J$40</f>
        <v>8.25</v>
      </c>
      <c r="W43" s="442">
        <f>'ORÇAMENTO GERAL'!$J$41</f>
        <v>3.62</v>
      </c>
      <c r="X43" s="442">
        <f>'ORÇAMENTO GERAL'!$J$42</f>
        <v>6.31</v>
      </c>
      <c r="Y43" s="442">
        <f>'ORÇAMENTO GERAL'!$J$43</f>
        <v>40.93</v>
      </c>
      <c r="Z43" s="442">
        <f>'ORÇAMENTO GERAL'!$J$44</f>
        <v>134.83</v>
      </c>
      <c r="AA43" s="442">
        <f>'ORÇAMENTO GERAL'!$J$45</f>
        <v>21.8</v>
      </c>
      <c r="AB43" s="442">
        <f>'ORÇAMENTO GERAL'!$J$46</f>
        <v>45.59</v>
      </c>
      <c r="AC43" s="442">
        <f>'ORÇAMENTO GERAL'!$J$47</f>
        <v>108.95</v>
      </c>
      <c r="AD43" s="313">
        <f aca="true" t="shared" si="25" ref="AD43:AD61">(E43*T43)+(I43*U43)+(J43*V43)+(K43*W43)+(L43*X43)+(M43*Y43)+(O43*Z43)+(P43*AA43)+(Q43*AB43)+(R43*AC43)</f>
        <v>149954.26</v>
      </c>
    </row>
    <row r="44" spans="1:30" s="302" customFormat="1" ht="60" customHeight="1" thickBot="1">
      <c r="A44" s="306">
        <v>2</v>
      </c>
      <c r="B44" s="361" t="str">
        <f t="shared" si="14"/>
        <v>RUA DO PORTO 2</v>
      </c>
      <c r="C44" s="314">
        <v>1</v>
      </c>
      <c r="D44" s="311"/>
      <c r="E44" s="310">
        <f aca="true" t="shared" si="26" ref="E44:E61">C44*D44</f>
        <v>0</v>
      </c>
      <c r="F44" s="310">
        <f t="shared" si="15"/>
        <v>1.22</v>
      </c>
      <c r="G44" s="310">
        <f t="shared" si="16"/>
        <v>1.32</v>
      </c>
      <c r="H44" s="310">
        <v>0.05</v>
      </c>
      <c r="I44" s="310">
        <f aca="true" t="shared" si="27" ref="I44:I61">(E44*F44*G44)+(E44*G44*H44)</f>
        <v>0</v>
      </c>
      <c r="J44" s="311">
        <f t="shared" si="17"/>
        <v>0</v>
      </c>
      <c r="K44" s="333">
        <f t="shared" si="18"/>
        <v>0</v>
      </c>
      <c r="L44" s="310">
        <f t="shared" si="19"/>
        <v>0</v>
      </c>
      <c r="M44" s="311">
        <f t="shared" si="20"/>
        <v>0</v>
      </c>
      <c r="N44" s="310">
        <f t="shared" si="21"/>
        <v>0</v>
      </c>
      <c r="O44" s="310">
        <f t="shared" si="22"/>
        <v>0</v>
      </c>
      <c r="P44" s="310">
        <f t="shared" si="23"/>
        <v>0</v>
      </c>
      <c r="Q44" s="310">
        <v>0</v>
      </c>
      <c r="R44" s="333">
        <f t="shared" si="24"/>
        <v>0</v>
      </c>
      <c r="S44" s="331"/>
      <c r="T44" s="442">
        <f>'ORÇAMENTO GERAL'!$J$38</f>
        <v>308.01</v>
      </c>
      <c r="U44" s="442">
        <f>'ORÇAMENTO GERAL'!$J$39</f>
        <v>11.2</v>
      </c>
      <c r="V44" s="442">
        <f>'ORÇAMENTO GERAL'!$J$40</f>
        <v>8.25</v>
      </c>
      <c r="W44" s="442">
        <f>'ORÇAMENTO GERAL'!$J$41</f>
        <v>3.62</v>
      </c>
      <c r="X44" s="442">
        <f>'ORÇAMENTO GERAL'!$J$42</f>
        <v>6.31</v>
      </c>
      <c r="Y44" s="442">
        <f>'ORÇAMENTO GERAL'!$J$43</f>
        <v>40.93</v>
      </c>
      <c r="Z44" s="442">
        <f>'ORÇAMENTO GERAL'!$J$44</f>
        <v>134.83</v>
      </c>
      <c r="AA44" s="442">
        <f>'ORÇAMENTO GERAL'!$J$45</f>
        <v>21.8</v>
      </c>
      <c r="AB44" s="442">
        <f>'ORÇAMENTO GERAL'!$J$46</f>
        <v>45.59</v>
      </c>
      <c r="AC44" s="442">
        <f>'ORÇAMENTO GERAL'!$J$47</f>
        <v>108.95</v>
      </c>
      <c r="AD44" s="313">
        <f t="shared" si="25"/>
        <v>0</v>
      </c>
    </row>
    <row r="45" spans="1:30" s="302" customFormat="1" ht="45" customHeight="1" hidden="1" thickBot="1">
      <c r="A45" s="306">
        <v>3</v>
      </c>
      <c r="B45" s="361">
        <f t="shared" si="14"/>
        <v>0</v>
      </c>
      <c r="C45" s="314">
        <v>1</v>
      </c>
      <c r="D45" s="311"/>
      <c r="E45" s="310">
        <f t="shared" si="26"/>
        <v>0</v>
      </c>
      <c r="F45" s="310">
        <f t="shared" si="15"/>
        <v>1.22</v>
      </c>
      <c r="G45" s="310">
        <f t="shared" si="16"/>
        <v>1.32</v>
      </c>
      <c r="H45" s="310">
        <v>0.05</v>
      </c>
      <c r="I45" s="310">
        <f t="shared" si="27"/>
        <v>0</v>
      </c>
      <c r="J45" s="311">
        <f t="shared" si="17"/>
        <v>0</v>
      </c>
      <c r="K45" s="333">
        <f t="shared" si="18"/>
        <v>0</v>
      </c>
      <c r="L45" s="310">
        <f t="shared" si="19"/>
        <v>0</v>
      </c>
      <c r="M45" s="311">
        <f t="shared" si="20"/>
        <v>0</v>
      </c>
      <c r="N45" s="310">
        <f t="shared" si="21"/>
        <v>0</v>
      </c>
      <c r="O45" s="310">
        <f t="shared" si="22"/>
        <v>0</v>
      </c>
      <c r="P45" s="310">
        <f t="shared" si="23"/>
        <v>0</v>
      </c>
      <c r="Q45" s="310">
        <v>0</v>
      </c>
      <c r="R45" s="333">
        <f t="shared" si="24"/>
        <v>0</v>
      </c>
      <c r="S45" s="331"/>
      <c r="T45" s="442">
        <f>'ORÇAMENTO GERAL'!$J$38</f>
        <v>308.01</v>
      </c>
      <c r="U45" s="442">
        <f>'ORÇAMENTO GERAL'!$J$39</f>
        <v>11.2</v>
      </c>
      <c r="V45" s="442">
        <f>'ORÇAMENTO GERAL'!$J$40</f>
        <v>8.25</v>
      </c>
      <c r="W45" s="442">
        <f>'ORÇAMENTO GERAL'!$J$41</f>
        <v>3.62</v>
      </c>
      <c r="X45" s="442">
        <f>'ORÇAMENTO GERAL'!$J$42</f>
        <v>6.31</v>
      </c>
      <c r="Y45" s="442">
        <f>'ORÇAMENTO GERAL'!$J$43</f>
        <v>40.93</v>
      </c>
      <c r="Z45" s="442">
        <f>'ORÇAMENTO GERAL'!$J$44</f>
        <v>134.83</v>
      </c>
      <c r="AA45" s="442">
        <f>'ORÇAMENTO GERAL'!$J$45</f>
        <v>21.8</v>
      </c>
      <c r="AB45" s="442">
        <f>'ORÇAMENTO GERAL'!$J$46</f>
        <v>45.59</v>
      </c>
      <c r="AC45" s="442">
        <f>'ORÇAMENTO GERAL'!$J$47</f>
        <v>108.95</v>
      </c>
      <c r="AD45" s="313">
        <f t="shared" si="25"/>
        <v>0</v>
      </c>
    </row>
    <row r="46" spans="1:30" s="302" customFormat="1" ht="45" customHeight="1" hidden="1">
      <c r="A46" s="306">
        <v>5</v>
      </c>
      <c r="B46" s="361">
        <f t="shared" si="14"/>
        <v>0</v>
      </c>
      <c r="C46" s="314">
        <v>1</v>
      </c>
      <c r="D46" s="311"/>
      <c r="E46" s="310">
        <f t="shared" si="26"/>
        <v>0</v>
      </c>
      <c r="F46" s="310">
        <f t="shared" si="15"/>
        <v>1.22</v>
      </c>
      <c r="G46" s="310">
        <f t="shared" si="16"/>
        <v>1.32</v>
      </c>
      <c r="H46" s="310">
        <v>0.05</v>
      </c>
      <c r="I46" s="310">
        <f t="shared" si="27"/>
        <v>0</v>
      </c>
      <c r="J46" s="311">
        <f t="shared" si="17"/>
        <v>0</v>
      </c>
      <c r="K46" s="333">
        <f t="shared" si="18"/>
        <v>0</v>
      </c>
      <c r="L46" s="310">
        <f t="shared" si="19"/>
        <v>0</v>
      </c>
      <c r="M46" s="311">
        <f t="shared" si="20"/>
        <v>0</v>
      </c>
      <c r="N46" s="310">
        <f t="shared" si="21"/>
        <v>0</v>
      </c>
      <c r="O46" s="310">
        <f t="shared" si="22"/>
        <v>0</v>
      </c>
      <c r="P46" s="310">
        <f t="shared" si="23"/>
        <v>0</v>
      </c>
      <c r="Q46" s="310">
        <v>0</v>
      </c>
      <c r="R46" s="333">
        <f t="shared" si="24"/>
        <v>0</v>
      </c>
      <c r="S46" s="331"/>
      <c r="T46" s="442">
        <f>'ORÇAMENTO GERAL'!$J$38</f>
        <v>308.01</v>
      </c>
      <c r="U46" s="442">
        <f>'ORÇAMENTO GERAL'!$J$39</f>
        <v>11.2</v>
      </c>
      <c r="V46" s="442">
        <f>'ORÇAMENTO GERAL'!$J$40</f>
        <v>8.25</v>
      </c>
      <c r="W46" s="442">
        <f>'ORÇAMENTO GERAL'!$J$41</f>
        <v>3.62</v>
      </c>
      <c r="X46" s="442">
        <f>'ORÇAMENTO GERAL'!$J$42</f>
        <v>6.31</v>
      </c>
      <c r="Y46" s="442">
        <f>'ORÇAMENTO GERAL'!$J$43</f>
        <v>40.93</v>
      </c>
      <c r="Z46" s="442">
        <f>'ORÇAMENTO GERAL'!$J$44</f>
        <v>134.83</v>
      </c>
      <c r="AA46" s="442">
        <f>'ORÇAMENTO GERAL'!$J$45</f>
        <v>21.8</v>
      </c>
      <c r="AB46" s="442">
        <f>'ORÇAMENTO GERAL'!$J$46</f>
        <v>45.59</v>
      </c>
      <c r="AC46" s="442">
        <f>'ORÇAMENTO GERAL'!$J$47</f>
        <v>108.95</v>
      </c>
      <c r="AD46" s="313">
        <f t="shared" si="25"/>
        <v>0</v>
      </c>
    </row>
    <row r="47" spans="1:30" s="302" customFormat="1" ht="45" customHeight="1" hidden="1">
      <c r="A47" s="306">
        <v>6</v>
      </c>
      <c r="B47" s="361">
        <f t="shared" si="14"/>
        <v>0</v>
      </c>
      <c r="C47" s="314">
        <v>1</v>
      </c>
      <c r="D47" s="311"/>
      <c r="E47" s="310">
        <f t="shared" si="26"/>
        <v>0</v>
      </c>
      <c r="F47" s="310">
        <f t="shared" si="15"/>
        <v>1.22</v>
      </c>
      <c r="G47" s="310">
        <f t="shared" si="16"/>
        <v>1.32</v>
      </c>
      <c r="H47" s="310">
        <v>0.05</v>
      </c>
      <c r="I47" s="310">
        <f t="shared" si="27"/>
        <v>0</v>
      </c>
      <c r="J47" s="311">
        <f t="shared" si="17"/>
        <v>0</v>
      </c>
      <c r="K47" s="333">
        <f t="shared" si="18"/>
        <v>0</v>
      </c>
      <c r="L47" s="310">
        <f t="shared" si="19"/>
        <v>0</v>
      </c>
      <c r="M47" s="311">
        <f t="shared" si="20"/>
        <v>0</v>
      </c>
      <c r="N47" s="310">
        <f t="shared" si="21"/>
        <v>0</v>
      </c>
      <c r="O47" s="310">
        <f t="shared" si="22"/>
        <v>0</v>
      </c>
      <c r="P47" s="310">
        <f t="shared" si="23"/>
        <v>0</v>
      </c>
      <c r="Q47" s="310">
        <v>0</v>
      </c>
      <c r="R47" s="333">
        <f t="shared" si="24"/>
        <v>0</v>
      </c>
      <c r="S47" s="331"/>
      <c r="T47" s="442">
        <f>'ORÇAMENTO GERAL'!$J$38</f>
        <v>308.01</v>
      </c>
      <c r="U47" s="442">
        <f>'ORÇAMENTO GERAL'!$J$39</f>
        <v>11.2</v>
      </c>
      <c r="V47" s="442">
        <f>'ORÇAMENTO GERAL'!$J$40</f>
        <v>8.25</v>
      </c>
      <c r="W47" s="442">
        <f>'ORÇAMENTO GERAL'!$J$41</f>
        <v>3.62</v>
      </c>
      <c r="X47" s="442">
        <f>'ORÇAMENTO GERAL'!$J$42</f>
        <v>6.31</v>
      </c>
      <c r="Y47" s="442">
        <f>'ORÇAMENTO GERAL'!$J$43</f>
        <v>40.93</v>
      </c>
      <c r="Z47" s="442">
        <f>'ORÇAMENTO GERAL'!$J$44</f>
        <v>134.83</v>
      </c>
      <c r="AA47" s="442">
        <f>'ORÇAMENTO GERAL'!$J$45</f>
        <v>21.8</v>
      </c>
      <c r="AB47" s="442">
        <f>'ORÇAMENTO GERAL'!$J$46</f>
        <v>45.59</v>
      </c>
      <c r="AC47" s="442">
        <f>'ORÇAMENTO GERAL'!$J$47</f>
        <v>108.95</v>
      </c>
      <c r="AD47" s="313">
        <f t="shared" si="25"/>
        <v>0</v>
      </c>
    </row>
    <row r="48" spans="1:30" s="302" customFormat="1" ht="45" customHeight="1" hidden="1">
      <c r="A48" s="306">
        <v>7</v>
      </c>
      <c r="B48" s="361">
        <f t="shared" si="14"/>
        <v>0</v>
      </c>
      <c r="C48" s="314">
        <v>1</v>
      </c>
      <c r="D48" s="311"/>
      <c r="E48" s="310">
        <f t="shared" si="26"/>
        <v>0</v>
      </c>
      <c r="F48" s="310">
        <f t="shared" si="15"/>
        <v>1.22</v>
      </c>
      <c r="G48" s="310">
        <f t="shared" si="16"/>
        <v>1.32</v>
      </c>
      <c r="H48" s="310">
        <v>0.05</v>
      </c>
      <c r="I48" s="310">
        <f t="shared" si="27"/>
        <v>0</v>
      </c>
      <c r="J48" s="311">
        <f t="shared" si="17"/>
        <v>0</v>
      </c>
      <c r="K48" s="333">
        <f t="shared" si="18"/>
        <v>0</v>
      </c>
      <c r="L48" s="310">
        <f t="shared" si="19"/>
        <v>0</v>
      </c>
      <c r="M48" s="311">
        <f t="shared" si="20"/>
        <v>0</v>
      </c>
      <c r="N48" s="310">
        <f t="shared" si="21"/>
        <v>0</v>
      </c>
      <c r="O48" s="310">
        <f t="shared" si="22"/>
        <v>0</v>
      </c>
      <c r="P48" s="310">
        <f t="shared" si="23"/>
        <v>0</v>
      </c>
      <c r="Q48" s="310">
        <v>0</v>
      </c>
      <c r="R48" s="333">
        <f t="shared" si="24"/>
        <v>0</v>
      </c>
      <c r="S48" s="331"/>
      <c r="T48" s="442">
        <f>'ORÇAMENTO GERAL'!$J$38</f>
        <v>308.01</v>
      </c>
      <c r="U48" s="442">
        <f>'ORÇAMENTO GERAL'!$J$39</f>
        <v>11.2</v>
      </c>
      <c r="V48" s="442">
        <f>'ORÇAMENTO GERAL'!$J$40</f>
        <v>8.25</v>
      </c>
      <c r="W48" s="442">
        <f>'ORÇAMENTO GERAL'!$J$41</f>
        <v>3.62</v>
      </c>
      <c r="X48" s="442">
        <f>'ORÇAMENTO GERAL'!$J$42</f>
        <v>6.31</v>
      </c>
      <c r="Y48" s="442">
        <f>'ORÇAMENTO GERAL'!$J$43</f>
        <v>40.93</v>
      </c>
      <c r="Z48" s="442">
        <f>'ORÇAMENTO GERAL'!$J$44</f>
        <v>134.83</v>
      </c>
      <c r="AA48" s="442">
        <f>'ORÇAMENTO GERAL'!$J$45</f>
        <v>21.8</v>
      </c>
      <c r="AB48" s="442">
        <f>'ORÇAMENTO GERAL'!$J$46</f>
        <v>45.59</v>
      </c>
      <c r="AC48" s="442">
        <f>'ORÇAMENTO GERAL'!$J$47</f>
        <v>108.95</v>
      </c>
      <c r="AD48" s="313">
        <f t="shared" si="25"/>
        <v>0</v>
      </c>
    </row>
    <row r="49" spans="1:30" s="302" customFormat="1" ht="45" customHeight="1" hidden="1">
      <c r="A49" s="306">
        <v>8</v>
      </c>
      <c r="B49" s="361">
        <f t="shared" si="14"/>
        <v>0</v>
      </c>
      <c r="C49" s="314">
        <v>1</v>
      </c>
      <c r="D49" s="311"/>
      <c r="E49" s="310">
        <f t="shared" si="26"/>
        <v>0</v>
      </c>
      <c r="F49" s="310">
        <f t="shared" si="15"/>
        <v>1.22</v>
      </c>
      <c r="G49" s="310">
        <f t="shared" si="16"/>
        <v>1.32</v>
      </c>
      <c r="H49" s="310">
        <v>0.05</v>
      </c>
      <c r="I49" s="310">
        <f t="shared" si="27"/>
        <v>0</v>
      </c>
      <c r="J49" s="311">
        <f t="shared" si="17"/>
        <v>0</v>
      </c>
      <c r="K49" s="333">
        <f t="shared" si="18"/>
        <v>0</v>
      </c>
      <c r="L49" s="310">
        <f t="shared" si="19"/>
        <v>0</v>
      </c>
      <c r="M49" s="311">
        <f t="shared" si="20"/>
        <v>0</v>
      </c>
      <c r="N49" s="310">
        <f t="shared" si="21"/>
        <v>0</v>
      </c>
      <c r="O49" s="310">
        <f t="shared" si="22"/>
        <v>0</v>
      </c>
      <c r="P49" s="310">
        <f t="shared" si="23"/>
        <v>0</v>
      </c>
      <c r="Q49" s="310">
        <v>0</v>
      </c>
      <c r="R49" s="333">
        <f t="shared" si="24"/>
        <v>0</v>
      </c>
      <c r="S49" s="331"/>
      <c r="T49" s="442">
        <f>'ORÇAMENTO GERAL'!$J$38</f>
        <v>308.01</v>
      </c>
      <c r="U49" s="442">
        <f>'ORÇAMENTO GERAL'!$J$39</f>
        <v>11.2</v>
      </c>
      <c r="V49" s="442">
        <f>'ORÇAMENTO GERAL'!$J$40</f>
        <v>8.25</v>
      </c>
      <c r="W49" s="442">
        <f>'ORÇAMENTO GERAL'!$J$41</f>
        <v>3.62</v>
      </c>
      <c r="X49" s="442">
        <f>'ORÇAMENTO GERAL'!$J$42</f>
        <v>6.31</v>
      </c>
      <c r="Y49" s="442">
        <f>'ORÇAMENTO GERAL'!$J$43</f>
        <v>40.93</v>
      </c>
      <c r="Z49" s="442">
        <f>'ORÇAMENTO GERAL'!$J$44</f>
        <v>134.83</v>
      </c>
      <c r="AA49" s="442">
        <f>'ORÇAMENTO GERAL'!$J$45</f>
        <v>21.8</v>
      </c>
      <c r="AB49" s="442">
        <f>'ORÇAMENTO GERAL'!$J$46</f>
        <v>45.59</v>
      </c>
      <c r="AC49" s="442">
        <f>'ORÇAMENTO GERAL'!$J$47</f>
        <v>108.95</v>
      </c>
      <c r="AD49" s="313">
        <f t="shared" si="25"/>
        <v>0</v>
      </c>
    </row>
    <row r="50" spans="1:30" s="302" customFormat="1" ht="45" customHeight="1" hidden="1">
      <c r="A50" s="306">
        <v>9</v>
      </c>
      <c r="B50" s="361">
        <f t="shared" si="14"/>
        <v>0</v>
      </c>
      <c r="C50" s="314">
        <v>1</v>
      </c>
      <c r="D50" s="311"/>
      <c r="E50" s="310">
        <f t="shared" si="26"/>
        <v>0</v>
      </c>
      <c r="F50" s="310">
        <f t="shared" si="15"/>
        <v>1.22</v>
      </c>
      <c r="G50" s="310">
        <f t="shared" si="16"/>
        <v>1.32</v>
      </c>
      <c r="H50" s="310">
        <v>0.05</v>
      </c>
      <c r="I50" s="310">
        <f t="shared" si="27"/>
        <v>0</v>
      </c>
      <c r="J50" s="311">
        <f t="shared" si="17"/>
        <v>0</v>
      </c>
      <c r="K50" s="333">
        <f t="shared" si="18"/>
        <v>0</v>
      </c>
      <c r="L50" s="310">
        <f t="shared" si="19"/>
        <v>0</v>
      </c>
      <c r="M50" s="311">
        <f t="shared" si="20"/>
        <v>0</v>
      </c>
      <c r="N50" s="310">
        <f t="shared" si="21"/>
        <v>0</v>
      </c>
      <c r="O50" s="310">
        <f t="shared" si="22"/>
        <v>0</v>
      </c>
      <c r="P50" s="310">
        <f t="shared" si="23"/>
        <v>0</v>
      </c>
      <c r="Q50" s="310">
        <v>0</v>
      </c>
      <c r="R50" s="333">
        <f t="shared" si="24"/>
        <v>0</v>
      </c>
      <c r="S50" s="331"/>
      <c r="T50" s="442">
        <f>'ORÇAMENTO GERAL'!$J$38</f>
        <v>308.01</v>
      </c>
      <c r="U50" s="442">
        <f>'ORÇAMENTO GERAL'!$J$39</f>
        <v>11.2</v>
      </c>
      <c r="V50" s="442">
        <f>'ORÇAMENTO GERAL'!$J$40</f>
        <v>8.25</v>
      </c>
      <c r="W50" s="442">
        <f>'ORÇAMENTO GERAL'!$J$41</f>
        <v>3.62</v>
      </c>
      <c r="X50" s="442">
        <f>'ORÇAMENTO GERAL'!$J$42</f>
        <v>6.31</v>
      </c>
      <c r="Y50" s="442">
        <f>'ORÇAMENTO GERAL'!$J$43</f>
        <v>40.93</v>
      </c>
      <c r="Z50" s="442">
        <f>'ORÇAMENTO GERAL'!$J$44</f>
        <v>134.83</v>
      </c>
      <c r="AA50" s="442">
        <f>'ORÇAMENTO GERAL'!$J$45</f>
        <v>21.8</v>
      </c>
      <c r="AB50" s="442">
        <f>'ORÇAMENTO GERAL'!$J$46</f>
        <v>45.59</v>
      </c>
      <c r="AC50" s="442">
        <f>'ORÇAMENTO GERAL'!$J$47</f>
        <v>108.95</v>
      </c>
      <c r="AD50" s="313">
        <f t="shared" si="25"/>
        <v>0</v>
      </c>
    </row>
    <row r="51" spans="1:30" s="302" customFormat="1" ht="45" customHeight="1" hidden="1">
      <c r="A51" s="306">
        <v>10</v>
      </c>
      <c r="B51" s="361">
        <f t="shared" si="14"/>
        <v>0</v>
      </c>
      <c r="C51" s="314">
        <v>1</v>
      </c>
      <c r="D51" s="311"/>
      <c r="E51" s="310">
        <f t="shared" si="26"/>
        <v>0</v>
      </c>
      <c r="F51" s="310">
        <f t="shared" si="15"/>
        <v>1.22</v>
      </c>
      <c r="G51" s="310">
        <f t="shared" si="16"/>
        <v>1.32</v>
      </c>
      <c r="H51" s="310">
        <v>0.05</v>
      </c>
      <c r="I51" s="310">
        <f t="shared" si="27"/>
        <v>0</v>
      </c>
      <c r="J51" s="311">
        <f t="shared" si="17"/>
        <v>0</v>
      </c>
      <c r="K51" s="333">
        <f t="shared" si="18"/>
        <v>0</v>
      </c>
      <c r="L51" s="310">
        <f t="shared" si="19"/>
        <v>0</v>
      </c>
      <c r="M51" s="311">
        <f t="shared" si="20"/>
        <v>0</v>
      </c>
      <c r="N51" s="310">
        <f t="shared" si="21"/>
        <v>0</v>
      </c>
      <c r="O51" s="310">
        <f t="shared" si="22"/>
        <v>0</v>
      </c>
      <c r="P51" s="310">
        <f t="shared" si="23"/>
        <v>0</v>
      </c>
      <c r="Q51" s="310">
        <v>0</v>
      </c>
      <c r="R51" s="333">
        <f t="shared" si="24"/>
        <v>0</v>
      </c>
      <c r="S51" s="331"/>
      <c r="T51" s="442">
        <f>'ORÇAMENTO GERAL'!$J$38</f>
        <v>308.01</v>
      </c>
      <c r="U51" s="442">
        <f>'ORÇAMENTO GERAL'!$J$39</f>
        <v>11.2</v>
      </c>
      <c r="V51" s="442">
        <f>'ORÇAMENTO GERAL'!$J$40</f>
        <v>8.25</v>
      </c>
      <c r="W51" s="442">
        <f>'ORÇAMENTO GERAL'!$J$41</f>
        <v>3.62</v>
      </c>
      <c r="X51" s="442">
        <f>'ORÇAMENTO GERAL'!$J$42</f>
        <v>6.31</v>
      </c>
      <c r="Y51" s="442">
        <f>'ORÇAMENTO GERAL'!$J$43</f>
        <v>40.93</v>
      </c>
      <c r="Z51" s="442">
        <f>'ORÇAMENTO GERAL'!$J$44</f>
        <v>134.83</v>
      </c>
      <c r="AA51" s="442">
        <f>'ORÇAMENTO GERAL'!$J$45</f>
        <v>21.8</v>
      </c>
      <c r="AB51" s="442">
        <f>'ORÇAMENTO GERAL'!$J$46</f>
        <v>45.59</v>
      </c>
      <c r="AC51" s="442">
        <f>'ORÇAMENTO GERAL'!$J$47</f>
        <v>108.95</v>
      </c>
      <c r="AD51" s="313">
        <f t="shared" si="25"/>
        <v>0</v>
      </c>
    </row>
    <row r="52" spans="1:30" s="302" customFormat="1" ht="45" customHeight="1" hidden="1">
      <c r="A52" s="306">
        <v>11</v>
      </c>
      <c r="B52" s="361">
        <f t="shared" si="14"/>
        <v>0</v>
      </c>
      <c r="C52" s="314">
        <v>1</v>
      </c>
      <c r="D52" s="311"/>
      <c r="E52" s="310">
        <f t="shared" si="26"/>
        <v>0</v>
      </c>
      <c r="F52" s="310">
        <f t="shared" si="15"/>
        <v>1.22</v>
      </c>
      <c r="G52" s="310">
        <f t="shared" si="16"/>
        <v>1.32</v>
      </c>
      <c r="H52" s="310">
        <v>0.05</v>
      </c>
      <c r="I52" s="310">
        <f t="shared" si="27"/>
        <v>0</v>
      </c>
      <c r="J52" s="311">
        <f t="shared" si="17"/>
        <v>0</v>
      </c>
      <c r="K52" s="333">
        <f t="shared" si="18"/>
        <v>0</v>
      </c>
      <c r="L52" s="310">
        <f t="shared" si="19"/>
        <v>0</v>
      </c>
      <c r="M52" s="311">
        <f t="shared" si="20"/>
        <v>0</v>
      </c>
      <c r="N52" s="310">
        <f t="shared" si="21"/>
        <v>0</v>
      </c>
      <c r="O52" s="310">
        <f t="shared" si="22"/>
        <v>0</v>
      </c>
      <c r="P52" s="310">
        <f t="shared" si="23"/>
        <v>0</v>
      </c>
      <c r="Q52" s="310">
        <v>0</v>
      </c>
      <c r="R52" s="333">
        <f t="shared" si="24"/>
        <v>0</v>
      </c>
      <c r="S52" s="331"/>
      <c r="T52" s="442">
        <f>'ORÇAMENTO GERAL'!$J$38</f>
        <v>308.01</v>
      </c>
      <c r="U52" s="442">
        <f>'ORÇAMENTO GERAL'!$J$39</f>
        <v>11.2</v>
      </c>
      <c r="V52" s="442">
        <f>'ORÇAMENTO GERAL'!$J$40</f>
        <v>8.25</v>
      </c>
      <c r="W52" s="442">
        <f>'ORÇAMENTO GERAL'!$J$41</f>
        <v>3.62</v>
      </c>
      <c r="X52" s="442">
        <f>'ORÇAMENTO GERAL'!$J$42</f>
        <v>6.31</v>
      </c>
      <c r="Y52" s="442">
        <f>'ORÇAMENTO GERAL'!$J$43</f>
        <v>40.93</v>
      </c>
      <c r="Z52" s="442">
        <f>'ORÇAMENTO GERAL'!$J$44</f>
        <v>134.83</v>
      </c>
      <c r="AA52" s="442">
        <f>'ORÇAMENTO GERAL'!$J$45</f>
        <v>21.8</v>
      </c>
      <c r="AB52" s="442">
        <f>'ORÇAMENTO GERAL'!$J$46</f>
        <v>45.59</v>
      </c>
      <c r="AC52" s="442">
        <f>'ORÇAMENTO GERAL'!$J$47</f>
        <v>108.95</v>
      </c>
      <c r="AD52" s="313">
        <f t="shared" si="25"/>
        <v>0</v>
      </c>
    </row>
    <row r="53" spans="1:30" s="302" customFormat="1" ht="45" customHeight="1" hidden="1">
      <c r="A53" s="306">
        <v>12</v>
      </c>
      <c r="B53" s="361">
        <f t="shared" si="14"/>
        <v>0</v>
      </c>
      <c r="C53" s="314">
        <v>1</v>
      </c>
      <c r="D53" s="311"/>
      <c r="E53" s="310">
        <f t="shared" si="26"/>
        <v>0</v>
      </c>
      <c r="F53" s="310">
        <f t="shared" si="15"/>
        <v>1.22</v>
      </c>
      <c r="G53" s="310">
        <f t="shared" si="16"/>
        <v>1.32</v>
      </c>
      <c r="H53" s="310">
        <v>0.05</v>
      </c>
      <c r="I53" s="310">
        <f t="shared" si="27"/>
        <v>0</v>
      </c>
      <c r="J53" s="311">
        <f t="shared" si="17"/>
        <v>0</v>
      </c>
      <c r="K53" s="333">
        <f t="shared" si="18"/>
        <v>0</v>
      </c>
      <c r="L53" s="310">
        <f t="shared" si="19"/>
        <v>0</v>
      </c>
      <c r="M53" s="311">
        <f t="shared" si="20"/>
        <v>0</v>
      </c>
      <c r="N53" s="310">
        <f t="shared" si="21"/>
        <v>0</v>
      </c>
      <c r="O53" s="310">
        <f t="shared" si="22"/>
        <v>0</v>
      </c>
      <c r="P53" s="310">
        <f t="shared" si="23"/>
        <v>0</v>
      </c>
      <c r="Q53" s="310">
        <v>0</v>
      </c>
      <c r="R53" s="333">
        <f t="shared" si="24"/>
        <v>0</v>
      </c>
      <c r="S53" s="331"/>
      <c r="T53" s="442">
        <f>'ORÇAMENTO GERAL'!$J$38</f>
        <v>308.01</v>
      </c>
      <c r="U53" s="442">
        <f>'ORÇAMENTO GERAL'!$J$39</f>
        <v>11.2</v>
      </c>
      <c r="V53" s="442">
        <f>'ORÇAMENTO GERAL'!$J$40</f>
        <v>8.25</v>
      </c>
      <c r="W53" s="442">
        <f>'ORÇAMENTO GERAL'!$J$41</f>
        <v>3.62</v>
      </c>
      <c r="X53" s="442">
        <f>'ORÇAMENTO GERAL'!$J$42</f>
        <v>6.31</v>
      </c>
      <c r="Y53" s="442">
        <f>'ORÇAMENTO GERAL'!$J$43</f>
        <v>40.93</v>
      </c>
      <c r="Z53" s="442">
        <f>'ORÇAMENTO GERAL'!$J$44</f>
        <v>134.83</v>
      </c>
      <c r="AA53" s="442">
        <f>'ORÇAMENTO GERAL'!$J$45</f>
        <v>21.8</v>
      </c>
      <c r="AB53" s="442">
        <f>'ORÇAMENTO GERAL'!$J$46</f>
        <v>45.59</v>
      </c>
      <c r="AC53" s="442">
        <f>'ORÇAMENTO GERAL'!$J$47</f>
        <v>108.95</v>
      </c>
      <c r="AD53" s="313">
        <f t="shared" si="25"/>
        <v>0</v>
      </c>
    </row>
    <row r="54" spans="1:30" s="302" customFormat="1" ht="45" customHeight="1" hidden="1">
      <c r="A54" s="306">
        <v>13</v>
      </c>
      <c r="B54" s="361">
        <f t="shared" si="14"/>
        <v>0</v>
      </c>
      <c r="C54" s="314">
        <v>1</v>
      </c>
      <c r="D54" s="311"/>
      <c r="E54" s="310">
        <f t="shared" si="26"/>
        <v>0</v>
      </c>
      <c r="F54" s="310">
        <f t="shared" si="15"/>
        <v>1.22</v>
      </c>
      <c r="G54" s="310">
        <f t="shared" si="16"/>
        <v>1.32</v>
      </c>
      <c r="H54" s="310">
        <v>0.05</v>
      </c>
      <c r="I54" s="310">
        <f t="shared" si="27"/>
        <v>0</v>
      </c>
      <c r="J54" s="311">
        <f t="shared" si="17"/>
        <v>0</v>
      </c>
      <c r="K54" s="333">
        <f t="shared" si="18"/>
        <v>0</v>
      </c>
      <c r="L54" s="310">
        <f t="shared" si="19"/>
        <v>0</v>
      </c>
      <c r="M54" s="311">
        <f t="shared" si="20"/>
        <v>0</v>
      </c>
      <c r="N54" s="310">
        <f t="shared" si="21"/>
        <v>0</v>
      </c>
      <c r="O54" s="310">
        <f t="shared" si="22"/>
        <v>0</v>
      </c>
      <c r="P54" s="310">
        <f t="shared" si="23"/>
        <v>0</v>
      </c>
      <c r="Q54" s="310">
        <v>0</v>
      </c>
      <c r="R54" s="333">
        <f t="shared" si="24"/>
        <v>0</v>
      </c>
      <c r="S54" s="331"/>
      <c r="T54" s="442">
        <f>'ORÇAMENTO GERAL'!$J$38</f>
        <v>308.01</v>
      </c>
      <c r="U54" s="442">
        <f>'ORÇAMENTO GERAL'!$J$39</f>
        <v>11.2</v>
      </c>
      <c r="V54" s="442">
        <f>'ORÇAMENTO GERAL'!$J$40</f>
        <v>8.25</v>
      </c>
      <c r="W54" s="442">
        <f>'ORÇAMENTO GERAL'!$J$41</f>
        <v>3.62</v>
      </c>
      <c r="X54" s="442">
        <f>'ORÇAMENTO GERAL'!$J$42</f>
        <v>6.31</v>
      </c>
      <c r="Y54" s="442">
        <f>'ORÇAMENTO GERAL'!$J$43</f>
        <v>40.93</v>
      </c>
      <c r="Z54" s="442">
        <f>'ORÇAMENTO GERAL'!$J$44</f>
        <v>134.83</v>
      </c>
      <c r="AA54" s="442">
        <f>'ORÇAMENTO GERAL'!$J$45</f>
        <v>21.8</v>
      </c>
      <c r="AB54" s="442">
        <f>'ORÇAMENTO GERAL'!$J$46</f>
        <v>45.59</v>
      </c>
      <c r="AC54" s="442">
        <f>'ORÇAMENTO GERAL'!$J$47</f>
        <v>108.95</v>
      </c>
      <c r="AD54" s="313">
        <f t="shared" si="25"/>
        <v>0</v>
      </c>
    </row>
    <row r="55" spans="1:30" s="302" customFormat="1" ht="45" customHeight="1" hidden="1">
      <c r="A55" s="306">
        <v>14</v>
      </c>
      <c r="B55" s="361">
        <f t="shared" si="14"/>
        <v>0</v>
      </c>
      <c r="C55" s="314">
        <v>1</v>
      </c>
      <c r="D55" s="311"/>
      <c r="E55" s="310">
        <f t="shared" si="26"/>
        <v>0</v>
      </c>
      <c r="F55" s="310">
        <f t="shared" si="15"/>
        <v>1.22</v>
      </c>
      <c r="G55" s="310">
        <f t="shared" si="16"/>
        <v>1.32</v>
      </c>
      <c r="H55" s="310">
        <v>0.05</v>
      </c>
      <c r="I55" s="310">
        <f t="shared" si="27"/>
        <v>0</v>
      </c>
      <c r="J55" s="311">
        <f t="shared" si="17"/>
        <v>0</v>
      </c>
      <c r="K55" s="333">
        <f t="shared" si="18"/>
        <v>0</v>
      </c>
      <c r="L55" s="310">
        <f t="shared" si="19"/>
        <v>0</v>
      </c>
      <c r="M55" s="311">
        <f t="shared" si="20"/>
        <v>0</v>
      </c>
      <c r="N55" s="310">
        <f t="shared" si="21"/>
        <v>0</v>
      </c>
      <c r="O55" s="310">
        <f t="shared" si="22"/>
        <v>0</v>
      </c>
      <c r="P55" s="310">
        <f t="shared" si="23"/>
        <v>0</v>
      </c>
      <c r="Q55" s="310">
        <v>0</v>
      </c>
      <c r="R55" s="333">
        <f t="shared" si="24"/>
        <v>0</v>
      </c>
      <c r="S55" s="331"/>
      <c r="T55" s="442">
        <f>'ORÇAMENTO GERAL'!$J$38</f>
        <v>308.01</v>
      </c>
      <c r="U55" s="442">
        <f>'ORÇAMENTO GERAL'!$J$39</f>
        <v>11.2</v>
      </c>
      <c r="V55" s="442">
        <f>'ORÇAMENTO GERAL'!$J$40</f>
        <v>8.25</v>
      </c>
      <c r="W55" s="442">
        <f>'ORÇAMENTO GERAL'!$J$41</f>
        <v>3.62</v>
      </c>
      <c r="X55" s="442">
        <f>'ORÇAMENTO GERAL'!$J$42</f>
        <v>6.31</v>
      </c>
      <c r="Y55" s="442">
        <f>'ORÇAMENTO GERAL'!$J$43</f>
        <v>40.93</v>
      </c>
      <c r="Z55" s="442">
        <f>'ORÇAMENTO GERAL'!$J$44</f>
        <v>134.83</v>
      </c>
      <c r="AA55" s="442">
        <f>'ORÇAMENTO GERAL'!$J$45</f>
        <v>21.8</v>
      </c>
      <c r="AB55" s="442">
        <f>'ORÇAMENTO GERAL'!$J$46</f>
        <v>45.59</v>
      </c>
      <c r="AC55" s="442">
        <f>'ORÇAMENTO GERAL'!$J$47</f>
        <v>108.95</v>
      </c>
      <c r="AD55" s="313">
        <f t="shared" si="25"/>
        <v>0</v>
      </c>
    </row>
    <row r="56" spans="1:30" s="302" customFormat="1" ht="45" customHeight="1" hidden="1">
      <c r="A56" s="306">
        <v>15</v>
      </c>
      <c r="B56" s="361">
        <f t="shared" si="14"/>
        <v>0</v>
      </c>
      <c r="C56" s="314">
        <v>1</v>
      </c>
      <c r="D56" s="311"/>
      <c r="E56" s="310">
        <f t="shared" si="26"/>
        <v>0</v>
      </c>
      <c r="F56" s="310">
        <f t="shared" si="15"/>
        <v>1.22</v>
      </c>
      <c r="G56" s="310">
        <f t="shared" si="16"/>
        <v>1.32</v>
      </c>
      <c r="H56" s="310">
        <v>0.05</v>
      </c>
      <c r="I56" s="310">
        <f t="shared" si="27"/>
        <v>0</v>
      </c>
      <c r="J56" s="311">
        <f t="shared" si="17"/>
        <v>0</v>
      </c>
      <c r="K56" s="333">
        <f t="shared" si="18"/>
        <v>0</v>
      </c>
      <c r="L56" s="310">
        <f t="shared" si="19"/>
        <v>0</v>
      </c>
      <c r="M56" s="311">
        <f t="shared" si="20"/>
        <v>0</v>
      </c>
      <c r="N56" s="310">
        <f t="shared" si="21"/>
        <v>0</v>
      </c>
      <c r="O56" s="310">
        <f t="shared" si="22"/>
        <v>0</v>
      </c>
      <c r="P56" s="310">
        <f t="shared" si="23"/>
        <v>0</v>
      </c>
      <c r="Q56" s="310">
        <v>0</v>
      </c>
      <c r="R56" s="333">
        <f t="shared" si="24"/>
        <v>0</v>
      </c>
      <c r="S56" s="331"/>
      <c r="T56" s="442">
        <f>'ORÇAMENTO GERAL'!$J$38</f>
        <v>308.01</v>
      </c>
      <c r="U56" s="442">
        <f>'ORÇAMENTO GERAL'!$J$39</f>
        <v>11.2</v>
      </c>
      <c r="V56" s="442">
        <f>'ORÇAMENTO GERAL'!$J$40</f>
        <v>8.25</v>
      </c>
      <c r="W56" s="442">
        <f>'ORÇAMENTO GERAL'!$J$41</f>
        <v>3.62</v>
      </c>
      <c r="X56" s="442">
        <f>'ORÇAMENTO GERAL'!$J$42</f>
        <v>6.31</v>
      </c>
      <c r="Y56" s="442">
        <f>'ORÇAMENTO GERAL'!$J$43</f>
        <v>40.93</v>
      </c>
      <c r="Z56" s="442">
        <f>'ORÇAMENTO GERAL'!$J$44</f>
        <v>134.83</v>
      </c>
      <c r="AA56" s="442">
        <f>'ORÇAMENTO GERAL'!$J$45</f>
        <v>21.8</v>
      </c>
      <c r="AB56" s="442">
        <f>'ORÇAMENTO GERAL'!$J$46</f>
        <v>45.59</v>
      </c>
      <c r="AC56" s="442">
        <f>'ORÇAMENTO GERAL'!$J$47</f>
        <v>108.95</v>
      </c>
      <c r="AD56" s="313">
        <f t="shared" si="25"/>
        <v>0</v>
      </c>
    </row>
    <row r="57" spans="1:30" s="302" customFormat="1" ht="45" customHeight="1" hidden="1">
      <c r="A57" s="306">
        <v>16</v>
      </c>
      <c r="B57" s="361">
        <f t="shared" si="14"/>
        <v>0</v>
      </c>
      <c r="C57" s="314">
        <v>1</v>
      </c>
      <c r="D57" s="311"/>
      <c r="E57" s="310">
        <f t="shared" si="26"/>
        <v>0</v>
      </c>
      <c r="F57" s="310">
        <f t="shared" si="15"/>
        <v>1.22</v>
      </c>
      <c r="G57" s="310">
        <f t="shared" si="16"/>
        <v>1.32</v>
      </c>
      <c r="H57" s="310">
        <v>0.05</v>
      </c>
      <c r="I57" s="310">
        <f t="shared" si="27"/>
        <v>0</v>
      </c>
      <c r="J57" s="311">
        <f t="shared" si="17"/>
        <v>0</v>
      </c>
      <c r="K57" s="333">
        <f t="shared" si="18"/>
        <v>0</v>
      </c>
      <c r="L57" s="310">
        <f t="shared" si="19"/>
        <v>0</v>
      </c>
      <c r="M57" s="311">
        <f t="shared" si="20"/>
        <v>0</v>
      </c>
      <c r="N57" s="310">
        <f t="shared" si="21"/>
        <v>0</v>
      </c>
      <c r="O57" s="310">
        <f t="shared" si="22"/>
        <v>0</v>
      </c>
      <c r="P57" s="310">
        <f t="shared" si="23"/>
        <v>0</v>
      </c>
      <c r="Q57" s="310">
        <v>0</v>
      </c>
      <c r="R57" s="333">
        <f t="shared" si="24"/>
        <v>0</v>
      </c>
      <c r="S57" s="331"/>
      <c r="T57" s="442">
        <f>'ORÇAMENTO GERAL'!$J$38</f>
        <v>308.01</v>
      </c>
      <c r="U57" s="442">
        <f>'ORÇAMENTO GERAL'!$J$39</f>
        <v>11.2</v>
      </c>
      <c r="V57" s="442">
        <f>'ORÇAMENTO GERAL'!$J$40</f>
        <v>8.25</v>
      </c>
      <c r="W57" s="442">
        <f>'ORÇAMENTO GERAL'!$J$41</f>
        <v>3.62</v>
      </c>
      <c r="X57" s="442">
        <f>'ORÇAMENTO GERAL'!$J$42</f>
        <v>6.31</v>
      </c>
      <c r="Y57" s="442">
        <f>'ORÇAMENTO GERAL'!$J$43</f>
        <v>40.93</v>
      </c>
      <c r="Z57" s="442">
        <f>'ORÇAMENTO GERAL'!$J$44</f>
        <v>134.83</v>
      </c>
      <c r="AA57" s="442">
        <f>'ORÇAMENTO GERAL'!$J$45</f>
        <v>21.8</v>
      </c>
      <c r="AB57" s="442">
        <f>'ORÇAMENTO GERAL'!$J$46</f>
        <v>45.59</v>
      </c>
      <c r="AC57" s="442">
        <f>'ORÇAMENTO GERAL'!$J$47</f>
        <v>108.95</v>
      </c>
      <c r="AD57" s="313">
        <f t="shared" si="25"/>
        <v>0</v>
      </c>
    </row>
    <row r="58" spans="1:30" s="302" customFormat="1" ht="45" customHeight="1" hidden="1">
      <c r="A58" s="306">
        <v>17</v>
      </c>
      <c r="B58" s="361">
        <f t="shared" si="14"/>
        <v>0</v>
      </c>
      <c r="C58" s="314">
        <v>1</v>
      </c>
      <c r="D58" s="311"/>
      <c r="E58" s="310">
        <f t="shared" si="26"/>
        <v>0</v>
      </c>
      <c r="F58" s="310">
        <f t="shared" si="15"/>
        <v>1.22</v>
      </c>
      <c r="G58" s="310">
        <f t="shared" si="16"/>
        <v>1.32</v>
      </c>
      <c r="H58" s="310">
        <v>0.05</v>
      </c>
      <c r="I58" s="310">
        <f t="shared" si="27"/>
        <v>0</v>
      </c>
      <c r="J58" s="311">
        <f t="shared" si="17"/>
        <v>0</v>
      </c>
      <c r="K58" s="333">
        <f t="shared" si="18"/>
        <v>0</v>
      </c>
      <c r="L58" s="310">
        <f t="shared" si="19"/>
        <v>0</v>
      </c>
      <c r="M58" s="311">
        <f t="shared" si="20"/>
        <v>0</v>
      </c>
      <c r="N58" s="310">
        <f t="shared" si="21"/>
        <v>0</v>
      </c>
      <c r="O58" s="310">
        <f t="shared" si="22"/>
        <v>0</v>
      </c>
      <c r="P58" s="310">
        <f t="shared" si="23"/>
        <v>0</v>
      </c>
      <c r="Q58" s="310">
        <v>0</v>
      </c>
      <c r="R58" s="333">
        <f t="shared" si="24"/>
        <v>0</v>
      </c>
      <c r="S58" s="331"/>
      <c r="T58" s="442">
        <f>'ORÇAMENTO GERAL'!$J$38</f>
        <v>308.01</v>
      </c>
      <c r="U58" s="442">
        <f>'ORÇAMENTO GERAL'!$J$39</f>
        <v>11.2</v>
      </c>
      <c r="V58" s="442">
        <f>'ORÇAMENTO GERAL'!$J$40</f>
        <v>8.25</v>
      </c>
      <c r="W58" s="442">
        <f>'ORÇAMENTO GERAL'!$J$41</f>
        <v>3.62</v>
      </c>
      <c r="X58" s="442">
        <f>'ORÇAMENTO GERAL'!$J$42</f>
        <v>6.31</v>
      </c>
      <c r="Y58" s="442">
        <f>'ORÇAMENTO GERAL'!$J$43</f>
        <v>40.93</v>
      </c>
      <c r="Z58" s="442">
        <f>'ORÇAMENTO GERAL'!$J$44</f>
        <v>134.83</v>
      </c>
      <c r="AA58" s="442">
        <f>'ORÇAMENTO GERAL'!$J$45</f>
        <v>21.8</v>
      </c>
      <c r="AB58" s="442">
        <f>'ORÇAMENTO GERAL'!$J$46</f>
        <v>45.59</v>
      </c>
      <c r="AC58" s="442">
        <f>'ORÇAMENTO GERAL'!$J$47</f>
        <v>108.95</v>
      </c>
      <c r="AD58" s="313">
        <f t="shared" si="25"/>
        <v>0</v>
      </c>
    </row>
    <row r="59" spans="1:30" s="302" customFormat="1" ht="45" customHeight="1" hidden="1">
      <c r="A59" s="306">
        <v>18</v>
      </c>
      <c r="B59" s="361">
        <f t="shared" si="14"/>
        <v>0</v>
      </c>
      <c r="C59" s="314">
        <v>1</v>
      </c>
      <c r="D59" s="311"/>
      <c r="E59" s="310">
        <f t="shared" si="26"/>
        <v>0</v>
      </c>
      <c r="F59" s="310">
        <f t="shared" si="15"/>
        <v>1.22</v>
      </c>
      <c r="G59" s="310">
        <f t="shared" si="16"/>
        <v>1.32</v>
      </c>
      <c r="H59" s="310">
        <v>0.05</v>
      </c>
      <c r="I59" s="310">
        <f t="shared" si="27"/>
        <v>0</v>
      </c>
      <c r="J59" s="311">
        <f t="shared" si="17"/>
        <v>0</v>
      </c>
      <c r="K59" s="333">
        <f t="shared" si="18"/>
        <v>0</v>
      </c>
      <c r="L59" s="310">
        <f t="shared" si="19"/>
        <v>0</v>
      </c>
      <c r="M59" s="311">
        <f t="shared" si="20"/>
        <v>0</v>
      </c>
      <c r="N59" s="310">
        <f t="shared" si="21"/>
        <v>0</v>
      </c>
      <c r="O59" s="310">
        <f t="shared" si="22"/>
        <v>0</v>
      </c>
      <c r="P59" s="310">
        <f t="shared" si="23"/>
        <v>0</v>
      </c>
      <c r="Q59" s="310">
        <v>0</v>
      </c>
      <c r="R59" s="333">
        <f t="shared" si="24"/>
        <v>0</v>
      </c>
      <c r="S59" s="331"/>
      <c r="T59" s="442">
        <f>'ORÇAMENTO GERAL'!$J$38</f>
        <v>308.01</v>
      </c>
      <c r="U59" s="442">
        <f>'ORÇAMENTO GERAL'!$J$39</f>
        <v>11.2</v>
      </c>
      <c r="V59" s="442">
        <f>'ORÇAMENTO GERAL'!$J$40</f>
        <v>8.25</v>
      </c>
      <c r="W59" s="442">
        <f>'ORÇAMENTO GERAL'!$J$41</f>
        <v>3.62</v>
      </c>
      <c r="X59" s="442">
        <f>'ORÇAMENTO GERAL'!$J$42</f>
        <v>6.31</v>
      </c>
      <c r="Y59" s="442">
        <f>'ORÇAMENTO GERAL'!$J$43</f>
        <v>40.93</v>
      </c>
      <c r="Z59" s="442">
        <f>'ORÇAMENTO GERAL'!$J$44</f>
        <v>134.83</v>
      </c>
      <c r="AA59" s="442">
        <f>'ORÇAMENTO GERAL'!$J$45</f>
        <v>21.8</v>
      </c>
      <c r="AB59" s="442">
        <f>'ORÇAMENTO GERAL'!$J$46</f>
        <v>45.59</v>
      </c>
      <c r="AC59" s="442">
        <f>'ORÇAMENTO GERAL'!$J$47</f>
        <v>108.95</v>
      </c>
      <c r="AD59" s="313">
        <f t="shared" si="25"/>
        <v>0</v>
      </c>
    </row>
    <row r="60" spans="1:30" s="302" customFormat="1" ht="45" customHeight="1" hidden="1">
      <c r="A60" s="306">
        <v>19</v>
      </c>
      <c r="B60" s="361">
        <f t="shared" si="14"/>
        <v>0</v>
      </c>
      <c r="C60" s="314">
        <v>1</v>
      </c>
      <c r="D60" s="311"/>
      <c r="E60" s="310">
        <f t="shared" si="26"/>
        <v>0</v>
      </c>
      <c r="F60" s="310">
        <f t="shared" si="15"/>
        <v>1.22</v>
      </c>
      <c r="G60" s="310">
        <f t="shared" si="16"/>
        <v>1.32</v>
      </c>
      <c r="H60" s="310">
        <v>0.05</v>
      </c>
      <c r="I60" s="310">
        <f t="shared" si="27"/>
        <v>0</v>
      </c>
      <c r="J60" s="311">
        <f t="shared" si="17"/>
        <v>0</v>
      </c>
      <c r="K60" s="333">
        <f t="shared" si="18"/>
        <v>0</v>
      </c>
      <c r="L60" s="310">
        <f t="shared" si="19"/>
        <v>0</v>
      </c>
      <c r="M60" s="311">
        <f t="shared" si="20"/>
        <v>0</v>
      </c>
      <c r="N60" s="310">
        <f t="shared" si="21"/>
        <v>0</v>
      </c>
      <c r="O60" s="310">
        <f t="shared" si="22"/>
        <v>0</v>
      </c>
      <c r="P60" s="310">
        <f t="shared" si="23"/>
        <v>0</v>
      </c>
      <c r="Q60" s="310">
        <v>0</v>
      </c>
      <c r="R60" s="333">
        <f t="shared" si="24"/>
        <v>0</v>
      </c>
      <c r="S60" s="331"/>
      <c r="T60" s="442">
        <f>'ORÇAMENTO GERAL'!$J$38</f>
        <v>308.01</v>
      </c>
      <c r="U60" s="442">
        <f>'ORÇAMENTO GERAL'!$J$39</f>
        <v>11.2</v>
      </c>
      <c r="V60" s="442">
        <f>'ORÇAMENTO GERAL'!$J$40</f>
        <v>8.25</v>
      </c>
      <c r="W60" s="442">
        <f>'ORÇAMENTO GERAL'!$J$41</f>
        <v>3.62</v>
      </c>
      <c r="X60" s="442">
        <f>'ORÇAMENTO GERAL'!$J$42</f>
        <v>6.31</v>
      </c>
      <c r="Y60" s="442">
        <f>'ORÇAMENTO GERAL'!$J$43</f>
        <v>40.93</v>
      </c>
      <c r="Z60" s="442">
        <f>'ORÇAMENTO GERAL'!$J$44</f>
        <v>134.83</v>
      </c>
      <c r="AA60" s="442">
        <f>'ORÇAMENTO GERAL'!$J$45</f>
        <v>21.8</v>
      </c>
      <c r="AB60" s="442">
        <f>'ORÇAMENTO GERAL'!$J$46</f>
        <v>45.59</v>
      </c>
      <c r="AC60" s="442">
        <f>'ORÇAMENTO GERAL'!$J$47</f>
        <v>108.95</v>
      </c>
      <c r="AD60" s="313">
        <f t="shared" si="25"/>
        <v>0</v>
      </c>
    </row>
    <row r="61" spans="1:30" s="302" customFormat="1" ht="45" customHeight="1" hidden="1" thickBot="1">
      <c r="A61" s="337">
        <v>20</v>
      </c>
      <c r="B61" s="361">
        <f t="shared" si="14"/>
        <v>0</v>
      </c>
      <c r="C61" s="314">
        <v>1</v>
      </c>
      <c r="D61" s="311"/>
      <c r="E61" s="310">
        <f t="shared" si="26"/>
        <v>0</v>
      </c>
      <c r="F61" s="310">
        <f t="shared" si="15"/>
        <v>1.22</v>
      </c>
      <c r="G61" s="310">
        <f t="shared" si="16"/>
        <v>1.32</v>
      </c>
      <c r="H61" s="310">
        <v>0.05</v>
      </c>
      <c r="I61" s="310">
        <f t="shared" si="27"/>
        <v>0</v>
      </c>
      <c r="J61" s="311">
        <f t="shared" si="17"/>
        <v>0</v>
      </c>
      <c r="K61" s="333">
        <f t="shared" si="18"/>
        <v>0</v>
      </c>
      <c r="L61" s="310">
        <f t="shared" si="19"/>
        <v>0</v>
      </c>
      <c r="M61" s="311">
        <f t="shared" si="20"/>
        <v>0</v>
      </c>
      <c r="N61" s="310">
        <f t="shared" si="21"/>
        <v>0</v>
      </c>
      <c r="O61" s="310">
        <f t="shared" si="22"/>
        <v>0</v>
      </c>
      <c r="P61" s="310">
        <f t="shared" si="23"/>
        <v>0</v>
      </c>
      <c r="Q61" s="310">
        <v>0</v>
      </c>
      <c r="R61" s="333">
        <f t="shared" si="24"/>
        <v>0</v>
      </c>
      <c r="S61" s="331"/>
      <c r="T61" s="442">
        <f>'ORÇAMENTO GERAL'!$J$38</f>
        <v>308.01</v>
      </c>
      <c r="U61" s="442">
        <f>'ORÇAMENTO GERAL'!$J$39</f>
        <v>11.2</v>
      </c>
      <c r="V61" s="442">
        <f>'ORÇAMENTO GERAL'!$J$40</f>
        <v>8.25</v>
      </c>
      <c r="W61" s="442">
        <f>'ORÇAMENTO GERAL'!$J$41</f>
        <v>3.62</v>
      </c>
      <c r="X61" s="442">
        <f>'ORÇAMENTO GERAL'!$J$42</f>
        <v>6.31</v>
      </c>
      <c r="Y61" s="442">
        <f>'ORÇAMENTO GERAL'!$J$43</f>
        <v>40.93</v>
      </c>
      <c r="Z61" s="442">
        <f>'ORÇAMENTO GERAL'!$J$44</f>
        <v>134.83</v>
      </c>
      <c r="AA61" s="442">
        <f>'ORÇAMENTO GERAL'!$J$45</f>
        <v>21.8</v>
      </c>
      <c r="AB61" s="442">
        <f>'ORÇAMENTO GERAL'!$J$46</f>
        <v>45.59</v>
      </c>
      <c r="AC61" s="442">
        <f>'ORÇAMENTO GERAL'!$J$47</f>
        <v>108.95</v>
      </c>
      <c r="AD61" s="313">
        <f t="shared" si="25"/>
        <v>0</v>
      </c>
    </row>
    <row r="62" spans="1:19" s="302" customFormat="1" ht="60" customHeight="1" thickBot="1">
      <c r="A62" s="641" t="s">
        <v>24</v>
      </c>
      <c r="B62" s="642"/>
      <c r="C62" s="315"/>
      <c r="D62" s="315"/>
      <c r="E62" s="315">
        <f>SUM(E42:E61)</f>
        <v>231</v>
      </c>
      <c r="F62" s="315"/>
      <c r="G62" s="315"/>
      <c r="H62" s="315"/>
      <c r="I62" s="315">
        <f>SUM(I42:I61)</f>
        <v>387.25</v>
      </c>
      <c r="J62" s="315">
        <f aca="true" t="shared" si="28" ref="J62:R62">SUM(J42:J61)</f>
        <v>65.28</v>
      </c>
      <c r="K62" s="315">
        <f t="shared" si="28"/>
        <v>816</v>
      </c>
      <c r="L62" s="315">
        <f t="shared" si="28"/>
        <v>281.82</v>
      </c>
      <c r="M62" s="315">
        <f t="shared" si="28"/>
        <v>281.82</v>
      </c>
      <c r="N62" s="315">
        <f t="shared" si="28"/>
        <v>65.28</v>
      </c>
      <c r="O62" s="315">
        <f t="shared" si="28"/>
        <v>225.38</v>
      </c>
      <c r="P62" s="315">
        <f t="shared" si="28"/>
        <v>96.59</v>
      </c>
      <c r="Q62" s="315">
        <f t="shared" si="28"/>
        <v>0</v>
      </c>
      <c r="R62" s="315">
        <f t="shared" si="28"/>
        <v>231</v>
      </c>
      <c r="S62" s="330"/>
    </row>
    <row r="63" spans="3:8" s="302" customFormat="1" ht="45" customHeight="1">
      <c r="C63" s="320"/>
      <c r="D63" s="320"/>
      <c r="E63" s="320"/>
      <c r="F63" s="320"/>
      <c r="G63" s="320"/>
      <c r="H63" s="320"/>
    </row>
    <row r="64" spans="1:19" s="302" customFormat="1" ht="45" customHeight="1" hidden="1" thickBot="1">
      <c r="A64" s="643" t="s">
        <v>404</v>
      </c>
      <c r="B64" s="644"/>
      <c r="C64" s="644"/>
      <c r="D64" s="644"/>
      <c r="E64" s="644"/>
      <c r="F64" s="644"/>
      <c r="G64" s="644"/>
      <c r="H64" s="644"/>
      <c r="I64" s="644"/>
      <c r="J64" s="644"/>
      <c r="K64" s="644"/>
      <c r="L64" s="644"/>
      <c r="M64" s="644"/>
      <c r="N64" s="644"/>
      <c r="O64" s="644"/>
      <c r="P64" s="644"/>
      <c r="Q64" s="644"/>
      <c r="R64" s="645"/>
      <c r="S64" s="328"/>
    </row>
    <row r="65" spans="1:19" s="302" customFormat="1" ht="45" customHeight="1" hidden="1">
      <c r="A65" s="646" t="s">
        <v>7</v>
      </c>
      <c r="B65" s="649" t="s">
        <v>406</v>
      </c>
      <c r="C65" s="652" t="s">
        <v>579</v>
      </c>
      <c r="D65" s="652"/>
      <c r="E65" s="652"/>
      <c r="F65" s="654" t="s">
        <v>532</v>
      </c>
      <c r="G65" s="654"/>
      <c r="H65" s="654"/>
      <c r="I65" s="654"/>
      <c r="J65" s="654" t="s">
        <v>533</v>
      </c>
      <c r="K65" s="659" t="s">
        <v>536</v>
      </c>
      <c r="L65" s="654" t="s">
        <v>397</v>
      </c>
      <c r="M65" s="654" t="s">
        <v>400</v>
      </c>
      <c r="N65" s="656" t="s">
        <v>398</v>
      </c>
      <c r="O65" s="656" t="s">
        <v>534</v>
      </c>
      <c r="P65" s="656" t="s">
        <v>634</v>
      </c>
      <c r="Q65" s="656" t="s">
        <v>535</v>
      </c>
      <c r="R65" s="652" t="s">
        <v>401</v>
      </c>
      <c r="S65" s="328"/>
    </row>
    <row r="66" spans="1:19" s="302" customFormat="1" ht="45" customHeight="1" hidden="1">
      <c r="A66" s="647"/>
      <c r="B66" s="650"/>
      <c r="C66" s="653"/>
      <c r="D66" s="653"/>
      <c r="E66" s="653"/>
      <c r="F66" s="655"/>
      <c r="G66" s="655"/>
      <c r="H66" s="655"/>
      <c r="I66" s="655"/>
      <c r="J66" s="655"/>
      <c r="K66" s="660"/>
      <c r="L66" s="655"/>
      <c r="M66" s="655"/>
      <c r="N66" s="657"/>
      <c r="O66" s="658"/>
      <c r="P66" s="658"/>
      <c r="Q66" s="657"/>
      <c r="R66" s="653"/>
      <c r="S66" s="328"/>
    </row>
    <row r="67" spans="1:19" s="302" customFormat="1" ht="45" customHeight="1" hidden="1">
      <c r="A67" s="647"/>
      <c r="B67" s="650"/>
      <c r="C67" s="303" t="s">
        <v>158</v>
      </c>
      <c r="D67" s="438" t="s">
        <v>576</v>
      </c>
      <c r="E67" s="303" t="s">
        <v>395</v>
      </c>
      <c r="F67" s="303" t="s">
        <v>389</v>
      </c>
      <c r="G67" s="303" t="s">
        <v>394</v>
      </c>
      <c r="H67" s="303" t="s">
        <v>396</v>
      </c>
      <c r="I67" s="303" t="s">
        <v>24</v>
      </c>
      <c r="J67" s="655"/>
      <c r="K67" s="660"/>
      <c r="L67" s="655"/>
      <c r="M67" s="655"/>
      <c r="N67" s="658"/>
      <c r="O67" s="303" t="s">
        <v>24</v>
      </c>
      <c r="P67" s="303" t="s">
        <v>24</v>
      </c>
      <c r="Q67" s="658"/>
      <c r="R67" s="653"/>
      <c r="S67" s="328"/>
    </row>
    <row r="68" spans="1:30" s="302" customFormat="1" ht="45" customHeight="1" hidden="1">
      <c r="A68" s="647"/>
      <c r="B68" s="650"/>
      <c r="C68" s="436"/>
      <c r="D68" s="436"/>
      <c r="E68" s="436" t="s">
        <v>53</v>
      </c>
      <c r="F68" s="436" t="s">
        <v>56</v>
      </c>
      <c r="G68" s="436" t="s">
        <v>16</v>
      </c>
      <c r="H68" s="436" t="s">
        <v>9</v>
      </c>
      <c r="I68" s="436" t="s">
        <v>399</v>
      </c>
      <c r="J68" s="507" t="s">
        <v>604</v>
      </c>
      <c r="K68" s="508" t="s">
        <v>537</v>
      </c>
      <c r="L68" s="507" t="s">
        <v>538</v>
      </c>
      <c r="M68" s="507" t="s">
        <v>539</v>
      </c>
      <c r="N68" s="507" t="s">
        <v>540</v>
      </c>
      <c r="O68" s="507" t="s">
        <v>637</v>
      </c>
      <c r="P68" s="507" t="s">
        <v>638</v>
      </c>
      <c r="Q68" s="507" t="s">
        <v>635</v>
      </c>
      <c r="R68" s="507" t="s">
        <v>636</v>
      </c>
      <c r="S68" s="328"/>
      <c r="T68" s="672" t="s">
        <v>552</v>
      </c>
      <c r="U68" s="673"/>
      <c r="V68" s="673"/>
      <c r="W68" s="673"/>
      <c r="X68" s="673"/>
      <c r="Y68" s="673"/>
      <c r="Z68" s="673"/>
      <c r="AA68" s="673"/>
      <c r="AB68" s="673"/>
      <c r="AC68" s="673"/>
      <c r="AD68" s="674"/>
    </row>
    <row r="69" spans="1:30" s="302" customFormat="1" ht="45" customHeight="1" hidden="1" thickBot="1">
      <c r="A69" s="648"/>
      <c r="B69" s="651"/>
      <c r="C69" s="305" t="s">
        <v>393</v>
      </c>
      <c r="D69" s="305" t="s">
        <v>390</v>
      </c>
      <c r="E69" s="305" t="s">
        <v>390</v>
      </c>
      <c r="F69" s="305" t="s">
        <v>605</v>
      </c>
      <c r="G69" s="305" t="s">
        <v>606</v>
      </c>
      <c r="H69" s="305"/>
      <c r="I69" s="305"/>
      <c r="J69" s="305"/>
      <c r="K69" s="332">
        <v>10</v>
      </c>
      <c r="L69" s="305"/>
      <c r="M69" s="305"/>
      <c r="N69" s="305"/>
      <c r="O69" s="305"/>
      <c r="P69" s="506"/>
      <c r="Q69" s="506" t="s">
        <v>631</v>
      </c>
      <c r="R69" s="305"/>
      <c r="S69" s="329"/>
      <c r="T69" s="438" t="s">
        <v>546</v>
      </c>
      <c r="U69" s="438" t="s">
        <v>547</v>
      </c>
      <c r="V69" s="438" t="s">
        <v>548</v>
      </c>
      <c r="W69" s="438" t="s">
        <v>549</v>
      </c>
      <c r="X69" s="438" t="s">
        <v>550</v>
      </c>
      <c r="Y69" s="438" t="s">
        <v>407</v>
      </c>
      <c r="Z69" s="303" t="s">
        <v>534</v>
      </c>
      <c r="AA69" s="303" t="s">
        <v>634</v>
      </c>
      <c r="AB69" s="303" t="s">
        <v>535</v>
      </c>
      <c r="AC69" s="303" t="s">
        <v>401</v>
      </c>
      <c r="AD69" s="435" t="s">
        <v>24</v>
      </c>
    </row>
    <row r="70" spans="1:30" s="302" customFormat="1" ht="45" customHeight="1" hidden="1">
      <c r="A70" s="306">
        <v>1</v>
      </c>
      <c r="B70" s="361" t="str">
        <f>B14</f>
        <v>TV. SÃO SEBASTIÃO</v>
      </c>
      <c r="C70" s="309">
        <v>1</v>
      </c>
      <c r="D70" s="308"/>
      <c r="E70" s="309">
        <f>C70*D70</f>
        <v>0</v>
      </c>
      <c r="F70" s="310">
        <f>0.96+0.5</f>
        <v>1.46</v>
      </c>
      <c r="G70" s="310">
        <f>0.96+0.6</f>
        <v>1.56</v>
      </c>
      <c r="H70" s="310">
        <v>0.05</v>
      </c>
      <c r="I70" s="310">
        <f>(E70*F70*G70)+(E70*G70*H70)</f>
        <v>0</v>
      </c>
      <c r="J70" s="311">
        <f>N70</f>
        <v>0</v>
      </c>
      <c r="K70" s="333">
        <f>J70*1.25*$K$13</f>
        <v>0</v>
      </c>
      <c r="L70" s="310">
        <f>E70*F70</f>
        <v>0</v>
      </c>
      <c r="M70" s="311">
        <f>L70</f>
        <v>0</v>
      </c>
      <c r="N70" s="310">
        <f>(3.14*0.4^2)*E70</f>
        <v>0</v>
      </c>
      <c r="O70" s="310">
        <f>(I70-N70)*70%</f>
        <v>0</v>
      </c>
      <c r="P70" s="310">
        <f>(I70-N70)*30%</f>
        <v>0</v>
      </c>
      <c r="Q70" s="310">
        <v>0</v>
      </c>
      <c r="R70" s="333">
        <f>E70</f>
        <v>0</v>
      </c>
      <c r="S70" s="331"/>
      <c r="T70" s="435">
        <f>'ORÇAMENTO GERAL'!$J$48</f>
        <v>473.82</v>
      </c>
      <c r="U70" s="435">
        <f>'ORÇAMENTO GERAL'!$J$49</f>
        <v>11.2</v>
      </c>
      <c r="V70" s="435">
        <f>'ORÇAMENTO GERAL'!$J$50</f>
        <v>8.25</v>
      </c>
      <c r="W70" s="435">
        <f>'ORÇAMENTO GERAL'!$J$51</f>
        <v>3.62</v>
      </c>
      <c r="X70" s="435">
        <f>'ORÇAMENTO GERAL'!$J$52</f>
        <v>6.31</v>
      </c>
      <c r="Y70" s="435">
        <f>'ORÇAMENTO GERAL'!$J$53</f>
        <v>40.93</v>
      </c>
      <c r="Z70" s="435">
        <f>'ORÇAMENTO GERAL'!$J$54</f>
        <v>134.83</v>
      </c>
      <c r="AA70" s="435">
        <f>'ORÇAMENTO GERAL'!$J$55</f>
        <v>21.8</v>
      </c>
      <c r="AB70" s="435">
        <f>'ORÇAMENTO GERAL'!$J$56</f>
        <v>45.59</v>
      </c>
      <c r="AC70" s="435">
        <f>'ORÇAMENTO GERAL'!$J$57</f>
        <v>146.71</v>
      </c>
      <c r="AD70" s="313">
        <f>(E70*T70)+(I70*U70)+(J70*V70)+(K70*W70)+(L70*X70)+(M70*Y70)+(O70*Z70)+(P70*AA70)+(Q70*AB70)+(R70*AC70)</f>
        <v>0</v>
      </c>
    </row>
    <row r="71" spans="1:30" s="302" customFormat="1" ht="45" customHeight="1" hidden="1">
      <c r="A71" s="306">
        <v>2</v>
      </c>
      <c r="B71" s="361" t="str">
        <f aca="true" t="shared" si="29" ref="B71:B89">B15</f>
        <v>RUA DO PORTO</v>
      </c>
      <c r="C71" s="314">
        <v>1</v>
      </c>
      <c r="D71" s="311"/>
      <c r="E71" s="310">
        <f>C71*D71</f>
        <v>0</v>
      </c>
      <c r="F71" s="310">
        <f aca="true" t="shared" si="30" ref="F71:F89">0.96+0.5</f>
        <v>1.46</v>
      </c>
      <c r="G71" s="310">
        <f aca="true" t="shared" si="31" ref="G71:G89">0.96+0.6</f>
        <v>1.56</v>
      </c>
      <c r="H71" s="310">
        <v>0.05</v>
      </c>
      <c r="I71" s="310">
        <f aca="true" t="shared" si="32" ref="I71:I89">(E71*F71*G71)+(E71*G71*H71)</f>
        <v>0</v>
      </c>
      <c r="J71" s="311">
        <f aca="true" t="shared" si="33" ref="J71:J89">N71</f>
        <v>0</v>
      </c>
      <c r="K71" s="333">
        <f aca="true" t="shared" si="34" ref="K71:K89">J71*1.25*$K$13</f>
        <v>0</v>
      </c>
      <c r="L71" s="310">
        <f aca="true" t="shared" si="35" ref="L71:L89">E71*F71</f>
        <v>0</v>
      </c>
      <c r="M71" s="311">
        <f aca="true" t="shared" si="36" ref="M71:M89">L71</f>
        <v>0</v>
      </c>
      <c r="N71" s="310">
        <f aca="true" t="shared" si="37" ref="N71:N89">(3.14*0.4^2)*E71</f>
        <v>0</v>
      </c>
      <c r="O71" s="310">
        <f aca="true" t="shared" si="38" ref="O71:O89">(I71-N71)*70%</f>
        <v>0</v>
      </c>
      <c r="P71" s="310">
        <f aca="true" t="shared" si="39" ref="P71:P89">(I71-N71)*30%</f>
        <v>0</v>
      </c>
      <c r="Q71" s="310">
        <v>0</v>
      </c>
      <c r="R71" s="333">
        <f aca="true" t="shared" si="40" ref="R71:R89">E71</f>
        <v>0</v>
      </c>
      <c r="S71" s="331"/>
      <c r="T71" s="435">
        <f>'ORÇAMENTO GERAL'!$J$48</f>
        <v>473.82</v>
      </c>
      <c r="U71" s="435">
        <f>'ORÇAMENTO GERAL'!$J$49</f>
        <v>11.2</v>
      </c>
      <c r="V71" s="435">
        <f>'ORÇAMENTO GERAL'!$J$50</f>
        <v>8.25</v>
      </c>
      <c r="W71" s="435">
        <f>'ORÇAMENTO GERAL'!$J$51</f>
        <v>3.62</v>
      </c>
      <c r="X71" s="435">
        <f>'ORÇAMENTO GERAL'!$J$52</f>
        <v>6.31</v>
      </c>
      <c r="Y71" s="435">
        <f>'ORÇAMENTO GERAL'!$J$53</f>
        <v>40.93</v>
      </c>
      <c r="Z71" s="435">
        <f>'ORÇAMENTO GERAL'!$J$54</f>
        <v>134.83</v>
      </c>
      <c r="AA71" s="435">
        <f>'ORÇAMENTO GERAL'!$J$55</f>
        <v>21.8</v>
      </c>
      <c r="AB71" s="435">
        <f>'ORÇAMENTO GERAL'!$J$56</f>
        <v>45.59</v>
      </c>
      <c r="AC71" s="435">
        <f>'ORÇAMENTO GERAL'!$J$57</f>
        <v>146.71</v>
      </c>
      <c r="AD71" s="313">
        <f aca="true" t="shared" si="41" ref="AD71:AD89">(E71*T71)+(I71*U71)+(J71*V71)+(K71*W71)+(L71*X71)+(M71*Y71)+(O71*Z71)+(P71*AA71)+(Q71*AB71)+(R71*AC71)</f>
        <v>0</v>
      </c>
    </row>
    <row r="72" spans="1:30" s="302" customFormat="1" ht="45" customHeight="1" hidden="1">
      <c r="A72" s="306">
        <v>3</v>
      </c>
      <c r="B72" s="361" t="str">
        <f t="shared" si="29"/>
        <v>RUA DO PORTO 2</v>
      </c>
      <c r="C72" s="314">
        <v>1</v>
      </c>
      <c r="D72" s="311"/>
      <c r="E72" s="310">
        <f aca="true" t="shared" si="42" ref="E72:E89">C72*D72</f>
        <v>0</v>
      </c>
      <c r="F72" s="310">
        <f t="shared" si="30"/>
        <v>1.46</v>
      </c>
      <c r="G72" s="310">
        <f t="shared" si="31"/>
        <v>1.56</v>
      </c>
      <c r="H72" s="310">
        <v>0.05</v>
      </c>
      <c r="I72" s="310">
        <f t="shared" si="32"/>
        <v>0</v>
      </c>
      <c r="J72" s="311">
        <f t="shared" si="33"/>
        <v>0</v>
      </c>
      <c r="K72" s="333">
        <f t="shared" si="34"/>
        <v>0</v>
      </c>
      <c r="L72" s="310">
        <f t="shared" si="35"/>
        <v>0</v>
      </c>
      <c r="M72" s="311">
        <f t="shared" si="36"/>
        <v>0</v>
      </c>
      <c r="N72" s="310">
        <f t="shared" si="37"/>
        <v>0</v>
      </c>
      <c r="O72" s="310">
        <f t="shared" si="38"/>
        <v>0</v>
      </c>
      <c r="P72" s="310">
        <f t="shared" si="39"/>
        <v>0</v>
      </c>
      <c r="Q72" s="310">
        <v>0</v>
      </c>
      <c r="R72" s="333">
        <f t="shared" si="40"/>
        <v>0</v>
      </c>
      <c r="S72" s="331"/>
      <c r="T72" s="435">
        <f>'ORÇAMENTO GERAL'!$J$48</f>
        <v>473.82</v>
      </c>
      <c r="U72" s="435">
        <f>'ORÇAMENTO GERAL'!$J$49</f>
        <v>11.2</v>
      </c>
      <c r="V72" s="435">
        <f>'ORÇAMENTO GERAL'!$J$50</f>
        <v>8.25</v>
      </c>
      <c r="W72" s="435">
        <f>'ORÇAMENTO GERAL'!$J$51</f>
        <v>3.62</v>
      </c>
      <c r="X72" s="435">
        <f>'ORÇAMENTO GERAL'!$J$52</f>
        <v>6.31</v>
      </c>
      <c r="Y72" s="435">
        <f>'ORÇAMENTO GERAL'!$J$53</f>
        <v>40.93</v>
      </c>
      <c r="Z72" s="435">
        <f>'ORÇAMENTO GERAL'!$J$54</f>
        <v>134.83</v>
      </c>
      <c r="AA72" s="435">
        <f>'ORÇAMENTO GERAL'!$J$55</f>
        <v>21.8</v>
      </c>
      <c r="AB72" s="435">
        <f>'ORÇAMENTO GERAL'!$J$56</f>
        <v>45.59</v>
      </c>
      <c r="AC72" s="435">
        <f>'ORÇAMENTO GERAL'!$J$57</f>
        <v>146.71</v>
      </c>
      <c r="AD72" s="313">
        <f t="shared" si="41"/>
        <v>0</v>
      </c>
    </row>
    <row r="73" spans="1:30" s="302" customFormat="1" ht="45" customHeight="1" hidden="1">
      <c r="A73" s="306">
        <v>4</v>
      </c>
      <c r="B73" s="361">
        <f t="shared" si="29"/>
        <v>0</v>
      </c>
      <c r="C73" s="314">
        <v>1</v>
      </c>
      <c r="D73" s="311"/>
      <c r="E73" s="310">
        <f t="shared" si="42"/>
        <v>0</v>
      </c>
      <c r="F73" s="310">
        <f t="shared" si="30"/>
        <v>1.46</v>
      </c>
      <c r="G73" s="310">
        <f t="shared" si="31"/>
        <v>1.56</v>
      </c>
      <c r="H73" s="310">
        <v>0.05</v>
      </c>
      <c r="I73" s="310">
        <f t="shared" si="32"/>
        <v>0</v>
      </c>
      <c r="J73" s="311">
        <f t="shared" si="33"/>
        <v>0</v>
      </c>
      <c r="K73" s="333">
        <f t="shared" si="34"/>
        <v>0</v>
      </c>
      <c r="L73" s="310">
        <f t="shared" si="35"/>
        <v>0</v>
      </c>
      <c r="M73" s="311">
        <f t="shared" si="36"/>
        <v>0</v>
      </c>
      <c r="N73" s="310">
        <f t="shared" si="37"/>
        <v>0</v>
      </c>
      <c r="O73" s="310">
        <f t="shared" si="38"/>
        <v>0</v>
      </c>
      <c r="P73" s="310">
        <f t="shared" si="39"/>
        <v>0</v>
      </c>
      <c r="Q73" s="310">
        <v>0</v>
      </c>
      <c r="R73" s="333">
        <f t="shared" si="40"/>
        <v>0</v>
      </c>
      <c r="S73" s="331"/>
      <c r="T73" s="435">
        <f>'ORÇAMENTO GERAL'!$J$48</f>
        <v>473.82</v>
      </c>
      <c r="U73" s="435">
        <f>'ORÇAMENTO GERAL'!$J$49</f>
        <v>11.2</v>
      </c>
      <c r="V73" s="435">
        <f>'ORÇAMENTO GERAL'!$J$50</f>
        <v>8.25</v>
      </c>
      <c r="W73" s="435">
        <f>'ORÇAMENTO GERAL'!$J$51</f>
        <v>3.62</v>
      </c>
      <c r="X73" s="435">
        <f>'ORÇAMENTO GERAL'!$J$52</f>
        <v>6.31</v>
      </c>
      <c r="Y73" s="435">
        <f>'ORÇAMENTO GERAL'!$J$53</f>
        <v>40.93</v>
      </c>
      <c r="Z73" s="435">
        <f>'ORÇAMENTO GERAL'!$J$54</f>
        <v>134.83</v>
      </c>
      <c r="AA73" s="435">
        <f>'ORÇAMENTO GERAL'!$J$55</f>
        <v>21.8</v>
      </c>
      <c r="AB73" s="435">
        <f>'ORÇAMENTO GERAL'!$J$56</f>
        <v>45.59</v>
      </c>
      <c r="AC73" s="435">
        <f>'ORÇAMENTO GERAL'!$J$57</f>
        <v>146.71</v>
      </c>
      <c r="AD73" s="313">
        <f t="shared" si="41"/>
        <v>0</v>
      </c>
    </row>
    <row r="74" spans="1:30" s="302" customFormat="1" ht="45" customHeight="1" hidden="1">
      <c r="A74" s="306">
        <v>5</v>
      </c>
      <c r="B74" s="361">
        <f t="shared" si="29"/>
        <v>0</v>
      </c>
      <c r="C74" s="314">
        <v>1</v>
      </c>
      <c r="D74" s="311"/>
      <c r="E74" s="310">
        <f t="shared" si="42"/>
        <v>0</v>
      </c>
      <c r="F74" s="310">
        <f t="shared" si="30"/>
        <v>1.46</v>
      </c>
      <c r="G74" s="310">
        <f t="shared" si="31"/>
        <v>1.56</v>
      </c>
      <c r="H74" s="310">
        <v>0.05</v>
      </c>
      <c r="I74" s="310">
        <f t="shared" si="32"/>
        <v>0</v>
      </c>
      <c r="J74" s="311">
        <f t="shared" si="33"/>
        <v>0</v>
      </c>
      <c r="K74" s="333">
        <f t="shared" si="34"/>
        <v>0</v>
      </c>
      <c r="L74" s="310">
        <f t="shared" si="35"/>
        <v>0</v>
      </c>
      <c r="M74" s="311">
        <f t="shared" si="36"/>
        <v>0</v>
      </c>
      <c r="N74" s="310">
        <f t="shared" si="37"/>
        <v>0</v>
      </c>
      <c r="O74" s="310">
        <f t="shared" si="38"/>
        <v>0</v>
      </c>
      <c r="P74" s="310">
        <f t="shared" si="39"/>
        <v>0</v>
      </c>
      <c r="Q74" s="310">
        <v>0</v>
      </c>
      <c r="R74" s="333">
        <f t="shared" si="40"/>
        <v>0</v>
      </c>
      <c r="S74" s="331"/>
      <c r="T74" s="435">
        <f>'ORÇAMENTO GERAL'!$J$48</f>
        <v>473.82</v>
      </c>
      <c r="U74" s="435">
        <f>'ORÇAMENTO GERAL'!$J$49</f>
        <v>11.2</v>
      </c>
      <c r="V74" s="435">
        <f>'ORÇAMENTO GERAL'!$J$50</f>
        <v>8.25</v>
      </c>
      <c r="W74" s="435">
        <f>'ORÇAMENTO GERAL'!$J$51</f>
        <v>3.62</v>
      </c>
      <c r="X74" s="435">
        <f>'ORÇAMENTO GERAL'!$J$52</f>
        <v>6.31</v>
      </c>
      <c r="Y74" s="435">
        <f>'ORÇAMENTO GERAL'!$J$53</f>
        <v>40.93</v>
      </c>
      <c r="Z74" s="435">
        <f>'ORÇAMENTO GERAL'!$J$54</f>
        <v>134.83</v>
      </c>
      <c r="AA74" s="435">
        <f>'ORÇAMENTO GERAL'!$J$55</f>
        <v>21.8</v>
      </c>
      <c r="AB74" s="435">
        <f>'ORÇAMENTO GERAL'!$J$56</f>
        <v>45.59</v>
      </c>
      <c r="AC74" s="435">
        <f>'ORÇAMENTO GERAL'!$J$57</f>
        <v>146.71</v>
      </c>
      <c r="AD74" s="313">
        <f t="shared" si="41"/>
        <v>0</v>
      </c>
    </row>
    <row r="75" spans="1:30" s="302" customFormat="1" ht="45" customHeight="1" hidden="1">
      <c r="A75" s="306">
        <v>6</v>
      </c>
      <c r="B75" s="361">
        <f t="shared" si="29"/>
        <v>0</v>
      </c>
      <c r="C75" s="314">
        <v>1</v>
      </c>
      <c r="D75" s="311"/>
      <c r="E75" s="310">
        <f t="shared" si="42"/>
        <v>0</v>
      </c>
      <c r="F75" s="310">
        <f t="shared" si="30"/>
        <v>1.46</v>
      </c>
      <c r="G75" s="310">
        <f t="shared" si="31"/>
        <v>1.56</v>
      </c>
      <c r="H75" s="310">
        <v>0.05</v>
      </c>
      <c r="I75" s="310">
        <f t="shared" si="32"/>
        <v>0</v>
      </c>
      <c r="J75" s="311">
        <f t="shared" si="33"/>
        <v>0</v>
      </c>
      <c r="K75" s="333">
        <f t="shared" si="34"/>
        <v>0</v>
      </c>
      <c r="L75" s="310">
        <f t="shared" si="35"/>
        <v>0</v>
      </c>
      <c r="M75" s="311">
        <f t="shared" si="36"/>
        <v>0</v>
      </c>
      <c r="N75" s="310">
        <f t="shared" si="37"/>
        <v>0</v>
      </c>
      <c r="O75" s="310">
        <f t="shared" si="38"/>
        <v>0</v>
      </c>
      <c r="P75" s="310">
        <f t="shared" si="39"/>
        <v>0</v>
      </c>
      <c r="Q75" s="310">
        <v>0</v>
      </c>
      <c r="R75" s="333">
        <f t="shared" si="40"/>
        <v>0</v>
      </c>
      <c r="S75" s="331"/>
      <c r="T75" s="435">
        <f>'ORÇAMENTO GERAL'!$J$48</f>
        <v>473.82</v>
      </c>
      <c r="U75" s="435">
        <f>'ORÇAMENTO GERAL'!$J$49</f>
        <v>11.2</v>
      </c>
      <c r="V75" s="435">
        <f>'ORÇAMENTO GERAL'!$J$50</f>
        <v>8.25</v>
      </c>
      <c r="W75" s="435">
        <f>'ORÇAMENTO GERAL'!$J$51</f>
        <v>3.62</v>
      </c>
      <c r="X75" s="435">
        <f>'ORÇAMENTO GERAL'!$J$52</f>
        <v>6.31</v>
      </c>
      <c r="Y75" s="435">
        <f>'ORÇAMENTO GERAL'!$J$53</f>
        <v>40.93</v>
      </c>
      <c r="Z75" s="435">
        <f>'ORÇAMENTO GERAL'!$J$54</f>
        <v>134.83</v>
      </c>
      <c r="AA75" s="435">
        <f>'ORÇAMENTO GERAL'!$J$55</f>
        <v>21.8</v>
      </c>
      <c r="AB75" s="435">
        <f>'ORÇAMENTO GERAL'!$J$56</f>
        <v>45.59</v>
      </c>
      <c r="AC75" s="435">
        <f>'ORÇAMENTO GERAL'!$J$57</f>
        <v>146.71</v>
      </c>
      <c r="AD75" s="313">
        <f t="shared" si="41"/>
        <v>0</v>
      </c>
    </row>
    <row r="76" spans="1:30" s="302" customFormat="1" ht="45" customHeight="1" hidden="1">
      <c r="A76" s="306">
        <v>7</v>
      </c>
      <c r="B76" s="361">
        <f t="shared" si="29"/>
        <v>0</v>
      </c>
      <c r="C76" s="314">
        <v>1</v>
      </c>
      <c r="D76" s="311"/>
      <c r="E76" s="310">
        <f t="shared" si="42"/>
        <v>0</v>
      </c>
      <c r="F76" s="310">
        <f t="shared" si="30"/>
        <v>1.46</v>
      </c>
      <c r="G76" s="310">
        <f t="shared" si="31"/>
        <v>1.56</v>
      </c>
      <c r="H76" s="310">
        <v>0.05</v>
      </c>
      <c r="I76" s="310">
        <f t="shared" si="32"/>
        <v>0</v>
      </c>
      <c r="J76" s="311">
        <f t="shared" si="33"/>
        <v>0</v>
      </c>
      <c r="K76" s="333">
        <f t="shared" si="34"/>
        <v>0</v>
      </c>
      <c r="L76" s="310">
        <f t="shared" si="35"/>
        <v>0</v>
      </c>
      <c r="M76" s="311">
        <f t="shared" si="36"/>
        <v>0</v>
      </c>
      <c r="N76" s="310">
        <f t="shared" si="37"/>
        <v>0</v>
      </c>
      <c r="O76" s="310">
        <f t="shared" si="38"/>
        <v>0</v>
      </c>
      <c r="P76" s="310">
        <f t="shared" si="39"/>
        <v>0</v>
      </c>
      <c r="Q76" s="310">
        <v>0</v>
      </c>
      <c r="R76" s="333">
        <f t="shared" si="40"/>
        <v>0</v>
      </c>
      <c r="S76" s="331"/>
      <c r="T76" s="435">
        <f>'ORÇAMENTO GERAL'!$J$48</f>
        <v>473.82</v>
      </c>
      <c r="U76" s="435">
        <f>'ORÇAMENTO GERAL'!$J$49</f>
        <v>11.2</v>
      </c>
      <c r="V76" s="435">
        <f>'ORÇAMENTO GERAL'!$J$50</f>
        <v>8.25</v>
      </c>
      <c r="W76" s="435">
        <f>'ORÇAMENTO GERAL'!$J$51</f>
        <v>3.62</v>
      </c>
      <c r="X76" s="435">
        <f>'ORÇAMENTO GERAL'!$J$52</f>
        <v>6.31</v>
      </c>
      <c r="Y76" s="435">
        <f>'ORÇAMENTO GERAL'!$J$53</f>
        <v>40.93</v>
      </c>
      <c r="Z76" s="435">
        <f>'ORÇAMENTO GERAL'!$J$54</f>
        <v>134.83</v>
      </c>
      <c r="AA76" s="435">
        <f>'ORÇAMENTO GERAL'!$J$55</f>
        <v>21.8</v>
      </c>
      <c r="AB76" s="435">
        <f>'ORÇAMENTO GERAL'!$J$56</f>
        <v>45.59</v>
      </c>
      <c r="AC76" s="435">
        <f>'ORÇAMENTO GERAL'!$J$57</f>
        <v>146.71</v>
      </c>
      <c r="AD76" s="313">
        <f t="shared" si="41"/>
        <v>0</v>
      </c>
    </row>
    <row r="77" spans="1:30" s="302" customFormat="1" ht="45" customHeight="1" hidden="1">
      <c r="A77" s="306">
        <v>8</v>
      </c>
      <c r="B77" s="361">
        <f t="shared" si="29"/>
        <v>0</v>
      </c>
      <c r="C77" s="314">
        <v>1</v>
      </c>
      <c r="D77" s="311"/>
      <c r="E77" s="310">
        <f t="shared" si="42"/>
        <v>0</v>
      </c>
      <c r="F77" s="310">
        <f t="shared" si="30"/>
        <v>1.46</v>
      </c>
      <c r="G77" s="310">
        <f t="shared" si="31"/>
        <v>1.56</v>
      </c>
      <c r="H77" s="310">
        <v>0.05</v>
      </c>
      <c r="I77" s="310">
        <f t="shared" si="32"/>
        <v>0</v>
      </c>
      <c r="J77" s="311">
        <f t="shared" si="33"/>
        <v>0</v>
      </c>
      <c r="K77" s="333">
        <f t="shared" si="34"/>
        <v>0</v>
      </c>
      <c r="L77" s="310">
        <f t="shared" si="35"/>
        <v>0</v>
      </c>
      <c r="M77" s="311">
        <f t="shared" si="36"/>
        <v>0</v>
      </c>
      <c r="N77" s="310">
        <f t="shared" si="37"/>
        <v>0</v>
      </c>
      <c r="O77" s="310">
        <f t="shared" si="38"/>
        <v>0</v>
      </c>
      <c r="P77" s="310">
        <f t="shared" si="39"/>
        <v>0</v>
      </c>
      <c r="Q77" s="310">
        <v>0</v>
      </c>
      <c r="R77" s="333">
        <f t="shared" si="40"/>
        <v>0</v>
      </c>
      <c r="S77" s="331"/>
      <c r="T77" s="435">
        <f>'ORÇAMENTO GERAL'!$J$48</f>
        <v>473.82</v>
      </c>
      <c r="U77" s="435">
        <f>'ORÇAMENTO GERAL'!$J$49</f>
        <v>11.2</v>
      </c>
      <c r="V77" s="435">
        <f>'ORÇAMENTO GERAL'!$J$50</f>
        <v>8.25</v>
      </c>
      <c r="W77" s="435">
        <f>'ORÇAMENTO GERAL'!$J$51</f>
        <v>3.62</v>
      </c>
      <c r="X77" s="435">
        <f>'ORÇAMENTO GERAL'!$J$52</f>
        <v>6.31</v>
      </c>
      <c r="Y77" s="435">
        <f>'ORÇAMENTO GERAL'!$J$53</f>
        <v>40.93</v>
      </c>
      <c r="Z77" s="435">
        <f>'ORÇAMENTO GERAL'!$J$54</f>
        <v>134.83</v>
      </c>
      <c r="AA77" s="435">
        <f>'ORÇAMENTO GERAL'!$J$55</f>
        <v>21.8</v>
      </c>
      <c r="AB77" s="435">
        <f>'ORÇAMENTO GERAL'!$J$56</f>
        <v>45.59</v>
      </c>
      <c r="AC77" s="435">
        <f>'ORÇAMENTO GERAL'!$J$57</f>
        <v>146.71</v>
      </c>
      <c r="AD77" s="313">
        <f t="shared" si="41"/>
        <v>0</v>
      </c>
    </row>
    <row r="78" spans="1:30" s="302" customFormat="1" ht="45" customHeight="1" hidden="1">
      <c r="A78" s="306">
        <v>9</v>
      </c>
      <c r="B78" s="361">
        <f t="shared" si="29"/>
        <v>0</v>
      </c>
      <c r="C78" s="314">
        <v>1</v>
      </c>
      <c r="D78" s="311"/>
      <c r="E78" s="310">
        <f t="shared" si="42"/>
        <v>0</v>
      </c>
      <c r="F78" s="310">
        <f t="shared" si="30"/>
        <v>1.46</v>
      </c>
      <c r="G78" s="310">
        <f t="shared" si="31"/>
        <v>1.56</v>
      </c>
      <c r="H78" s="310">
        <v>0.05</v>
      </c>
      <c r="I78" s="310">
        <f t="shared" si="32"/>
        <v>0</v>
      </c>
      <c r="J78" s="311">
        <f t="shared" si="33"/>
        <v>0</v>
      </c>
      <c r="K78" s="333">
        <f t="shared" si="34"/>
        <v>0</v>
      </c>
      <c r="L78" s="310">
        <f t="shared" si="35"/>
        <v>0</v>
      </c>
      <c r="M78" s="311">
        <f t="shared" si="36"/>
        <v>0</v>
      </c>
      <c r="N78" s="310">
        <f t="shared" si="37"/>
        <v>0</v>
      </c>
      <c r="O78" s="310">
        <f t="shared" si="38"/>
        <v>0</v>
      </c>
      <c r="P78" s="310">
        <f t="shared" si="39"/>
        <v>0</v>
      </c>
      <c r="Q78" s="310">
        <v>0</v>
      </c>
      <c r="R78" s="333">
        <f t="shared" si="40"/>
        <v>0</v>
      </c>
      <c r="S78" s="331"/>
      <c r="T78" s="435">
        <f>'ORÇAMENTO GERAL'!$J$48</f>
        <v>473.82</v>
      </c>
      <c r="U78" s="435">
        <f>'ORÇAMENTO GERAL'!$J$49</f>
        <v>11.2</v>
      </c>
      <c r="V78" s="435">
        <f>'ORÇAMENTO GERAL'!$J$50</f>
        <v>8.25</v>
      </c>
      <c r="W78" s="435">
        <f>'ORÇAMENTO GERAL'!$J$51</f>
        <v>3.62</v>
      </c>
      <c r="X78" s="435">
        <f>'ORÇAMENTO GERAL'!$J$52</f>
        <v>6.31</v>
      </c>
      <c r="Y78" s="435">
        <f>'ORÇAMENTO GERAL'!$J$53</f>
        <v>40.93</v>
      </c>
      <c r="Z78" s="435">
        <f>'ORÇAMENTO GERAL'!$J$54</f>
        <v>134.83</v>
      </c>
      <c r="AA78" s="435">
        <f>'ORÇAMENTO GERAL'!$J$55</f>
        <v>21.8</v>
      </c>
      <c r="AB78" s="435">
        <f>'ORÇAMENTO GERAL'!$J$56</f>
        <v>45.59</v>
      </c>
      <c r="AC78" s="435">
        <f>'ORÇAMENTO GERAL'!$J$57</f>
        <v>146.71</v>
      </c>
      <c r="AD78" s="313">
        <f t="shared" si="41"/>
        <v>0</v>
      </c>
    </row>
    <row r="79" spans="1:30" s="302" customFormat="1" ht="45" customHeight="1" hidden="1">
      <c r="A79" s="306">
        <v>10</v>
      </c>
      <c r="B79" s="361">
        <f t="shared" si="29"/>
        <v>0</v>
      </c>
      <c r="C79" s="314">
        <v>1</v>
      </c>
      <c r="D79" s="311"/>
      <c r="E79" s="310">
        <f t="shared" si="42"/>
        <v>0</v>
      </c>
      <c r="F79" s="310">
        <f t="shared" si="30"/>
        <v>1.46</v>
      </c>
      <c r="G79" s="310">
        <f t="shared" si="31"/>
        <v>1.56</v>
      </c>
      <c r="H79" s="310">
        <v>0.05</v>
      </c>
      <c r="I79" s="310">
        <f t="shared" si="32"/>
        <v>0</v>
      </c>
      <c r="J79" s="311">
        <f t="shared" si="33"/>
        <v>0</v>
      </c>
      <c r="K79" s="333">
        <f t="shared" si="34"/>
        <v>0</v>
      </c>
      <c r="L79" s="310">
        <f t="shared" si="35"/>
        <v>0</v>
      </c>
      <c r="M79" s="311">
        <f t="shared" si="36"/>
        <v>0</v>
      </c>
      <c r="N79" s="310">
        <f t="shared" si="37"/>
        <v>0</v>
      </c>
      <c r="O79" s="310">
        <f t="shared" si="38"/>
        <v>0</v>
      </c>
      <c r="P79" s="310">
        <f t="shared" si="39"/>
        <v>0</v>
      </c>
      <c r="Q79" s="310">
        <v>0</v>
      </c>
      <c r="R79" s="333">
        <f t="shared" si="40"/>
        <v>0</v>
      </c>
      <c r="S79" s="331"/>
      <c r="T79" s="435">
        <f>'ORÇAMENTO GERAL'!$J$48</f>
        <v>473.82</v>
      </c>
      <c r="U79" s="435">
        <f>'ORÇAMENTO GERAL'!$J$49</f>
        <v>11.2</v>
      </c>
      <c r="V79" s="435">
        <f>'ORÇAMENTO GERAL'!$J$50</f>
        <v>8.25</v>
      </c>
      <c r="W79" s="435">
        <f>'ORÇAMENTO GERAL'!$J$51</f>
        <v>3.62</v>
      </c>
      <c r="X79" s="435">
        <f>'ORÇAMENTO GERAL'!$J$52</f>
        <v>6.31</v>
      </c>
      <c r="Y79" s="435">
        <f>'ORÇAMENTO GERAL'!$J$53</f>
        <v>40.93</v>
      </c>
      <c r="Z79" s="435">
        <f>'ORÇAMENTO GERAL'!$J$54</f>
        <v>134.83</v>
      </c>
      <c r="AA79" s="435">
        <f>'ORÇAMENTO GERAL'!$J$55</f>
        <v>21.8</v>
      </c>
      <c r="AB79" s="435">
        <f>'ORÇAMENTO GERAL'!$J$56</f>
        <v>45.59</v>
      </c>
      <c r="AC79" s="435">
        <f>'ORÇAMENTO GERAL'!$J$57</f>
        <v>146.71</v>
      </c>
      <c r="AD79" s="313">
        <f t="shared" si="41"/>
        <v>0</v>
      </c>
    </row>
    <row r="80" spans="1:30" s="302" customFormat="1" ht="45" customHeight="1" hidden="1">
      <c r="A80" s="306">
        <v>11</v>
      </c>
      <c r="B80" s="361">
        <f t="shared" si="29"/>
        <v>0</v>
      </c>
      <c r="C80" s="314">
        <v>1</v>
      </c>
      <c r="D80" s="311"/>
      <c r="E80" s="310">
        <f t="shared" si="42"/>
        <v>0</v>
      </c>
      <c r="F80" s="310">
        <f t="shared" si="30"/>
        <v>1.46</v>
      </c>
      <c r="G80" s="310">
        <f t="shared" si="31"/>
        <v>1.56</v>
      </c>
      <c r="H80" s="310">
        <v>0.05</v>
      </c>
      <c r="I80" s="310">
        <f t="shared" si="32"/>
        <v>0</v>
      </c>
      <c r="J80" s="311">
        <f t="shared" si="33"/>
        <v>0</v>
      </c>
      <c r="K80" s="333">
        <f t="shared" si="34"/>
        <v>0</v>
      </c>
      <c r="L80" s="310">
        <f t="shared" si="35"/>
        <v>0</v>
      </c>
      <c r="M80" s="311">
        <f t="shared" si="36"/>
        <v>0</v>
      </c>
      <c r="N80" s="310">
        <f t="shared" si="37"/>
        <v>0</v>
      </c>
      <c r="O80" s="310">
        <f t="shared" si="38"/>
        <v>0</v>
      </c>
      <c r="P80" s="310">
        <f t="shared" si="39"/>
        <v>0</v>
      </c>
      <c r="Q80" s="310">
        <v>0</v>
      </c>
      <c r="R80" s="333">
        <f t="shared" si="40"/>
        <v>0</v>
      </c>
      <c r="S80" s="331"/>
      <c r="T80" s="435">
        <f>'ORÇAMENTO GERAL'!$J$48</f>
        <v>473.82</v>
      </c>
      <c r="U80" s="435">
        <f>'ORÇAMENTO GERAL'!$J$49</f>
        <v>11.2</v>
      </c>
      <c r="V80" s="435">
        <f>'ORÇAMENTO GERAL'!$J$50</f>
        <v>8.25</v>
      </c>
      <c r="W80" s="435">
        <f>'ORÇAMENTO GERAL'!$J$51</f>
        <v>3.62</v>
      </c>
      <c r="X80" s="435">
        <f>'ORÇAMENTO GERAL'!$J$52</f>
        <v>6.31</v>
      </c>
      <c r="Y80" s="435">
        <f>'ORÇAMENTO GERAL'!$J$53</f>
        <v>40.93</v>
      </c>
      <c r="Z80" s="435">
        <f>'ORÇAMENTO GERAL'!$J$54</f>
        <v>134.83</v>
      </c>
      <c r="AA80" s="435">
        <f>'ORÇAMENTO GERAL'!$J$55</f>
        <v>21.8</v>
      </c>
      <c r="AB80" s="435">
        <f>'ORÇAMENTO GERAL'!$J$56</f>
        <v>45.59</v>
      </c>
      <c r="AC80" s="435">
        <f>'ORÇAMENTO GERAL'!$J$57</f>
        <v>146.71</v>
      </c>
      <c r="AD80" s="313">
        <f t="shared" si="41"/>
        <v>0</v>
      </c>
    </row>
    <row r="81" spans="1:30" s="302" customFormat="1" ht="45" customHeight="1" hidden="1">
      <c r="A81" s="306">
        <v>12</v>
      </c>
      <c r="B81" s="361">
        <f t="shared" si="29"/>
        <v>0</v>
      </c>
      <c r="C81" s="314">
        <v>1</v>
      </c>
      <c r="D81" s="311"/>
      <c r="E81" s="310">
        <f t="shared" si="42"/>
        <v>0</v>
      </c>
      <c r="F81" s="310">
        <f t="shared" si="30"/>
        <v>1.46</v>
      </c>
      <c r="G81" s="310">
        <f t="shared" si="31"/>
        <v>1.56</v>
      </c>
      <c r="H81" s="310">
        <v>0.05</v>
      </c>
      <c r="I81" s="310">
        <f t="shared" si="32"/>
        <v>0</v>
      </c>
      <c r="J81" s="311">
        <f t="shared" si="33"/>
        <v>0</v>
      </c>
      <c r="K81" s="333">
        <f t="shared" si="34"/>
        <v>0</v>
      </c>
      <c r="L81" s="310">
        <f t="shared" si="35"/>
        <v>0</v>
      </c>
      <c r="M81" s="311">
        <f t="shared" si="36"/>
        <v>0</v>
      </c>
      <c r="N81" s="310">
        <f t="shared" si="37"/>
        <v>0</v>
      </c>
      <c r="O81" s="310">
        <f t="shared" si="38"/>
        <v>0</v>
      </c>
      <c r="P81" s="310">
        <f t="shared" si="39"/>
        <v>0</v>
      </c>
      <c r="Q81" s="310">
        <v>0</v>
      </c>
      <c r="R81" s="333">
        <f t="shared" si="40"/>
        <v>0</v>
      </c>
      <c r="S81" s="331"/>
      <c r="T81" s="435">
        <f>'ORÇAMENTO GERAL'!$J$48</f>
        <v>473.82</v>
      </c>
      <c r="U81" s="435">
        <f>'ORÇAMENTO GERAL'!$J$49</f>
        <v>11.2</v>
      </c>
      <c r="V81" s="435">
        <f>'ORÇAMENTO GERAL'!$J$50</f>
        <v>8.25</v>
      </c>
      <c r="W81" s="435">
        <f>'ORÇAMENTO GERAL'!$J$51</f>
        <v>3.62</v>
      </c>
      <c r="X81" s="435">
        <f>'ORÇAMENTO GERAL'!$J$52</f>
        <v>6.31</v>
      </c>
      <c r="Y81" s="435">
        <f>'ORÇAMENTO GERAL'!$J$53</f>
        <v>40.93</v>
      </c>
      <c r="Z81" s="435">
        <f>'ORÇAMENTO GERAL'!$J$54</f>
        <v>134.83</v>
      </c>
      <c r="AA81" s="435">
        <f>'ORÇAMENTO GERAL'!$J$55</f>
        <v>21.8</v>
      </c>
      <c r="AB81" s="435">
        <f>'ORÇAMENTO GERAL'!$J$56</f>
        <v>45.59</v>
      </c>
      <c r="AC81" s="435">
        <f>'ORÇAMENTO GERAL'!$J$57</f>
        <v>146.71</v>
      </c>
      <c r="AD81" s="313">
        <f t="shared" si="41"/>
        <v>0</v>
      </c>
    </row>
    <row r="82" spans="1:30" s="302" customFormat="1" ht="45" customHeight="1" hidden="1">
      <c r="A82" s="306">
        <v>13</v>
      </c>
      <c r="B82" s="361">
        <f t="shared" si="29"/>
        <v>0</v>
      </c>
      <c r="C82" s="314">
        <v>1</v>
      </c>
      <c r="D82" s="311"/>
      <c r="E82" s="310">
        <f t="shared" si="42"/>
        <v>0</v>
      </c>
      <c r="F82" s="310">
        <f t="shared" si="30"/>
        <v>1.46</v>
      </c>
      <c r="G82" s="310">
        <f t="shared" si="31"/>
        <v>1.56</v>
      </c>
      <c r="H82" s="310">
        <v>0.05</v>
      </c>
      <c r="I82" s="310">
        <f t="shared" si="32"/>
        <v>0</v>
      </c>
      <c r="J82" s="311">
        <f t="shared" si="33"/>
        <v>0</v>
      </c>
      <c r="K82" s="333">
        <f t="shared" si="34"/>
        <v>0</v>
      </c>
      <c r="L82" s="310">
        <f t="shared" si="35"/>
        <v>0</v>
      </c>
      <c r="M82" s="311">
        <f t="shared" si="36"/>
        <v>0</v>
      </c>
      <c r="N82" s="310">
        <f t="shared" si="37"/>
        <v>0</v>
      </c>
      <c r="O82" s="310">
        <f t="shared" si="38"/>
        <v>0</v>
      </c>
      <c r="P82" s="310">
        <f t="shared" si="39"/>
        <v>0</v>
      </c>
      <c r="Q82" s="310">
        <v>0</v>
      </c>
      <c r="R82" s="333">
        <f t="shared" si="40"/>
        <v>0</v>
      </c>
      <c r="S82" s="331"/>
      <c r="T82" s="435">
        <f>'ORÇAMENTO GERAL'!$J$48</f>
        <v>473.82</v>
      </c>
      <c r="U82" s="435">
        <f>'ORÇAMENTO GERAL'!$J$49</f>
        <v>11.2</v>
      </c>
      <c r="V82" s="435">
        <f>'ORÇAMENTO GERAL'!$J$50</f>
        <v>8.25</v>
      </c>
      <c r="W82" s="435">
        <f>'ORÇAMENTO GERAL'!$J$51</f>
        <v>3.62</v>
      </c>
      <c r="X82" s="435">
        <f>'ORÇAMENTO GERAL'!$J$52</f>
        <v>6.31</v>
      </c>
      <c r="Y82" s="435">
        <f>'ORÇAMENTO GERAL'!$J$53</f>
        <v>40.93</v>
      </c>
      <c r="Z82" s="435">
        <f>'ORÇAMENTO GERAL'!$J$54</f>
        <v>134.83</v>
      </c>
      <c r="AA82" s="435">
        <f>'ORÇAMENTO GERAL'!$J$55</f>
        <v>21.8</v>
      </c>
      <c r="AB82" s="435">
        <f>'ORÇAMENTO GERAL'!$J$56</f>
        <v>45.59</v>
      </c>
      <c r="AC82" s="435">
        <f>'ORÇAMENTO GERAL'!$J$57</f>
        <v>146.71</v>
      </c>
      <c r="AD82" s="313">
        <f t="shared" si="41"/>
        <v>0</v>
      </c>
    </row>
    <row r="83" spans="1:30" s="302" customFormat="1" ht="45" customHeight="1" hidden="1">
      <c r="A83" s="306">
        <v>14</v>
      </c>
      <c r="B83" s="361">
        <f t="shared" si="29"/>
        <v>0</v>
      </c>
      <c r="C83" s="314">
        <v>1</v>
      </c>
      <c r="D83" s="311"/>
      <c r="E83" s="310">
        <f t="shared" si="42"/>
        <v>0</v>
      </c>
      <c r="F83" s="310">
        <f t="shared" si="30"/>
        <v>1.46</v>
      </c>
      <c r="G83" s="310">
        <f t="shared" si="31"/>
        <v>1.56</v>
      </c>
      <c r="H83" s="310">
        <v>0.05</v>
      </c>
      <c r="I83" s="310">
        <f t="shared" si="32"/>
        <v>0</v>
      </c>
      <c r="J83" s="311">
        <f t="shared" si="33"/>
        <v>0</v>
      </c>
      <c r="K83" s="333">
        <f t="shared" si="34"/>
        <v>0</v>
      </c>
      <c r="L83" s="310">
        <f t="shared" si="35"/>
        <v>0</v>
      </c>
      <c r="M83" s="311">
        <f t="shared" si="36"/>
        <v>0</v>
      </c>
      <c r="N83" s="310">
        <f t="shared" si="37"/>
        <v>0</v>
      </c>
      <c r="O83" s="310">
        <f t="shared" si="38"/>
        <v>0</v>
      </c>
      <c r="P83" s="310">
        <f t="shared" si="39"/>
        <v>0</v>
      </c>
      <c r="Q83" s="310">
        <v>0</v>
      </c>
      <c r="R83" s="333">
        <f t="shared" si="40"/>
        <v>0</v>
      </c>
      <c r="S83" s="331"/>
      <c r="T83" s="435">
        <f>'ORÇAMENTO GERAL'!$J$48</f>
        <v>473.82</v>
      </c>
      <c r="U83" s="435">
        <f>'ORÇAMENTO GERAL'!$J$49</f>
        <v>11.2</v>
      </c>
      <c r="V83" s="435">
        <f>'ORÇAMENTO GERAL'!$J$50</f>
        <v>8.25</v>
      </c>
      <c r="W83" s="435">
        <f>'ORÇAMENTO GERAL'!$J$51</f>
        <v>3.62</v>
      </c>
      <c r="X83" s="435">
        <f>'ORÇAMENTO GERAL'!$J$52</f>
        <v>6.31</v>
      </c>
      <c r="Y83" s="435">
        <f>'ORÇAMENTO GERAL'!$J$53</f>
        <v>40.93</v>
      </c>
      <c r="Z83" s="435">
        <f>'ORÇAMENTO GERAL'!$J$54</f>
        <v>134.83</v>
      </c>
      <c r="AA83" s="435">
        <f>'ORÇAMENTO GERAL'!$J$55</f>
        <v>21.8</v>
      </c>
      <c r="AB83" s="435">
        <f>'ORÇAMENTO GERAL'!$J$56</f>
        <v>45.59</v>
      </c>
      <c r="AC83" s="435">
        <f>'ORÇAMENTO GERAL'!$J$57</f>
        <v>146.71</v>
      </c>
      <c r="AD83" s="313">
        <f t="shared" si="41"/>
        <v>0</v>
      </c>
    </row>
    <row r="84" spans="1:30" s="302" customFormat="1" ht="45" customHeight="1" hidden="1">
      <c r="A84" s="306">
        <v>15</v>
      </c>
      <c r="B84" s="361">
        <f t="shared" si="29"/>
        <v>0</v>
      </c>
      <c r="C84" s="314">
        <v>1</v>
      </c>
      <c r="D84" s="311"/>
      <c r="E84" s="310">
        <f t="shared" si="42"/>
        <v>0</v>
      </c>
      <c r="F84" s="310">
        <f t="shared" si="30"/>
        <v>1.46</v>
      </c>
      <c r="G84" s="310">
        <f t="shared" si="31"/>
        <v>1.56</v>
      </c>
      <c r="H84" s="310">
        <v>0.05</v>
      </c>
      <c r="I84" s="310">
        <f t="shared" si="32"/>
        <v>0</v>
      </c>
      <c r="J84" s="311">
        <f t="shared" si="33"/>
        <v>0</v>
      </c>
      <c r="K84" s="333">
        <f t="shared" si="34"/>
        <v>0</v>
      </c>
      <c r="L84" s="310">
        <f t="shared" si="35"/>
        <v>0</v>
      </c>
      <c r="M84" s="311">
        <f t="shared" si="36"/>
        <v>0</v>
      </c>
      <c r="N84" s="310">
        <f t="shared" si="37"/>
        <v>0</v>
      </c>
      <c r="O84" s="310">
        <f t="shared" si="38"/>
        <v>0</v>
      </c>
      <c r="P84" s="310">
        <f t="shared" si="39"/>
        <v>0</v>
      </c>
      <c r="Q84" s="310">
        <v>0</v>
      </c>
      <c r="R84" s="333">
        <f t="shared" si="40"/>
        <v>0</v>
      </c>
      <c r="S84" s="331"/>
      <c r="T84" s="435">
        <f>'ORÇAMENTO GERAL'!$J$48</f>
        <v>473.82</v>
      </c>
      <c r="U84" s="435">
        <f>'ORÇAMENTO GERAL'!$J$49</f>
        <v>11.2</v>
      </c>
      <c r="V84" s="435">
        <f>'ORÇAMENTO GERAL'!$J$50</f>
        <v>8.25</v>
      </c>
      <c r="W84" s="435">
        <f>'ORÇAMENTO GERAL'!$J$51</f>
        <v>3.62</v>
      </c>
      <c r="X84" s="435">
        <f>'ORÇAMENTO GERAL'!$J$52</f>
        <v>6.31</v>
      </c>
      <c r="Y84" s="435">
        <f>'ORÇAMENTO GERAL'!$J$53</f>
        <v>40.93</v>
      </c>
      <c r="Z84" s="435">
        <f>'ORÇAMENTO GERAL'!$J$54</f>
        <v>134.83</v>
      </c>
      <c r="AA84" s="435">
        <f>'ORÇAMENTO GERAL'!$J$55</f>
        <v>21.8</v>
      </c>
      <c r="AB84" s="435">
        <f>'ORÇAMENTO GERAL'!$J$56</f>
        <v>45.59</v>
      </c>
      <c r="AC84" s="435">
        <f>'ORÇAMENTO GERAL'!$J$57</f>
        <v>146.71</v>
      </c>
      <c r="AD84" s="313">
        <f t="shared" si="41"/>
        <v>0</v>
      </c>
    </row>
    <row r="85" spans="1:30" s="302" customFormat="1" ht="45" customHeight="1" hidden="1">
      <c r="A85" s="306">
        <v>16</v>
      </c>
      <c r="B85" s="361">
        <f t="shared" si="29"/>
        <v>0</v>
      </c>
      <c r="C85" s="314">
        <v>1</v>
      </c>
      <c r="D85" s="311"/>
      <c r="E85" s="310">
        <f t="shared" si="42"/>
        <v>0</v>
      </c>
      <c r="F85" s="310">
        <f t="shared" si="30"/>
        <v>1.46</v>
      </c>
      <c r="G85" s="310">
        <f t="shared" si="31"/>
        <v>1.56</v>
      </c>
      <c r="H85" s="310">
        <v>0.05</v>
      </c>
      <c r="I85" s="310">
        <f t="shared" si="32"/>
        <v>0</v>
      </c>
      <c r="J85" s="311">
        <f t="shared" si="33"/>
        <v>0</v>
      </c>
      <c r="K85" s="333">
        <f t="shared" si="34"/>
        <v>0</v>
      </c>
      <c r="L85" s="310">
        <f t="shared" si="35"/>
        <v>0</v>
      </c>
      <c r="M85" s="311">
        <f t="shared" si="36"/>
        <v>0</v>
      </c>
      <c r="N85" s="310">
        <f t="shared" si="37"/>
        <v>0</v>
      </c>
      <c r="O85" s="310">
        <f t="shared" si="38"/>
        <v>0</v>
      </c>
      <c r="P85" s="310">
        <f t="shared" si="39"/>
        <v>0</v>
      </c>
      <c r="Q85" s="310">
        <v>0</v>
      </c>
      <c r="R85" s="333">
        <f t="shared" si="40"/>
        <v>0</v>
      </c>
      <c r="S85" s="331"/>
      <c r="T85" s="435">
        <f>'ORÇAMENTO GERAL'!$J$48</f>
        <v>473.82</v>
      </c>
      <c r="U85" s="435">
        <f>'ORÇAMENTO GERAL'!$J$49</f>
        <v>11.2</v>
      </c>
      <c r="V85" s="435">
        <f>'ORÇAMENTO GERAL'!$J$50</f>
        <v>8.25</v>
      </c>
      <c r="W85" s="435">
        <f>'ORÇAMENTO GERAL'!$J$51</f>
        <v>3.62</v>
      </c>
      <c r="X85" s="435">
        <f>'ORÇAMENTO GERAL'!$J$52</f>
        <v>6.31</v>
      </c>
      <c r="Y85" s="435">
        <f>'ORÇAMENTO GERAL'!$J$53</f>
        <v>40.93</v>
      </c>
      <c r="Z85" s="435">
        <f>'ORÇAMENTO GERAL'!$J$54</f>
        <v>134.83</v>
      </c>
      <c r="AA85" s="435">
        <f>'ORÇAMENTO GERAL'!$J$55</f>
        <v>21.8</v>
      </c>
      <c r="AB85" s="435">
        <f>'ORÇAMENTO GERAL'!$J$56</f>
        <v>45.59</v>
      </c>
      <c r="AC85" s="435">
        <f>'ORÇAMENTO GERAL'!$J$57</f>
        <v>146.71</v>
      </c>
      <c r="AD85" s="313">
        <f t="shared" si="41"/>
        <v>0</v>
      </c>
    </row>
    <row r="86" spans="1:30" s="302" customFormat="1" ht="45" customHeight="1" hidden="1">
      <c r="A86" s="306">
        <v>17</v>
      </c>
      <c r="B86" s="361">
        <f t="shared" si="29"/>
        <v>0</v>
      </c>
      <c r="C86" s="314">
        <v>1</v>
      </c>
      <c r="D86" s="311"/>
      <c r="E86" s="310">
        <f t="shared" si="42"/>
        <v>0</v>
      </c>
      <c r="F86" s="310">
        <f t="shared" si="30"/>
        <v>1.46</v>
      </c>
      <c r="G86" s="310">
        <f t="shared" si="31"/>
        <v>1.56</v>
      </c>
      <c r="H86" s="310">
        <v>0.05</v>
      </c>
      <c r="I86" s="310">
        <f t="shared" si="32"/>
        <v>0</v>
      </c>
      <c r="J86" s="311">
        <f t="shared" si="33"/>
        <v>0</v>
      </c>
      <c r="K86" s="333">
        <f t="shared" si="34"/>
        <v>0</v>
      </c>
      <c r="L86" s="310">
        <f t="shared" si="35"/>
        <v>0</v>
      </c>
      <c r="M86" s="311">
        <f t="shared" si="36"/>
        <v>0</v>
      </c>
      <c r="N86" s="310">
        <f t="shared" si="37"/>
        <v>0</v>
      </c>
      <c r="O86" s="310">
        <f t="shared" si="38"/>
        <v>0</v>
      </c>
      <c r="P86" s="310">
        <f t="shared" si="39"/>
        <v>0</v>
      </c>
      <c r="Q86" s="310">
        <v>0</v>
      </c>
      <c r="R86" s="333">
        <f t="shared" si="40"/>
        <v>0</v>
      </c>
      <c r="S86" s="331"/>
      <c r="T86" s="435">
        <f>'ORÇAMENTO GERAL'!$J$48</f>
        <v>473.82</v>
      </c>
      <c r="U86" s="435">
        <f>'ORÇAMENTO GERAL'!$J$49</f>
        <v>11.2</v>
      </c>
      <c r="V86" s="435">
        <f>'ORÇAMENTO GERAL'!$J$50</f>
        <v>8.25</v>
      </c>
      <c r="W86" s="435">
        <f>'ORÇAMENTO GERAL'!$J$51</f>
        <v>3.62</v>
      </c>
      <c r="X86" s="435">
        <f>'ORÇAMENTO GERAL'!$J$52</f>
        <v>6.31</v>
      </c>
      <c r="Y86" s="435">
        <f>'ORÇAMENTO GERAL'!$J$53</f>
        <v>40.93</v>
      </c>
      <c r="Z86" s="435">
        <f>'ORÇAMENTO GERAL'!$J$54</f>
        <v>134.83</v>
      </c>
      <c r="AA86" s="435">
        <f>'ORÇAMENTO GERAL'!$J$55</f>
        <v>21.8</v>
      </c>
      <c r="AB86" s="435">
        <f>'ORÇAMENTO GERAL'!$J$56</f>
        <v>45.59</v>
      </c>
      <c r="AC86" s="435">
        <f>'ORÇAMENTO GERAL'!$J$57</f>
        <v>146.71</v>
      </c>
      <c r="AD86" s="313">
        <f t="shared" si="41"/>
        <v>0</v>
      </c>
    </row>
    <row r="87" spans="1:30" s="302" customFormat="1" ht="45" customHeight="1" hidden="1">
      <c r="A87" s="306">
        <v>18</v>
      </c>
      <c r="B87" s="361">
        <f t="shared" si="29"/>
        <v>0</v>
      </c>
      <c r="C87" s="314">
        <v>1</v>
      </c>
      <c r="D87" s="311"/>
      <c r="E87" s="310">
        <f t="shared" si="42"/>
        <v>0</v>
      </c>
      <c r="F87" s="310">
        <f t="shared" si="30"/>
        <v>1.46</v>
      </c>
      <c r="G87" s="310">
        <f t="shared" si="31"/>
        <v>1.56</v>
      </c>
      <c r="H87" s="310">
        <v>0.05</v>
      </c>
      <c r="I87" s="310">
        <f t="shared" si="32"/>
        <v>0</v>
      </c>
      <c r="J87" s="311">
        <f t="shared" si="33"/>
        <v>0</v>
      </c>
      <c r="K87" s="333">
        <f t="shared" si="34"/>
        <v>0</v>
      </c>
      <c r="L87" s="310">
        <f t="shared" si="35"/>
        <v>0</v>
      </c>
      <c r="M87" s="311">
        <f t="shared" si="36"/>
        <v>0</v>
      </c>
      <c r="N87" s="310">
        <f t="shared" si="37"/>
        <v>0</v>
      </c>
      <c r="O87" s="310">
        <f t="shared" si="38"/>
        <v>0</v>
      </c>
      <c r="P87" s="310">
        <f t="shared" si="39"/>
        <v>0</v>
      </c>
      <c r="Q87" s="310">
        <v>0</v>
      </c>
      <c r="R87" s="333">
        <f t="shared" si="40"/>
        <v>0</v>
      </c>
      <c r="S87" s="331"/>
      <c r="T87" s="435">
        <f>'ORÇAMENTO GERAL'!$J$48</f>
        <v>473.82</v>
      </c>
      <c r="U87" s="435">
        <f>'ORÇAMENTO GERAL'!$J$49</f>
        <v>11.2</v>
      </c>
      <c r="V87" s="435">
        <f>'ORÇAMENTO GERAL'!$J$50</f>
        <v>8.25</v>
      </c>
      <c r="W87" s="435">
        <f>'ORÇAMENTO GERAL'!$J$51</f>
        <v>3.62</v>
      </c>
      <c r="X87" s="435">
        <f>'ORÇAMENTO GERAL'!$J$52</f>
        <v>6.31</v>
      </c>
      <c r="Y87" s="435">
        <f>'ORÇAMENTO GERAL'!$J$53</f>
        <v>40.93</v>
      </c>
      <c r="Z87" s="435">
        <f>'ORÇAMENTO GERAL'!$J$54</f>
        <v>134.83</v>
      </c>
      <c r="AA87" s="435">
        <f>'ORÇAMENTO GERAL'!$J$55</f>
        <v>21.8</v>
      </c>
      <c r="AB87" s="435">
        <f>'ORÇAMENTO GERAL'!$J$56</f>
        <v>45.59</v>
      </c>
      <c r="AC87" s="435">
        <f>'ORÇAMENTO GERAL'!$J$57</f>
        <v>146.71</v>
      </c>
      <c r="AD87" s="313">
        <f t="shared" si="41"/>
        <v>0</v>
      </c>
    </row>
    <row r="88" spans="1:30" s="302" customFormat="1" ht="45" customHeight="1" hidden="1">
      <c r="A88" s="306">
        <v>19</v>
      </c>
      <c r="B88" s="361">
        <f t="shared" si="29"/>
        <v>0</v>
      </c>
      <c r="C88" s="314">
        <v>1</v>
      </c>
      <c r="D88" s="311"/>
      <c r="E88" s="310">
        <f t="shared" si="42"/>
        <v>0</v>
      </c>
      <c r="F88" s="310">
        <f t="shared" si="30"/>
        <v>1.46</v>
      </c>
      <c r="G88" s="310">
        <f t="shared" si="31"/>
        <v>1.56</v>
      </c>
      <c r="H88" s="310">
        <v>0.05</v>
      </c>
      <c r="I88" s="310">
        <f t="shared" si="32"/>
        <v>0</v>
      </c>
      <c r="J88" s="311">
        <f t="shared" si="33"/>
        <v>0</v>
      </c>
      <c r="K88" s="333">
        <f t="shared" si="34"/>
        <v>0</v>
      </c>
      <c r="L88" s="310">
        <f t="shared" si="35"/>
        <v>0</v>
      </c>
      <c r="M88" s="311">
        <f t="shared" si="36"/>
        <v>0</v>
      </c>
      <c r="N88" s="310">
        <f t="shared" si="37"/>
        <v>0</v>
      </c>
      <c r="O88" s="310">
        <f t="shared" si="38"/>
        <v>0</v>
      </c>
      <c r="P88" s="310">
        <f t="shared" si="39"/>
        <v>0</v>
      </c>
      <c r="Q88" s="310">
        <v>0</v>
      </c>
      <c r="R88" s="333">
        <f t="shared" si="40"/>
        <v>0</v>
      </c>
      <c r="S88" s="331"/>
      <c r="T88" s="435">
        <f>'ORÇAMENTO GERAL'!$J$48</f>
        <v>473.82</v>
      </c>
      <c r="U88" s="435">
        <f>'ORÇAMENTO GERAL'!$J$49</f>
        <v>11.2</v>
      </c>
      <c r="V88" s="435">
        <f>'ORÇAMENTO GERAL'!$J$50</f>
        <v>8.25</v>
      </c>
      <c r="W88" s="435">
        <f>'ORÇAMENTO GERAL'!$J$51</f>
        <v>3.62</v>
      </c>
      <c r="X88" s="435">
        <f>'ORÇAMENTO GERAL'!$J$52</f>
        <v>6.31</v>
      </c>
      <c r="Y88" s="435">
        <f>'ORÇAMENTO GERAL'!$J$53</f>
        <v>40.93</v>
      </c>
      <c r="Z88" s="435">
        <f>'ORÇAMENTO GERAL'!$J$54</f>
        <v>134.83</v>
      </c>
      <c r="AA88" s="435">
        <f>'ORÇAMENTO GERAL'!$J$55</f>
        <v>21.8</v>
      </c>
      <c r="AB88" s="435">
        <f>'ORÇAMENTO GERAL'!$J$56</f>
        <v>45.59</v>
      </c>
      <c r="AC88" s="435">
        <f>'ORÇAMENTO GERAL'!$J$57</f>
        <v>146.71</v>
      </c>
      <c r="AD88" s="313">
        <f t="shared" si="41"/>
        <v>0</v>
      </c>
    </row>
    <row r="89" spans="1:30" s="302" customFormat="1" ht="45" customHeight="1" hidden="1" thickBot="1">
      <c r="A89" s="306">
        <v>20</v>
      </c>
      <c r="B89" s="361">
        <f t="shared" si="29"/>
        <v>0</v>
      </c>
      <c r="C89" s="314">
        <v>1</v>
      </c>
      <c r="D89" s="311"/>
      <c r="E89" s="310">
        <f t="shared" si="42"/>
        <v>0</v>
      </c>
      <c r="F89" s="310">
        <f t="shared" si="30"/>
        <v>1.46</v>
      </c>
      <c r="G89" s="310">
        <f t="shared" si="31"/>
        <v>1.56</v>
      </c>
      <c r="H89" s="310">
        <v>0.05</v>
      </c>
      <c r="I89" s="310">
        <f t="shared" si="32"/>
        <v>0</v>
      </c>
      <c r="J89" s="311">
        <f t="shared" si="33"/>
        <v>0</v>
      </c>
      <c r="K89" s="333">
        <f t="shared" si="34"/>
        <v>0</v>
      </c>
      <c r="L89" s="310">
        <f t="shared" si="35"/>
        <v>0</v>
      </c>
      <c r="M89" s="311">
        <f t="shared" si="36"/>
        <v>0</v>
      </c>
      <c r="N89" s="310">
        <f t="shared" si="37"/>
        <v>0</v>
      </c>
      <c r="O89" s="310">
        <f t="shared" si="38"/>
        <v>0</v>
      </c>
      <c r="P89" s="310">
        <f t="shared" si="39"/>
        <v>0</v>
      </c>
      <c r="Q89" s="310">
        <v>0</v>
      </c>
      <c r="R89" s="333">
        <f t="shared" si="40"/>
        <v>0</v>
      </c>
      <c r="S89" s="331"/>
      <c r="T89" s="435">
        <f>'ORÇAMENTO GERAL'!$J$48</f>
        <v>473.82</v>
      </c>
      <c r="U89" s="435">
        <f>'ORÇAMENTO GERAL'!$J$49</f>
        <v>11.2</v>
      </c>
      <c r="V89" s="435">
        <f>'ORÇAMENTO GERAL'!$J$50</f>
        <v>8.25</v>
      </c>
      <c r="W89" s="435">
        <f>'ORÇAMENTO GERAL'!$J$51</f>
        <v>3.62</v>
      </c>
      <c r="X89" s="435">
        <f>'ORÇAMENTO GERAL'!$J$52</f>
        <v>6.31</v>
      </c>
      <c r="Y89" s="435">
        <f>'ORÇAMENTO GERAL'!$J$53</f>
        <v>40.93</v>
      </c>
      <c r="Z89" s="435">
        <f>'ORÇAMENTO GERAL'!$J$54</f>
        <v>134.83</v>
      </c>
      <c r="AA89" s="435">
        <f>'ORÇAMENTO GERAL'!$J$55</f>
        <v>21.8</v>
      </c>
      <c r="AB89" s="435">
        <f>'ORÇAMENTO GERAL'!$J$56</f>
        <v>45.59</v>
      </c>
      <c r="AC89" s="435">
        <f>'ORÇAMENTO GERAL'!$J$57</f>
        <v>146.71</v>
      </c>
      <c r="AD89" s="313">
        <f t="shared" si="41"/>
        <v>0</v>
      </c>
    </row>
    <row r="90" spans="1:19" s="302" customFormat="1" ht="45" customHeight="1" hidden="1" thickBot="1">
      <c r="A90" s="641" t="s">
        <v>24</v>
      </c>
      <c r="B90" s="642"/>
      <c r="C90" s="315"/>
      <c r="D90" s="315"/>
      <c r="E90" s="315">
        <f>SUM(E70:E89)</f>
        <v>0</v>
      </c>
      <c r="F90" s="315"/>
      <c r="G90" s="315"/>
      <c r="H90" s="315"/>
      <c r="I90" s="315">
        <f>SUM(I70:I89)</f>
        <v>0</v>
      </c>
      <c r="J90" s="315">
        <f aca="true" t="shared" si="43" ref="J90:R90">SUM(J70:J89)</f>
        <v>0</v>
      </c>
      <c r="K90" s="315">
        <f t="shared" si="43"/>
        <v>0</v>
      </c>
      <c r="L90" s="315">
        <f t="shared" si="43"/>
        <v>0</v>
      </c>
      <c r="M90" s="315">
        <f t="shared" si="43"/>
        <v>0</v>
      </c>
      <c r="N90" s="315">
        <f t="shared" si="43"/>
        <v>0</v>
      </c>
      <c r="O90" s="315">
        <f t="shared" si="43"/>
        <v>0</v>
      </c>
      <c r="P90" s="315">
        <f t="shared" si="43"/>
        <v>0</v>
      </c>
      <c r="Q90" s="315">
        <f t="shared" si="43"/>
        <v>0</v>
      </c>
      <c r="R90" s="315">
        <f t="shared" si="43"/>
        <v>0</v>
      </c>
      <c r="S90" s="330"/>
    </row>
    <row r="91" spans="3:8" s="302" customFormat="1" ht="45" customHeight="1" hidden="1" thickBot="1">
      <c r="C91" s="320"/>
      <c r="D91" s="320"/>
      <c r="E91" s="320"/>
      <c r="F91" s="320"/>
      <c r="G91" s="320"/>
      <c r="H91" s="320"/>
    </row>
    <row r="92" spans="1:19" s="302" customFormat="1" ht="45" customHeight="1" hidden="1" thickBot="1">
      <c r="A92" s="643" t="s">
        <v>405</v>
      </c>
      <c r="B92" s="644"/>
      <c r="C92" s="644"/>
      <c r="D92" s="644"/>
      <c r="E92" s="644"/>
      <c r="F92" s="644"/>
      <c r="G92" s="644"/>
      <c r="H92" s="644"/>
      <c r="I92" s="644"/>
      <c r="J92" s="644"/>
      <c r="K92" s="644"/>
      <c r="L92" s="644"/>
      <c r="M92" s="644"/>
      <c r="N92" s="644"/>
      <c r="O92" s="644"/>
      <c r="P92" s="644"/>
      <c r="Q92" s="644"/>
      <c r="R92" s="645"/>
      <c r="S92" s="328"/>
    </row>
    <row r="93" spans="1:19" s="302" customFormat="1" ht="45" customHeight="1" hidden="1">
      <c r="A93" s="646" t="s">
        <v>7</v>
      </c>
      <c r="B93" s="649" t="s">
        <v>406</v>
      </c>
      <c r="C93" s="652" t="s">
        <v>578</v>
      </c>
      <c r="D93" s="652"/>
      <c r="E93" s="652"/>
      <c r="F93" s="654" t="s">
        <v>532</v>
      </c>
      <c r="G93" s="654"/>
      <c r="H93" s="654"/>
      <c r="I93" s="654"/>
      <c r="J93" s="654" t="s">
        <v>533</v>
      </c>
      <c r="K93" s="659" t="s">
        <v>536</v>
      </c>
      <c r="L93" s="654" t="s">
        <v>397</v>
      </c>
      <c r="M93" s="654" t="s">
        <v>400</v>
      </c>
      <c r="N93" s="656" t="s">
        <v>398</v>
      </c>
      <c r="O93" s="656" t="s">
        <v>534</v>
      </c>
      <c r="P93" s="656" t="s">
        <v>634</v>
      </c>
      <c r="Q93" s="656" t="s">
        <v>535</v>
      </c>
      <c r="R93" s="652" t="s">
        <v>401</v>
      </c>
      <c r="S93" s="328"/>
    </row>
    <row r="94" spans="1:19" s="302" customFormat="1" ht="45" customHeight="1" hidden="1">
      <c r="A94" s="647"/>
      <c r="B94" s="650"/>
      <c r="C94" s="653"/>
      <c r="D94" s="653"/>
      <c r="E94" s="653"/>
      <c r="F94" s="655"/>
      <c r="G94" s="655"/>
      <c r="H94" s="655"/>
      <c r="I94" s="655"/>
      <c r="J94" s="655"/>
      <c r="K94" s="660"/>
      <c r="L94" s="655"/>
      <c r="M94" s="655"/>
      <c r="N94" s="657"/>
      <c r="O94" s="658"/>
      <c r="P94" s="658"/>
      <c r="Q94" s="657"/>
      <c r="R94" s="653"/>
      <c r="S94" s="328"/>
    </row>
    <row r="95" spans="1:19" s="302" customFormat="1" ht="45" customHeight="1" hidden="1">
      <c r="A95" s="647"/>
      <c r="B95" s="650"/>
      <c r="C95" s="303" t="s">
        <v>158</v>
      </c>
      <c r="D95" s="438" t="s">
        <v>576</v>
      </c>
      <c r="E95" s="303" t="s">
        <v>395</v>
      </c>
      <c r="F95" s="303" t="s">
        <v>389</v>
      </c>
      <c r="G95" s="303" t="s">
        <v>394</v>
      </c>
      <c r="H95" s="303" t="s">
        <v>396</v>
      </c>
      <c r="I95" s="303" t="s">
        <v>24</v>
      </c>
      <c r="J95" s="655"/>
      <c r="K95" s="660"/>
      <c r="L95" s="655"/>
      <c r="M95" s="655"/>
      <c r="N95" s="658"/>
      <c r="O95" s="303" t="s">
        <v>24</v>
      </c>
      <c r="P95" s="303" t="s">
        <v>24</v>
      </c>
      <c r="Q95" s="658"/>
      <c r="R95" s="653"/>
      <c r="S95" s="328"/>
    </row>
    <row r="96" spans="1:30" s="302" customFormat="1" ht="45" customHeight="1" hidden="1">
      <c r="A96" s="647"/>
      <c r="B96" s="650"/>
      <c r="C96" s="436"/>
      <c r="D96" s="436"/>
      <c r="E96" s="436" t="s">
        <v>53</v>
      </c>
      <c r="F96" s="436" t="s">
        <v>56</v>
      </c>
      <c r="G96" s="436" t="s">
        <v>16</v>
      </c>
      <c r="H96" s="436" t="s">
        <v>9</v>
      </c>
      <c r="I96" s="436" t="s">
        <v>399</v>
      </c>
      <c r="J96" s="507" t="s">
        <v>604</v>
      </c>
      <c r="K96" s="508" t="s">
        <v>537</v>
      </c>
      <c r="L96" s="507" t="s">
        <v>538</v>
      </c>
      <c r="M96" s="507" t="s">
        <v>539</v>
      </c>
      <c r="N96" s="507" t="s">
        <v>540</v>
      </c>
      <c r="O96" s="507" t="s">
        <v>637</v>
      </c>
      <c r="P96" s="507" t="s">
        <v>638</v>
      </c>
      <c r="Q96" s="507" t="s">
        <v>635</v>
      </c>
      <c r="R96" s="507" t="s">
        <v>636</v>
      </c>
      <c r="S96" s="328"/>
      <c r="T96" s="672" t="s">
        <v>553</v>
      </c>
      <c r="U96" s="673"/>
      <c r="V96" s="673"/>
      <c r="W96" s="673"/>
      <c r="X96" s="673"/>
      <c r="Y96" s="673"/>
      <c r="Z96" s="673"/>
      <c r="AA96" s="673"/>
      <c r="AB96" s="673"/>
      <c r="AC96" s="673"/>
      <c r="AD96" s="674"/>
    </row>
    <row r="97" spans="1:30" s="302" customFormat="1" ht="45" customHeight="1" hidden="1" thickBot="1">
      <c r="A97" s="648"/>
      <c r="B97" s="651"/>
      <c r="C97" s="305" t="s">
        <v>393</v>
      </c>
      <c r="D97" s="305" t="s">
        <v>390</v>
      </c>
      <c r="E97" s="305" t="s">
        <v>390</v>
      </c>
      <c r="F97" s="305" t="s">
        <v>605</v>
      </c>
      <c r="G97" s="305" t="s">
        <v>606</v>
      </c>
      <c r="H97" s="305"/>
      <c r="I97" s="305"/>
      <c r="J97" s="305"/>
      <c r="K97" s="332">
        <v>10</v>
      </c>
      <c r="L97" s="305"/>
      <c r="M97" s="305"/>
      <c r="N97" s="305"/>
      <c r="O97" s="305"/>
      <c r="P97" s="506"/>
      <c r="Q97" s="506" t="s">
        <v>631</v>
      </c>
      <c r="R97" s="305"/>
      <c r="S97" s="329"/>
      <c r="T97" s="438" t="s">
        <v>546</v>
      </c>
      <c r="U97" s="438" t="s">
        <v>547</v>
      </c>
      <c r="V97" s="438" t="s">
        <v>548</v>
      </c>
      <c r="W97" s="438" t="s">
        <v>549</v>
      </c>
      <c r="X97" s="438" t="s">
        <v>550</v>
      </c>
      <c r="Y97" s="438" t="s">
        <v>407</v>
      </c>
      <c r="Z97" s="303" t="s">
        <v>534</v>
      </c>
      <c r="AA97" s="303" t="s">
        <v>634</v>
      </c>
      <c r="AB97" s="303" t="s">
        <v>535</v>
      </c>
      <c r="AC97" s="303" t="s">
        <v>401</v>
      </c>
      <c r="AD97" s="435" t="s">
        <v>24</v>
      </c>
    </row>
    <row r="98" spans="1:30" s="302" customFormat="1" ht="45" customHeight="1" hidden="1">
      <c r="A98" s="306">
        <v>1</v>
      </c>
      <c r="B98" s="307" t="str">
        <f>B14</f>
        <v>TV. SÃO SEBASTIÃO</v>
      </c>
      <c r="C98" s="309">
        <v>1</v>
      </c>
      <c r="D98" s="308"/>
      <c r="E98" s="309">
        <f>C98*D98</f>
        <v>0</v>
      </c>
      <c r="F98" s="310">
        <f>1.2+0.5</f>
        <v>1.7</v>
      </c>
      <c r="G98" s="310">
        <f>1.2+0.6</f>
        <v>1.8</v>
      </c>
      <c r="H98" s="310">
        <v>0.05</v>
      </c>
      <c r="I98" s="310">
        <f>(E98*F98*G98)+(E98*G98*H98)</f>
        <v>0</v>
      </c>
      <c r="J98" s="311">
        <f>N98</f>
        <v>0</v>
      </c>
      <c r="K98" s="333">
        <f>J98*1.25*$K$13</f>
        <v>0</v>
      </c>
      <c r="L98" s="310">
        <f>E98*F98</f>
        <v>0</v>
      </c>
      <c r="M98" s="311">
        <f>L98</f>
        <v>0</v>
      </c>
      <c r="N98" s="310">
        <f>(3.14*0.5^2)*E98</f>
        <v>0</v>
      </c>
      <c r="O98" s="310">
        <f>(I98-N98)*70%</f>
        <v>0</v>
      </c>
      <c r="P98" s="310">
        <f>(I98-N98)*30%</f>
        <v>0</v>
      </c>
      <c r="Q98" s="310">
        <f>E98*G98*2</f>
        <v>0</v>
      </c>
      <c r="R98" s="333">
        <f>E98</f>
        <v>0</v>
      </c>
      <c r="S98" s="331"/>
      <c r="T98" s="313">
        <f>'ORÇAMENTO GERAL'!$J$58</f>
        <v>640.38</v>
      </c>
      <c r="U98" s="313">
        <f>'ORÇAMENTO GERAL'!$J$59</f>
        <v>11.2</v>
      </c>
      <c r="V98" s="313">
        <f>'ORÇAMENTO GERAL'!$J$60</f>
        <v>8.25</v>
      </c>
      <c r="W98" s="313">
        <f>'ORÇAMENTO GERAL'!$J$61</f>
        <v>3.62</v>
      </c>
      <c r="X98" s="313">
        <f>'ORÇAMENTO GERAL'!$J$62</f>
        <v>6.31</v>
      </c>
      <c r="Y98" s="313">
        <f>'ORÇAMENTO GERAL'!$J$63</f>
        <v>40.93</v>
      </c>
      <c r="Z98" s="313">
        <f>'ORÇAMENTO GERAL'!$J$64</f>
        <v>134.83</v>
      </c>
      <c r="AA98" s="313">
        <f>'ORÇAMENTO GERAL'!$J$65</f>
        <v>21.8</v>
      </c>
      <c r="AB98" s="313">
        <f>'ORÇAMENTO GERAL'!$J$66</f>
        <v>45.59</v>
      </c>
      <c r="AC98" s="313">
        <f>'ORÇAMENTO GERAL'!$J$67</f>
        <v>193.31</v>
      </c>
      <c r="AD98" s="313">
        <f>(E98*T98)+(I98*U98)+(J98*V98)+(K98*W98)+(L98*X98)+(M98*Y98)+(O98*Z98)+(P98*AA98)+(Q98*AB98)+(R98*AC98)</f>
        <v>0</v>
      </c>
    </row>
    <row r="99" spans="1:30" s="302" customFormat="1" ht="45" customHeight="1" hidden="1">
      <c r="A99" s="306">
        <v>2</v>
      </c>
      <c r="B99" s="307" t="str">
        <f aca="true" t="shared" si="44" ref="B99:B117">B15</f>
        <v>RUA DO PORTO</v>
      </c>
      <c r="C99" s="314">
        <v>1</v>
      </c>
      <c r="D99" s="311"/>
      <c r="E99" s="310">
        <f>C99*D99</f>
        <v>0</v>
      </c>
      <c r="F99" s="310">
        <f aca="true" t="shared" si="45" ref="F99:F117">1.2+0.5</f>
        <v>1.7</v>
      </c>
      <c r="G99" s="310">
        <f aca="true" t="shared" si="46" ref="G99:G117">1.2+0.6</f>
        <v>1.8</v>
      </c>
      <c r="H99" s="310">
        <v>0.05</v>
      </c>
      <c r="I99" s="310">
        <f aca="true" t="shared" si="47" ref="I99:I117">(E99*F99*G99)+(E99*G99*H99)</f>
        <v>0</v>
      </c>
      <c r="J99" s="311">
        <f aca="true" t="shared" si="48" ref="J99:J117">N99</f>
        <v>0</v>
      </c>
      <c r="K99" s="333">
        <f aca="true" t="shared" si="49" ref="K99:K117">J99*1.25*$K$13</f>
        <v>0</v>
      </c>
      <c r="L99" s="310">
        <f aca="true" t="shared" si="50" ref="L99:L117">E99*F99</f>
        <v>0</v>
      </c>
      <c r="M99" s="311">
        <f aca="true" t="shared" si="51" ref="M99:M117">L99</f>
        <v>0</v>
      </c>
      <c r="N99" s="310">
        <f aca="true" t="shared" si="52" ref="N99:N117">(3.14*0.5^2)*E99</f>
        <v>0</v>
      </c>
      <c r="O99" s="310">
        <f aca="true" t="shared" si="53" ref="O99:O117">(I99-N99)*70%</f>
        <v>0</v>
      </c>
      <c r="P99" s="310">
        <f aca="true" t="shared" si="54" ref="P99:P117">(I99-N99)*30%</f>
        <v>0</v>
      </c>
      <c r="Q99" s="310">
        <f aca="true" t="shared" si="55" ref="Q99:Q117">E99*G99*2</f>
        <v>0</v>
      </c>
      <c r="R99" s="333">
        <f aca="true" t="shared" si="56" ref="R99:R117">E99</f>
        <v>0</v>
      </c>
      <c r="S99" s="331"/>
      <c r="T99" s="313">
        <f>'ORÇAMENTO GERAL'!$J$58</f>
        <v>640.38</v>
      </c>
      <c r="U99" s="313">
        <f>'ORÇAMENTO GERAL'!$J$59</f>
        <v>11.2</v>
      </c>
      <c r="V99" s="313">
        <f>'ORÇAMENTO GERAL'!$J$60</f>
        <v>8.25</v>
      </c>
      <c r="W99" s="313">
        <f>'ORÇAMENTO GERAL'!$J$61</f>
        <v>3.62</v>
      </c>
      <c r="X99" s="313">
        <f>'ORÇAMENTO GERAL'!$J$62</f>
        <v>6.31</v>
      </c>
      <c r="Y99" s="313">
        <f>'ORÇAMENTO GERAL'!$J$63</f>
        <v>40.93</v>
      </c>
      <c r="Z99" s="313">
        <f>'ORÇAMENTO GERAL'!$J$64</f>
        <v>134.83</v>
      </c>
      <c r="AA99" s="313">
        <f>'ORÇAMENTO GERAL'!$J$65</f>
        <v>21.8</v>
      </c>
      <c r="AB99" s="313">
        <f>'ORÇAMENTO GERAL'!$J$66</f>
        <v>45.59</v>
      </c>
      <c r="AC99" s="313">
        <f>'ORÇAMENTO GERAL'!$J$67</f>
        <v>193.31</v>
      </c>
      <c r="AD99" s="313">
        <f aca="true" t="shared" si="57" ref="AD99:AD117">(E99*T99)+(I99*U99)+(J99*V99)+(K99*W99)+(L99*X99)+(M99*Y99)+(O99*Z99)+(P99*AA99)+(Q99*AB99)+(R99*AC99)</f>
        <v>0</v>
      </c>
    </row>
    <row r="100" spans="1:30" s="302" customFormat="1" ht="45" customHeight="1" hidden="1">
      <c r="A100" s="306">
        <v>3</v>
      </c>
      <c r="B100" s="307" t="str">
        <f t="shared" si="44"/>
        <v>RUA DO PORTO 2</v>
      </c>
      <c r="C100" s="314">
        <v>1</v>
      </c>
      <c r="D100" s="311"/>
      <c r="E100" s="310">
        <f aca="true" t="shared" si="58" ref="E100:E117">C100*D100</f>
        <v>0</v>
      </c>
      <c r="F100" s="310">
        <f t="shared" si="45"/>
        <v>1.7</v>
      </c>
      <c r="G100" s="310">
        <f t="shared" si="46"/>
        <v>1.8</v>
      </c>
      <c r="H100" s="310">
        <v>0.05</v>
      </c>
      <c r="I100" s="310">
        <f t="shared" si="47"/>
        <v>0</v>
      </c>
      <c r="J100" s="311">
        <f t="shared" si="48"/>
        <v>0</v>
      </c>
      <c r="K100" s="333">
        <f t="shared" si="49"/>
        <v>0</v>
      </c>
      <c r="L100" s="310">
        <f t="shared" si="50"/>
        <v>0</v>
      </c>
      <c r="M100" s="311">
        <f t="shared" si="51"/>
        <v>0</v>
      </c>
      <c r="N100" s="310">
        <f t="shared" si="52"/>
        <v>0</v>
      </c>
      <c r="O100" s="310">
        <f t="shared" si="53"/>
        <v>0</v>
      </c>
      <c r="P100" s="310">
        <f t="shared" si="54"/>
        <v>0</v>
      </c>
      <c r="Q100" s="310">
        <f t="shared" si="55"/>
        <v>0</v>
      </c>
      <c r="R100" s="333">
        <f t="shared" si="56"/>
        <v>0</v>
      </c>
      <c r="S100" s="331"/>
      <c r="T100" s="313">
        <f>'ORÇAMENTO GERAL'!$J$58</f>
        <v>640.38</v>
      </c>
      <c r="U100" s="313">
        <f>'ORÇAMENTO GERAL'!$J$59</f>
        <v>11.2</v>
      </c>
      <c r="V100" s="313">
        <f>'ORÇAMENTO GERAL'!$J$60</f>
        <v>8.25</v>
      </c>
      <c r="W100" s="313">
        <f>'ORÇAMENTO GERAL'!$J$61</f>
        <v>3.62</v>
      </c>
      <c r="X100" s="313">
        <f>'ORÇAMENTO GERAL'!$J$62</f>
        <v>6.31</v>
      </c>
      <c r="Y100" s="313">
        <f>'ORÇAMENTO GERAL'!$J$63</f>
        <v>40.93</v>
      </c>
      <c r="Z100" s="313">
        <f>'ORÇAMENTO GERAL'!$J$64</f>
        <v>134.83</v>
      </c>
      <c r="AA100" s="313">
        <f>'ORÇAMENTO GERAL'!$J$65</f>
        <v>21.8</v>
      </c>
      <c r="AB100" s="313">
        <f>'ORÇAMENTO GERAL'!$J$66</f>
        <v>45.59</v>
      </c>
      <c r="AC100" s="313">
        <f>'ORÇAMENTO GERAL'!$J$67</f>
        <v>193.31</v>
      </c>
      <c r="AD100" s="313">
        <f t="shared" si="57"/>
        <v>0</v>
      </c>
    </row>
    <row r="101" spans="1:30" s="302" customFormat="1" ht="45" customHeight="1" hidden="1">
      <c r="A101" s="306">
        <v>4</v>
      </c>
      <c r="B101" s="307">
        <f t="shared" si="44"/>
        <v>0</v>
      </c>
      <c r="C101" s="314">
        <v>1</v>
      </c>
      <c r="D101" s="311"/>
      <c r="E101" s="310">
        <f t="shared" si="58"/>
        <v>0</v>
      </c>
      <c r="F101" s="310">
        <f t="shared" si="45"/>
        <v>1.7</v>
      </c>
      <c r="G101" s="310">
        <f t="shared" si="46"/>
        <v>1.8</v>
      </c>
      <c r="H101" s="310">
        <v>0.05</v>
      </c>
      <c r="I101" s="310">
        <f t="shared" si="47"/>
        <v>0</v>
      </c>
      <c r="J101" s="311">
        <f t="shared" si="48"/>
        <v>0</v>
      </c>
      <c r="K101" s="333">
        <f t="shared" si="49"/>
        <v>0</v>
      </c>
      <c r="L101" s="310">
        <f t="shared" si="50"/>
        <v>0</v>
      </c>
      <c r="M101" s="311">
        <f t="shared" si="51"/>
        <v>0</v>
      </c>
      <c r="N101" s="310">
        <f t="shared" si="52"/>
        <v>0</v>
      </c>
      <c r="O101" s="310">
        <f t="shared" si="53"/>
        <v>0</v>
      </c>
      <c r="P101" s="310">
        <f t="shared" si="54"/>
        <v>0</v>
      </c>
      <c r="Q101" s="310">
        <f t="shared" si="55"/>
        <v>0</v>
      </c>
      <c r="R101" s="333">
        <f t="shared" si="56"/>
        <v>0</v>
      </c>
      <c r="S101" s="331"/>
      <c r="T101" s="313">
        <f>'ORÇAMENTO GERAL'!$J$58</f>
        <v>640.38</v>
      </c>
      <c r="U101" s="313">
        <f>'ORÇAMENTO GERAL'!$J$59</f>
        <v>11.2</v>
      </c>
      <c r="V101" s="313">
        <f>'ORÇAMENTO GERAL'!$J$60</f>
        <v>8.25</v>
      </c>
      <c r="W101" s="313">
        <f>'ORÇAMENTO GERAL'!$J$61</f>
        <v>3.62</v>
      </c>
      <c r="X101" s="313">
        <f>'ORÇAMENTO GERAL'!$J$62</f>
        <v>6.31</v>
      </c>
      <c r="Y101" s="313">
        <f>'ORÇAMENTO GERAL'!$J$63</f>
        <v>40.93</v>
      </c>
      <c r="Z101" s="313">
        <f>'ORÇAMENTO GERAL'!$J$64</f>
        <v>134.83</v>
      </c>
      <c r="AA101" s="313">
        <f>'ORÇAMENTO GERAL'!$J$65</f>
        <v>21.8</v>
      </c>
      <c r="AB101" s="313">
        <f>'ORÇAMENTO GERAL'!$J$66</f>
        <v>45.59</v>
      </c>
      <c r="AC101" s="313">
        <f>'ORÇAMENTO GERAL'!$J$67</f>
        <v>193.31</v>
      </c>
      <c r="AD101" s="313">
        <f t="shared" si="57"/>
        <v>0</v>
      </c>
    </row>
    <row r="102" spans="1:30" s="302" customFormat="1" ht="45" customHeight="1" hidden="1">
      <c r="A102" s="306">
        <v>5</v>
      </c>
      <c r="B102" s="307">
        <f t="shared" si="44"/>
        <v>0</v>
      </c>
      <c r="C102" s="314">
        <v>1</v>
      </c>
      <c r="D102" s="311"/>
      <c r="E102" s="310">
        <f t="shared" si="58"/>
        <v>0</v>
      </c>
      <c r="F102" s="310">
        <f t="shared" si="45"/>
        <v>1.7</v>
      </c>
      <c r="G102" s="310">
        <f t="shared" si="46"/>
        <v>1.8</v>
      </c>
      <c r="H102" s="310">
        <v>0.05</v>
      </c>
      <c r="I102" s="310">
        <f t="shared" si="47"/>
        <v>0</v>
      </c>
      <c r="J102" s="311">
        <f t="shared" si="48"/>
        <v>0</v>
      </c>
      <c r="K102" s="333">
        <f t="shared" si="49"/>
        <v>0</v>
      </c>
      <c r="L102" s="310">
        <f t="shared" si="50"/>
        <v>0</v>
      </c>
      <c r="M102" s="311">
        <f t="shared" si="51"/>
        <v>0</v>
      </c>
      <c r="N102" s="310">
        <f t="shared" si="52"/>
        <v>0</v>
      </c>
      <c r="O102" s="310">
        <f t="shared" si="53"/>
        <v>0</v>
      </c>
      <c r="P102" s="310">
        <f t="shared" si="54"/>
        <v>0</v>
      </c>
      <c r="Q102" s="310">
        <f t="shared" si="55"/>
        <v>0</v>
      </c>
      <c r="R102" s="333">
        <f t="shared" si="56"/>
        <v>0</v>
      </c>
      <c r="S102" s="331"/>
      <c r="T102" s="313">
        <f>'ORÇAMENTO GERAL'!$J$58</f>
        <v>640.38</v>
      </c>
      <c r="U102" s="313">
        <f>'ORÇAMENTO GERAL'!$J$59</f>
        <v>11.2</v>
      </c>
      <c r="V102" s="313">
        <f>'ORÇAMENTO GERAL'!$J$60</f>
        <v>8.25</v>
      </c>
      <c r="W102" s="313">
        <f>'ORÇAMENTO GERAL'!$J$61</f>
        <v>3.62</v>
      </c>
      <c r="X102" s="313">
        <f>'ORÇAMENTO GERAL'!$J$62</f>
        <v>6.31</v>
      </c>
      <c r="Y102" s="313">
        <f>'ORÇAMENTO GERAL'!$J$63</f>
        <v>40.93</v>
      </c>
      <c r="Z102" s="313">
        <f>'ORÇAMENTO GERAL'!$J$64</f>
        <v>134.83</v>
      </c>
      <c r="AA102" s="313">
        <f>'ORÇAMENTO GERAL'!$J$65</f>
        <v>21.8</v>
      </c>
      <c r="AB102" s="313">
        <f>'ORÇAMENTO GERAL'!$J$66</f>
        <v>45.59</v>
      </c>
      <c r="AC102" s="313">
        <f>'ORÇAMENTO GERAL'!$J$67</f>
        <v>193.31</v>
      </c>
      <c r="AD102" s="313">
        <f t="shared" si="57"/>
        <v>0</v>
      </c>
    </row>
    <row r="103" spans="1:30" s="302" customFormat="1" ht="45" customHeight="1" hidden="1">
      <c r="A103" s="306">
        <v>6</v>
      </c>
      <c r="B103" s="307">
        <f t="shared" si="44"/>
        <v>0</v>
      </c>
      <c r="C103" s="314">
        <v>1</v>
      </c>
      <c r="D103" s="311"/>
      <c r="E103" s="310">
        <f t="shared" si="58"/>
        <v>0</v>
      </c>
      <c r="F103" s="310">
        <f t="shared" si="45"/>
        <v>1.7</v>
      </c>
      <c r="G103" s="310">
        <f t="shared" si="46"/>
        <v>1.8</v>
      </c>
      <c r="H103" s="310">
        <v>0.05</v>
      </c>
      <c r="I103" s="310">
        <f t="shared" si="47"/>
        <v>0</v>
      </c>
      <c r="J103" s="311">
        <f t="shared" si="48"/>
        <v>0</v>
      </c>
      <c r="K103" s="333">
        <f t="shared" si="49"/>
        <v>0</v>
      </c>
      <c r="L103" s="310">
        <f t="shared" si="50"/>
        <v>0</v>
      </c>
      <c r="M103" s="311">
        <f t="shared" si="51"/>
        <v>0</v>
      </c>
      <c r="N103" s="310">
        <f t="shared" si="52"/>
        <v>0</v>
      </c>
      <c r="O103" s="310">
        <f t="shared" si="53"/>
        <v>0</v>
      </c>
      <c r="P103" s="310">
        <f t="shared" si="54"/>
        <v>0</v>
      </c>
      <c r="Q103" s="310">
        <f t="shared" si="55"/>
        <v>0</v>
      </c>
      <c r="R103" s="333">
        <f t="shared" si="56"/>
        <v>0</v>
      </c>
      <c r="S103" s="331"/>
      <c r="T103" s="313">
        <f>'ORÇAMENTO GERAL'!$J$58</f>
        <v>640.38</v>
      </c>
      <c r="U103" s="313">
        <f>'ORÇAMENTO GERAL'!$J$59</f>
        <v>11.2</v>
      </c>
      <c r="V103" s="313">
        <f>'ORÇAMENTO GERAL'!$J$60</f>
        <v>8.25</v>
      </c>
      <c r="W103" s="313">
        <f>'ORÇAMENTO GERAL'!$J$61</f>
        <v>3.62</v>
      </c>
      <c r="X103" s="313">
        <f>'ORÇAMENTO GERAL'!$J$62</f>
        <v>6.31</v>
      </c>
      <c r="Y103" s="313">
        <f>'ORÇAMENTO GERAL'!$J$63</f>
        <v>40.93</v>
      </c>
      <c r="Z103" s="313">
        <f>'ORÇAMENTO GERAL'!$J$64</f>
        <v>134.83</v>
      </c>
      <c r="AA103" s="313">
        <f>'ORÇAMENTO GERAL'!$J$65</f>
        <v>21.8</v>
      </c>
      <c r="AB103" s="313">
        <f>'ORÇAMENTO GERAL'!$J$66</f>
        <v>45.59</v>
      </c>
      <c r="AC103" s="313">
        <f>'ORÇAMENTO GERAL'!$J$67</f>
        <v>193.31</v>
      </c>
      <c r="AD103" s="313">
        <f t="shared" si="57"/>
        <v>0</v>
      </c>
    </row>
    <row r="104" spans="1:30" s="302" customFormat="1" ht="45" customHeight="1" hidden="1">
      <c r="A104" s="306">
        <v>7</v>
      </c>
      <c r="B104" s="307">
        <f t="shared" si="44"/>
        <v>0</v>
      </c>
      <c r="C104" s="314">
        <v>1</v>
      </c>
      <c r="D104" s="311"/>
      <c r="E104" s="310">
        <f t="shared" si="58"/>
        <v>0</v>
      </c>
      <c r="F104" s="310">
        <f t="shared" si="45"/>
        <v>1.7</v>
      </c>
      <c r="G104" s="310">
        <f t="shared" si="46"/>
        <v>1.8</v>
      </c>
      <c r="H104" s="310">
        <v>0.05</v>
      </c>
      <c r="I104" s="310">
        <f t="shared" si="47"/>
        <v>0</v>
      </c>
      <c r="J104" s="311">
        <f t="shared" si="48"/>
        <v>0</v>
      </c>
      <c r="K104" s="333">
        <f t="shared" si="49"/>
        <v>0</v>
      </c>
      <c r="L104" s="310">
        <f t="shared" si="50"/>
        <v>0</v>
      </c>
      <c r="M104" s="311">
        <f t="shared" si="51"/>
        <v>0</v>
      </c>
      <c r="N104" s="310">
        <f t="shared" si="52"/>
        <v>0</v>
      </c>
      <c r="O104" s="310">
        <f t="shared" si="53"/>
        <v>0</v>
      </c>
      <c r="P104" s="310">
        <f t="shared" si="54"/>
        <v>0</v>
      </c>
      <c r="Q104" s="310">
        <f t="shared" si="55"/>
        <v>0</v>
      </c>
      <c r="R104" s="333">
        <f t="shared" si="56"/>
        <v>0</v>
      </c>
      <c r="S104" s="331"/>
      <c r="T104" s="313">
        <f>'ORÇAMENTO GERAL'!$J$58</f>
        <v>640.38</v>
      </c>
      <c r="U104" s="313">
        <f>'ORÇAMENTO GERAL'!$J$59</f>
        <v>11.2</v>
      </c>
      <c r="V104" s="313">
        <f>'ORÇAMENTO GERAL'!$J$60</f>
        <v>8.25</v>
      </c>
      <c r="W104" s="313">
        <f>'ORÇAMENTO GERAL'!$J$61</f>
        <v>3.62</v>
      </c>
      <c r="X104" s="313">
        <f>'ORÇAMENTO GERAL'!$J$62</f>
        <v>6.31</v>
      </c>
      <c r="Y104" s="313">
        <f>'ORÇAMENTO GERAL'!$J$63</f>
        <v>40.93</v>
      </c>
      <c r="Z104" s="313">
        <f>'ORÇAMENTO GERAL'!$J$64</f>
        <v>134.83</v>
      </c>
      <c r="AA104" s="313">
        <f>'ORÇAMENTO GERAL'!$J$65</f>
        <v>21.8</v>
      </c>
      <c r="AB104" s="313">
        <f>'ORÇAMENTO GERAL'!$J$66</f>
        <v>45.59</v>
      </c>
      <c r="AC104" s="313">
        <f>'ORÇAMENTO GERAL'!$J$67</f>
        <v>193.31</v>
      </c>
      <c r="AD104" s="313">
        <f t="shared" si="57"/>
        <v>0</v>
      </c>
    </row>
    <row r="105" spans="1:30" s="302" customFormat="1" ht="45" customHeight="1" hidden="1">
      <c r="A105" s="306">
        <v>8</v>
      </c>
      <c r="B105" s="307">
        <f t="shared" si="44"/>
        <v>0</v>
      </c>
      <c r="C105" s="314">
        <v>1</v>
      </c>
      <c r="D105" s="311"/>
      <c r="E105" s="310">
        <f t="shared" si="58"/>
        <v>0</v>
      </c>
      <c r="F105" s="310">
        <f t="shared" si="45"/>
        <v>1.7</v>
      </c>
      <c r="G105" s="310">
        <f t="shared" si="46"/>
        <v>1.8</v>
      </c>
      <c r="H105" s="310">
        <v>0.05</v>
      </c>
      <c r="I105" s="310">
        <f t="shared" si="47"/>
        <v>0</v>
      </c>
      <c r="J105" s="311">
        <f t="shared" si="48"/>
        <v>0</v>
      </c>
      <c r="K105" s="333">
        <f t="shared" si="49"/>
        <v>0</v>
      </c>
      <c r="L105" s="310">
        <f t="shared" si="50"/>
        <v>0</v>
      </c>
      <c r="M105" s="311">
        <f t="shared" si="51"/>
        <v>0</v>
      </c>
      <c r="N105" s="310">
        <f t="shared" si="52"/>
        <v>0</v>
      </c>
      <c r="O105" s="310">
        <f t="shared" si="53"/>
        <v>0</v>
      </c>
      <c r="P105" s="310">
        <f t="shared" si="54"/>
        <v>0</v>
      </c>
      <c r="Q105" s="310">
        <f t="shared" si="55"/>
        <v>0</v>
      </c>
      <c r="R105" s="333">
        <f t="shared" si="56"/>
        <v>0</v>
      </c>
      <c r="S105" s="331"/>
      <c r="T105" s="313">
        <f>'ORÇAMENTO GERAL'!$J$58</f>
        <v>640.38</v>
      </c>
      <c r="U105" s="313">
        <f>'ORÇAMENTO GERAL'!$J$59</f>
        <v>11.2</v>
      </c>
      <c r="V105" s="313">
        <f>'ORÇAMENTO GERAL'!$J$60</f>
        <v>8.25</v>
      </c>
      <c r="W105" s="313">
        <f>'ORÇAMENTO GERAL'!$J$61</f>
        <v>3.62</v>
      </c>
      <c r="X105" s="313">
        <f>'ORÇAMENTO GERAL'!$J$62</f>
        <v>6.31</v>
      </c>
      <c r="Y105" s="313">
        <f>'ORÇAMENTO GERAL'!$J$63</f>
        <v>40.93</v>
      </c>
      <c r="Z105" s="313">
        <f>'ORÇAMENTO GERAL'!$J$64</f>
        <v>134.83</v>
      </c>
      <c r="AA105" s="313">
        <f>'ORÇAMENTO GERAL'!$J$65</f>
        <v>21.8</v>
      </c>
      <c r="AB105" s="313">
        <f>'ORÇAMENTO GERAL'!$J$66</f>
        <v>45.59</v>
      </c>
      <c r="AC105" s="313">
        <f>'ORÇAMENTO GERAL'!$J$67</f>
        <v>193.31</v>
      </c>
      <c r="AD105" s="313">
        <f t="shared" si="57"/>
        <v>0</v>
      </c>
    </row>
    <row r="106" spans="1:30" s="302" customFormat="1" ht="45" customHeight="1" hidden="1">
      <c r="A106" s="306">
        <v>9</v>
      </c>
      <c r="B106" s="307">
        <f t="shared" si="44"/>
        <v>0</v>
      </c>
      <c r="C106" s="314">
        <v>1</v>
      </c>
      <c r="D106" s="311"/>
      <c r="E106" s="310">
        <f t="shared" si="58"/>
        <v>0</v>
      </c>
      <c r="F106" s="310">
        <f t="shared" si="45"/>
        <v>1.7</v>
      </c>
      <c r="G106" s="310">
        <f t="shared" si="46"/>
        <v>1.8</v>
      </c>
      <c r="H106" s="310">
        <v>0.05</v>
      </c>
      <c r="I106" s="310">
        <f t="shared" si="47"/>
        <v>0</v>
      </c>
      <c r="J106" s="311">
        <f t="shared" si="48"/>
        <v>0</v>
      </c>
      <c r="K106" s="333">
        <f t="shared" si="49"/>
        <v>0</v>
      </c>
      <c r="L106" s="310">
        <f t="shared" si="50"/>
        <v>0</v>
      </c>
      <c r="M106" s="311">
        <f t="shared" si="51"/>
        <v>0</v>
      </c>
      <c r="N106" s="310">
        <f t="shared" si="52"/>
        <v>0</v>
      </c>
      <c r="O106" s="310">
        <f t="shared" si="53"/>
        <v>0</v>
      </c>
      <c r="P106" s="310">
        <f t="shared" si="54"/>
        <v>0</v>
      </c>
      <c r="Q106" s="310">
        <f t="shared" si="55"/>
        <v>0</v>
      </c>
      <c r="R106" s="333">
        <f t="shared" si="56"/>
        <v>0</v>
      </c>
      <c r="S106" s="331"/>
      <c r="T106" s="313">
        <f>'ORÇAMENTO GERAL'!$J$58</f>
        <v>640.38</v>
      </c>
      <c r="U106" s="313">
        <f>'ORÇAMENTO GERAL'!$J$59</f>
        <v>11.2</v>
      </c>
      <c r="V106" s="313">
        <f>'ORÇAMENTO GERAL'!$J$60</f>
        <v>8.25</v>
      </c>
      <c r="W106" s="313">
        <f>'ORÇAMENTO GERAL'!$J$61</f>
        <v>3.62</v>
      </c>
      <c r="X106" s="313">
        <f>'ORÇAMENTO GERAL'!$J$62</f>
        <v>6.31</v>
      </c>
      <c r="Y106" s="313">
        <f>'ORÇAMENTO GERAL'!$J$63</f>
        <v>40.93</v>
      </c>
      <c r="Z106" s="313">
        <f>'ORÇAMENTO GERAL'!$J$64</f>
        <v>134.83</v>
      </c>
      <c r="AA106" s="313">
        <f>'ORÇAMENTO GERAL'!$J$65</f>
        <v>21.8</v>
      </c>
      <c r="AB106" s="313">
        <f>'ORÇAMENTO GERAL'!$J$66</f>
        <v>45.59</v>
      </c>
      <c r="AC106" s="313">
        <f>'ORÇAMENTO GERAL'!$J$67</f>
        <v>193.31</v>
      </c>
      <c r="AD106" s="313">
        <f t="shared" si="57"/>
        <v>0</v>
      </c>
    </row>
    <row r="107" spans="1:30" s="302" customFormat="1" ht="45" customHeight="1" hidden="1">
      <c r="A107" s="306">
        <v>10</v>
      </c>
      <c r="B107" s="307">
        <f t="shared" si="44"/>
        <v>0</v>
      </c>
      <c r="C107" s="314">
        <v>1</v>
      </c>
      <c r="D107" s="311"/>
      <c r="E107" s="310">
        <f t="shared" si="58"/>
        <v>0</v>
      </c>
      <c r="F107" s="310">
        <f t="shared" si="45"/>
        <v>1.7</v>
      </c>
      <c r="G107" s="310">
        <f t="shared" si="46"/>
        <v>1.8</v>
      </c>
      <c r="H107" s="310">
        <v>0.05</v>
      </c>
      <c r="I107" s="310">
        <f t="shared" si="47"/>
        <v>0</v>
      </c>
      <c r="J107" s="311">
        <f t="shared" si="48"/>
        <v>0</v>
      </c>
      <c r="K107" s="333">
        <f t="shared" si="49"/>
        <v>0</v>
      </c>
      <c r="L107" s="310">
        <f t="shared" si="50"/>
        <v>0</v>
      </c>
      <c r="M107" s="311">
        <f t="shared" si="51"/>
        <v>0</v>
      </c>
      <c r="N107" s="310">
        <f t="shared" si="52"/>
        <v>0</v>
      </c>
      <c r="O107" s="310">
        <f t="shared" si="53"/>
        <v>0</v>
      </c>
      <c r="P107" s="310">
        <f t="shared" si="54"/>
        <v>0</v>
      </c>
      <c r="Q107" s="310">
        <f t="shared" si="55"/>
        <v>0</v>
      </c>
      <c r="R107" s="333">
        <f t="shared" si="56"/>
        <v>0</v>
      </c>
      <c r="S107" s="331"/>
      <c r="T107" s="313">
        <f>'ORÇAMENTO GERAL'!$J$58</f>
        <v>640.38</v>
      </c>
      <c r="U107" s="313">
        <f>'ORÇAMENTO GERAL'!$J$59</f>
        <v>11.2</v>
      </c>
      <c r="V107" s="313">
        <f>'ORÇAMENTO GERAL'!$J$60</f>
        <v>8.25</v>
      </c>
      <c r="W107" s="313">
        <f>'ORÇAMENTO GERAL'!$J$61</f>
        <v>3.62</v>
      </c>
      <c r="X107" s="313">
        <f>'ORÇAMENTO GERAL'!$J$62</f>
        <v>6.31</v>
      </c>
      <c r="Y107" s="313">
        <f>'ORÇAMENTO GERAL'!$J$63</f>
        <v>40.93</v>
      </c>
      <c r="Z107" s="313">
        <f>'ORÇAMENTO GERAL'!$J$64</f>
        <v>134.83</v>
      </c>
      <c r="AA107" s="313">
        <f>'ORÇAMENTO GERAL'!$J$65</f>
        <v>21.8</v>
      </c>
      <c r="AB107" s="313">
        <f>'ORÇAMENTO GERAL'!$J$66</f>
        <v>45.59</v>
      </c>
      <c r="AC107" s="313">
        <f>'ORÇAMENTO GERAL'!$J$67</f>
        <v>193.31</v>
      </c>
      <c r="AD107" s="313">
        <f t="shared" si="57"/>
        <v>0</v>
      </c>
    </row>
    <row r="108" spans="1:30" s="302" customFormat="1" ht="45" customHeight="1" hidden="1">
      <c r="A108" s="306">
        <v>11</v>
      </c>
      <c r="B108" s="307">
        <f t="shared" si="44"/>
        <v>0</v>
      </c>
      <c r="C108" s="314">
        <v>1</v>
      </c>
      <c r="D108" s="311"/>
      <c r="E108" s="310">
        <f t="shared" si="58"/>
        <v>0</v>
      </c>
      <c r="F108" s="310">
        <f t="shared" si="45"/>
        <v>1.7</v>
      </c>
      <c r="G108" s="310">
        <f t="shared" si="46"/>
        <v>1.8</v>
      </c>
      <c r="H108" s="310">
        <v>0.05</v>
      </c>
      <c r="I108" s="310">
        <f t="shared" si="47"/>
        <v>0</v>
      </c>
      <c r="J108" s="311">
        <f t="shared" si="48"/>
        <v>0</v>
      </c>
      <c r="K108" s="333">
        <f t="shared" si="49"/>
        <v>0</v>
      </c>
      <c r="L108" s="310">
        <f t="shared" si="50"/>
        <v>0</v>
      </c>
      <c r="M108" s="311">
        <f t="shared" si="51"/>
        <v>0</v>
      </c>
      <c r="N108" s="310">
        <f t="shared" si="52"/>
        <v>0</v>
      </c>
      <c r="O108" s="310">
        <f t="shared" si="53"/>
        <v>0</v>
      </c>
      <c r="P108" s="310">
        <f t="shared" si="54"/>
        <v>0</v>
      </c>
      <c r="Q108" s="310">
        <f t="shared" si="55"/>
        <v>0</v>
      </c>
      <c r="R108" s="333">
        <f t="shared" si="56"/>
        <v>0</v>
      </c>
      <c r="S108" s="331"/>
      <c r="T108" s="313">
        <f>'ORÇAMENTO GERAL'!$J$58</f>
        <v>640.38</v>
      </c>
      <c r="U108" s="313">
        <f>'ORÇAMENTO GERAL'!$J$59</f>
        <v>11.2</v>
      </c>
      <c r="V108" s="313">
        <f>'ORÇAMENTO GERAL'!$J$60</f>
        <v>8.25</v>
      </c>
      <c r="W108" s="313">
        <f>'ORÇAMENTO GERAL'!$J$61</f>
        <v>3.62</v>
      </c>
      <c r="X108" s="313">
        <f>'ORÇAMENTO GERAL'!$J$62</f>
        <v>6.31</v>
      </c>
      <c r="Y108" s="313">
        <f>'ORÇAMENTO GERAL'!$J$63</f>
        <v>40.93</v>
      </c>
      <c r="Z108" s="313">
        <f>'ORÇAMENTO GERAL'!$J$64</f>
        <v>134.83</v>
      </c>
      <c r="AA108" s="313">
        <f>'ORÇAMENTO GERAL'!$J$65</f>
        <v>21.8</v>
      </c>
      <c r="AB108" s="313">
        <f>'ORÇAMENTO GERAL'!$J$66</f>
        <v>45.59</v>
      </c>
      <c r="AC108" s="313">
        <f>'ORÇAMENTO GERAL'!$J$67</f>
        <v>193.31</v>
      </c>
      <c r="AD108" s="313">
        <f t="shared" si="57"/>
        <v>0</v>
      </c>
    </row>
    <row r="109" spans="1:30" s="302" customFormat="1" ht="45" customHeight="1" hidden="1">
      <c r="A109" s="306">
        <v>12</v>
      </c>
      <c r="B109" s="307">
        <f t="shared" si="44"/>
        <v>0</v>
      </c>
      <c r="C109" s="314">
        <v>1</v>
      </c>
      <c r="D109" s="311"/>
      <c r="E109" s="310">
        <f t="shared" si="58"/>
        <v>0</v>
      </c>
      <c r="F109" s="310">
        <f t="shared" si="45"/>
        <v>1.7</v>
      </c>
      <c r="G109" s="310">
        <f t="shared" si="46"/>
        <v>1.8</v>
      </c>
      <c r="H109" s="310">
        <v>0.05</v>
      </c>
      <c r="I109" s="310">
        <f t="shared" si="47"/>
        <v>0</v>
      </c>
      <c r="J109" s="311">
        <f t="shared" si="48"/>
        <v>0</v>
      </c>
      <c r="K109" s="333">
        <f t="shared" si="49"/>
        <v>0</v>
      </c>
      <c r="L109" s="310">
        <f t="shared" si="50"/>
        <v>0</v>
      </c>
      <c r="M109" s="311">
        <f t="shared" si="51"/>
        <v>0</v>
      </c>
      <c r="N109" s="310">
        <f t="shared" si="52"/>
        <v>0</v>
      </c>
      <c r="O109" s="310">
        <f t="shared" si="53"/>
        <v>0</v>
      </c>
      <c r="P109" s="310">
        <f t="shared" si="54"/>
        <v>0</v>
      </c>
      <c r="Q109" s="310">
        <f t="shared" si="55"/>
        <v>0</v>
      </c>
      <c r="R109" s="333">
        <f t="shared" si="56"/>
        <v>0</v>
      </c>
      <c r="S109" s="331"/>
      <c r="T109" s="313">
        <f>'ORÇAMENTO GERAL'!$J$58</f>
        <v>640.38</v>
      </c>
      <c r="U109" s="313">
        <f>'ORÇAMENTO GERAL'!$J$59</f>
        <v>11.2</v>
      </c>
      <c r="V109" s="313">
        <f>'ORÇAMENTO GERAL'!$J$60</f>
        <v>8.25</v>
      </c>
      <c r="W109" s="313">
        <f>'ORÇAMENTO GERAL'!$J$61</f>
        <v>3.62</v>
      </c>
      <c r="X109" s="313">
        <f>'ORÇAMENTO GERAL'!$J$62</f>
        <v>6.31</v>
      </c>
      <c r="Y109" s="313">
        <f>'ORÇAMENTO GERAL'!$J$63</f>
        <v>40.93</v>
      </c>
      <c r="Z109" s="313">
        <f>'ORÇAMENTO GERAL'!$J$64</f>
        <v>134.83</v>
      </c>
      <c r="AA109" s="313">
        <f>'ORÇAMENTO GERAL'!$J$65</f>
        <v>21.8</v>
      </c>
      <c r="AB109" s="313">
        <f>'ORÇAMENTO GERAL'!$J$66</f>
        <v>45.59</v>
      </c>
      <c r="AC109" s="313">
        <f>'ORÇAMENTO GERAL'!$J$67</f>
        <v>193.31</v>
      </c>
      <c r="AD109" s="313">
        <f t="shared" si="57"/>
        <v>0</v>
      </c>
    </row>
    <row r="110" spans="1:30" s="302" customFormat="1" ht="45" customHeight="1" hidden="1">
      <c r="A110" s="306">
        <v>13</v>
      </c>
      <c r="B110" s="307">
        <f t="shared" si="44"/>
        <v>0</v>
      </c>
      <c r="C110" s="314">
        <v>1</v>
      </c>
      <c r="D110" s="311"/>
      <c r="E110" s="310">
        <f t="shared" si="58"/>
        <v>0</v>
      </c>
      <c r="F110" s="310">
        <f t="shared" si="45"/>
        <v>1.7</v>
      </c>
      <c r="G110" s="310">
        <f t="shared" si="46"/>
        <v>1.8</v>
      </c>
      <c r="H110" s="310">
        <v>0.05</v>
      </c>
      <c r="I110" s="310">
        <f t="shared" si="47"/>
        <v>0</v>
      </c>
      <c r="J110" s="311">
        <f t="shared" si="48"/>
        <v>0</v>
      </c>
      <c r="K110" s="333">
        <f t="shared" si="49"/>
        <v>0</v>
      </c>
      <c r="L110" s="310">
        <f t="shared" si="50"/>
        <v>0</v>
      </c>
      <c r="M110" s="311">
        <f t="shared" si="51"/>
        <v>0</v>
      </c>
      <c r="N110" s="310">
        <f t="shared" si="52"/>
        <v>0</v>
      </c>
      <c r="O110" s="310">
        <f t="shared" si="53"/>
        <v>0</v>
      </c>
      <c r="P110" s="310">
        <f t="shared" si="54"/>
        <v>0</v>
      </c>
      <c r="Q110" s="310">
        <f t="shared" si="55"/>
        <v>0</v>
      </c>
      <c r="R110" s="333">
        <f t="shared" si="56"/>
        <v>0</v>
      </c>
      <c r="S110" s="331"/>
      <c r="T110" s="313">
        <f>'ORÇAMENTO GERAL'!$J$58</f>
        <v>640.38</v>
      </c>
      <c r="U110" s="313">
        <f>'ORÇAMENTO GERAL'!$J$59</f>
        <v>11.2</v>
      </c>
      <c r="V110" s="313">
        <f>'ORÇAMENTO GERAL'!$J$60</f>
        <v>8.25</v>
      </c>
      <c r="W110" s="313">
        <f>'ORÇAMENTO GERAL'!$J$61</f>
        <v>3.62</v>
      </c>
      <c r="X110" s="313">
        <f>'ORÇAMENTO GERAL'!$J$62</f>
        <v>6.31</v>
      </c>
      <c r="Y110" s="313">
        <f>'ORÇAMENTO GERAL'!$J$63</f>
        <v>40.93</v>
      </c>
      <c r="Z110" s="313">
        <f>'ORÇAMENTO GERAL'!$J$64</f>
        <v>134.83</v>
      </c>
      <c r="AA110" s="313">
        <f>'ORÇAMENTO GERAL'!$J$65</f>
        <v>21.8</v>
      </c>
      <c r="AB110" s="313">
        <f>'ORÇAMENTO GERAL'!$J$66</f>
        <v>45.59</v>
      </c>
      <c r="AC110" s="313">
        <f>'ORÇAMENTO GERAL'!$J$67</f>
        <v>193.31</v>
      </c>
      <c r="AD110" s="313">
        <f t="shared" si="57"/>
        <v>0</v>
      </c>
    </row>
    <row r="111" spans="1:30" s="302" customFormat="1" ht="45" customHeight="1" hidden="1">
      <c r="A111" s="306">
        <v>14</v>
      </c>
      <c r="B111" s="307">
        <f t="shared" si="44"/>
        <v>0</v>
      </c>
      <c r="C111" s="314">
        <v>1</v>
      </c>
      <c r="D111" s="311"/>
      <c r="E111" s="310">
        <f t="shared" si="58"/>
        <v>0</v>
      </c>
      <c r="F111" s="310">
        <f t="shared" si="45"/>
        <v>1.7</v>
      </c>
      <c r="G111" s="310">
        <f t="shared" si="46"/>
        <v>1.8</v>
      </c>
      <c r="H111" s="310">
        <v>0.05</v>
      </c>
      <c r="I111" s="310">
        <f t="shared" si="47"/>
        <v>0</v>
      </c>
      <c r="J111" s="311">
        <f t="shared" si="48"/>
        <v>0</v>
      </c>
      <c r="K111" s="333">
        <f t="shared" si="49"/>
        <v>0</v>
      </c>
      <c r="L111" s="310">
        <f t="shared" si="50"/>
        <v>0</v>
      </c>
      <c r="M111" s="311">
        <f t="shared" si="51"/>
        <v>0</v>
      </c>
      <c r="N111" s="310">
        <f t="shared" si="52"/>
        <v>0</v>
      </c>
      <c r="O111" s="310">
        <f t="shared" si="53"/>
        <v>0</v>
      </c>
      <c r="P111" s="310">
        <f t="shared" si="54"/>
        <v>0</v>
      </c>
      <c r="Q111" s="310">
        <f t="shared" si="55"/>
        <v>0</v>
      </c>
      <c r="R111" s="333">
        <f t="shared" si="56"/>
        <v>0</v>
      </c>
      <c r="S111" s="331"/>
      <c r="T111" s="313">
        <f>'ORÇAMENTO GERAL'!$J$58</f>
        <v>640.38</v>
      </c>
      <c r="U111" s="313">
        <f>'ORÇAMENTO GERAL'!$J$59</f>
        <v>11.2</v>
      </c>
      <c r="V111" s="313">
        <f>'ORÇAMENTO GERAL'!$J$60</f>
        <v>8.25</v>
      </c>
      <c r="W111" s="313">
        <f>'ORÇAMENTO GERAL'!$J$61</f>
        <v>3.62</v>
      </c>
      <c r="X111" s="313">
        <f>'ORÇAMENTO GERAL'!$J$62</f>
        <v>6.31</v>
      </c>
      <c r="Y111" s="313">
        <f>'ORÇAMENTO GERAL'!$J$63</f>
        <v>40.93</v>
      </c>
      <c r="Z111" s="313">
        <f>'ORÇAMENTO GERAL'!$J$64</f>
        <v>134.83</v>
      </c>
      <c r="AA111" s="313">
        <f>'ORÇAMENTO GERAL'!$J$65</f>
        <v>21.8</v>
      </c>
      <c r="AB111" s="313">
        <f>'ORÇAMENTO GERAL'!$J$66</f>
        <v>45.59</v>
      </c>
      <c r="AC111" s="313">
        <f>'ORÇAMENTO GERAL'!$J$67</f>
        <v>193.31</v>
      </c>
      <c r="AD111" s="313">
        <f t="shared" si="57"/>
        <v>0</v>
      </c>
    </row>
    <row r="112" spans="1:30" s="302" customFormat="1" ht="45" customHeight="1" hidden="1">
      <c r="A112" s="306">
        <v>15</v>
      </c>
      <c r="B112" s="307">
        <f t="shared" si="44"/>
        <v>0</v>
      </c>
      <c r="C112" s="314">
        <v>1</v>
      </c>
      <c r="D112" s="311"/>
      <c r="E112" s="310">
        <f t="shared" si="58"/>
        <v>0</v>
      </c>
      <c r="F112" s="310">
        <f t="shared" si="45"/>
        <v>1.7</v>
      </c>
      <c r="G112" s="310">
        <f t="shared" si="46"/>
        <v>1.8</v>
      </c>
      <c r="H112" s="310">
        <v>0.05</v>
      </c>
      <c r="I112" s="310">
        <f t="shared" si="47"/>
        <v>0</v>
      </c>
      <c r="J112" s="311">
        <f t="shared" si="48"/>
        <v>0</v>
      </c>
      <c r="K112" s="333">
        <f t="shared" si="49"/>
        <v>0</v>
      </c>
      <c r="L112" s="310">
        <f t="shared" si="50"/>
        <v>0</v>
      </c>
      <c r="M112" s="311">
        <f t="shared" si="51"/>
        <v>0</v>
      </c>
      <c r="N112" s="310">
        <f t="shared" si="52"/>
        <v>0</v>
      </c>
      <c r="O112" s="310">
        <f t="shared" si="53"/>
        <v>0</v>
      </c>
      <c r="P112" s="310">
        <f t="shared" si="54"/>
        <v>0</v>
      </c>
      <c r="Q112" s="310">
        <f t="shared" si="55"/>
        <v>0</v>
      </c>
      <c r="R112" s="333">
        <f t="shared" si="56"/>
        <v>0</v>
      </c>
      <c r="S112" s="331"/>
      <c r="T112" s="313">
        <f>'ORÇAMENTO GERAL'!$J$58</f>
        <v>640.38</v>
      </c>
      <c r="U112" s="313">
        <f>'ORÇAMENTO GERAL'!$J$59</f>
        <v>11.2</v>
      </c>
      <c r="V112" s="313">
        <f>'ORÇAMENTO GERAL'!$J$60</f>
        <v>8.25</v>
      </c>
      <c r="W112" s="313">
        <f>'ORÇAMENTO GERAL'!$J$61</f>
        <v>3.62</v>
      </c>
      <c r="X112" s="313">
        <f>'ORÇAMENTO GERAL'!$J$62</f>
        <v>6.31</v>
      </c>
      <c r="Y112" s="313">
        <f>'ORÇAMENTO GERAL'!$J$63</f>
        <v>40.93</v>
      </c>
      <c r="Z112" s="313">
        <f>'ORÇAMENTO GERAL'!$J$64</f>
        <v>134.83</v>
      </c>
      <c r="AA112" s="313">
        <f>'ORÇAMENTO GERAL'!$J$65</f>
        <v>21.8</v>
      </c>
      <c r="AB112" s="313">
        <f>'ORÇAMENTO GERAL'!$J$66</f>
        <v>45.59</v>
      </c>
      <c r="AC112" s="313">
        <f>'ORÇAMENTO GERAL'!$J$67</f>
        <v>193.31</v>
      </c>
      <c r="AD112" s="313">
        <f t="shared" si="57"/>
        <v>0</v>
      </c>
    </row>
    <row r="113" spans="1:30" s="302" customFormat="1" ht="45" customHeight="1" hidden="1">
      <c r="A113" s="306">
        <v>16</v>
      </c>
      <c r="B113" s="307">
        <f t="shared" si="44"/>
        <v>0</v>
      </c>
      <c r="C113" s="314">
        <v>1</v>
      </c>
      <c r="D113" s="311"/>
      <c r="E113" s="310">
        <f t="shared" si="58"/>
        <v>0</v>
      </c>
      <c r="F113" s="310">
        <f t="shared" si="45"/>
        <v>1.7</v>
      </c>
      <c r="G113" s="310">
        <f t="shared" si="46"/>
        <v>1.8</v>
      </c>
      <c r="H113" s="310">
        <v>0.05</v>
      </c>
      <c r="I113" s="310">
        <f t="shared" si="47"/>
        <v>0</v>
      </c>
      <c r="J113" s="311">
        <f t="shared" si="48"/>
        <v>0</v>
      </c>
      <c r="K113" s="333">
        <f t="shared" si="49"/>
        <v>0</v>
      </c>
      <c r="L113" s="310">
        <f t="shared" si="50"/>
        <v>0</v>
      </c>
      <c r="M113" s="311">
        <f t="shared" si="51"/>
        <v>0</v>
      </c>
      <c r="N113" s="310">
        <f t="shared" si="52"/>
        <v>0</v>
      </c>
      <c r="O113" s="310">
        <f t="shared" si="53"/>
        <v>0</v>
      </c>
      <c r="P113" s="310">
        <f t="shared" si="54"/>
        <v>0</v>
      </c>
      <c r="Q113" s="310">
        <f t="shared" si="55"/>
        <v>0</v>
      </c>
      <c r="R113" s="333">
        <f t="shared" si="56"/>
        <v>0</v>
      </c>
      <c r="S113" s="331"/>
      <c r="T113" s="313">
        <f>'ORÇAMENTO GERAL'!$J$58</f>
        <v>640.38</v>
      </c>
      <c r="U113" s="313">
        <f>'ORÇAMENTO GERAL'!$J$59</f>
        <v>11.2</v>
      </c>
      <c r="V113" s="313">
        <f>'ORÇAMENTO GERAL'!$J$60</f>
        <v>8.25</v>
      </c>
      <c r="W113" s="313">
        <f>'ORÇAMENTO GERAL'!$J$61</f>
        <v>3.62</v>
      </c>
      <c r="X113" s="313">
        <f>'ORÇAMENTO GERAL'!$J$62</f>
        <v>6.31</v>
      </c>
      <c r="Y113" s="313">
        <f>'ORÇAMENTO GERAL'!$J$63</f>
        <v>40.93</v>
      </c>
      <c r="Z113" s="313">
        <f>'ORÇAMENTO GERAL'!$J$64</f>
        <v>134.83</v>
      </c>
      <c r="AA113" s="313">
        <f>'ORÇAMENTO GERAL'!$J$65</f>
        <v>21.8</v>
      </c>
      <c r="AB113" s="313">
        <f>'ORÇAMENTO GERAL'!$J$66</f>
        <v>45.59</v>
      </c>
      <c r="AC113" s="313">
        <f>'ORÇAMENTO GERAL'!$J$67</f>
        <v>193.31</v>
      </c>
      <c r="AD113" s="313">
        <f t="shared" si="57"/>
        <v>0</v>
      </c>
    </row>
    <row r="114" spans="1:30" s="302" customFormat="1" ht="45" customHeight="1" hidden="1">
      <c r="A114" s="306">
        <v>17</v>
      </c>
      <c r="B114" s="307">
        <f t="shared" si="44"/>
        <v>0</v>
      </c>
      <c r="C114" s="314">
        <v>1</v>
      </c>
      <c r="D114" s="311"/>
      <c r="E114" s="310">
        <f t="shared" si="58"/>
        <v>0</v>
      </c>
      <c r="F114" s="310">
        <f t="shared" si="45"/>
        <v>1.7</v>
      </c>
      <c r="G114" s="310">
        <f t="shared" si="46"/>
        <v>1.8</v>
      </c>
      <c r="H114" s="310">
        <v>0.05</v>
      </c>
      <c r="I114" s="310">
        <f t="shared" si="47"/>
        <v>0</v>
      </c>
      <c r="J114" s="311">
        <f t="shared" si="48"/>
        <v>0</v>
      </c>
      <c r="K114" s="333">
        <f t="shared" si="49"/>
        <v>0</v>
      </c>
      <c r="L114" s="310">
        <f t="shared" si="50"/>
        <v>0</v>
      </c>
      <c r="M114" s="311">
        <f t="shared" si="51"/>
        <v>0</v>
      </c>
      <c r="N114" s="310">
        <f t="shared" si="52"/>
        <v>0</v>
      </c>
      <c r="O114" s="310">
        <f t="shared" si="53"/>
        <v>0</v>
      </c>
      <c r="P114" s="310">
        <f t="shared" si="54"/>
        <v>0</v>
      </c>
      <c r="Q114" s="310">
        <f t="shared" si="55"/>
        <v>0</v>
      </c>
      <c r="R114" s="333">
        <f t="shared" si="56"/>
        <v>0</v>
      </c>
      <c r="S114" s="331"/>
      <c r="T114" s="313">
        <f>'ORÇAMENTO GERAL'!$J$58</f>
        <v>640.38</v>
      </c>
      <c r="U114" s="313">
        <f>'ORÇAMENTO GERAL'!$J$59</f>
        <v>11.2</v>
      </c>
      <c r="V114" s="313">
        <f>'ORÇAMENTO GERAL'!$J$60</f>
        <v>8.25</v>
      </c>
      <c r="W114" s="313">
        <f>'ORÇAMENTO GERAL'!$J$61</f>
        <v>3.62</v>
      </c>
      <c r="X114" s="313">
        <f>'ORÇAMENTO GERAL'!$J$62</f>
        <v>6.31</v>
      </c>
      <c r="Y114" s="313">
        <f>'ORÇAMENTO GERAL'!$J$63</f>
        <v>40.93</v>
      </c>
      <c r="Z114" s="313">
        <f>'ORÇAMENTO GERAL'!$J$64</f>
        <v>134.83</v>
      </c>
      <c r="AA114" s="313">
        <f>'ORÇAMENTO GERAL'!$J$65</f>
        <v>21.8</v>
      </c>
      <c r="AB114" s="313">
        <f>'ORÇAMENTO GERAL'!$J$66</f>
        <v>45.59</v>
      </c>
      <c r="AC114" s="313">
        <f>'ORÇAMENTO GERAL'!$J$67</f>
        <v>193.31</v>
      </c>
      <c r="AD114" s="313">
        <f t="shared" si="57"/>
        <v>0</v>
      </c>
    </row>
    <row r="115" spans="1:30" s="302" customFormat="1" ht="45" customHeight="1" hidden="1">
      <c r="A115" s="306">
        <v>18</v>
      </c>
      <c r="B115" s="307">
        <f t="shared" si="44"/>
        <v>0</v>
      </c>
      <c r="C115" s="314">
        <v>1</v>
      </c>
      <c r="D115" s="311"/>
      <c r="E115" s="310">
        <f t="shared" si="58"/>
        <v>0</v>
      </c>
      <c r="F115" s="310">
        <f t="shared" si="45"/>
        <v>1.7</v>
      </c>
      <c r="G115" s="310">
        <f t="shared" si="46"/>
        <v>1.8</v>
      </c>
      <c r="H115" s="310">
        <v>0.05</v>
      </c>
      <c r="I115" s="310">
        <f t="shared" si="47"/>
        <v>0</v>
      </c>
      <c r="J115" s="311">
        <f t="shared" si="48"/>
        <v>0</v>
      </c>
      <c r="K115" s="333">
        <f t="shared" si="49"/>
        <v>0</v>
      </c>
      <c r="L115" s="310">
        <f t="shared" si="50"/>
        <v>0</v>
      </c>
      <c r="M115" s="311">
        <f t="shared" si="51"/>
        <v>0</v>
      </c>
      <c r="N115" s="310">
        <f t="shared" si="52"/>
        <v>0</v>
      </c>
      <c r="O115" s="310">
        <f t="shared" si="53"/>
        <v>0</v>
      </c>
      <c r="P115" s="310">
        <f t="shared" si="54"/>
        <v>0</v>
      </c>
      <c r="Q115" s="310">
        <f t="shared" si="55"/>
        <v>0</v>
      </c>
      <c r="R115" s="333">
        <f t="shared" si="56"/>
        <v>0</v>
      </c>
      <c r="S115" s="331"/>
      <c r="T115" s="313">
        <f>'ORÇAMENTO GERAL'!$J$58</f>
        <v>640.38</v>
      </c>
      <c r="U115" s="313">
        <f>'ORÇAMENTO GERAL'!$J$59</f>
        <v>11.2</v>
      </c>
      <c r="V115" s="313">
        <f>'ORÇAMENTO GERAL'!$J$60</f>
        <v>8.25</v>
      </c>
      <c r="W115" s="313">
        <f>'ORÇAMENTO GERAL'!$J$61</f>
        <v>3.62</v>
      </c>
      <c r="X115" s="313">
        <f>'ORÇAMENTO GERAL'!$J$62</f>
        <v>6.31</v>
      </c>
      <c r="Y115" s="313">
        <f>'ORÇAMENTO GERAL'!$J$63</f>
        <v>40.93</v>
      </c>
      <c r="Z115" s="313">
        <f>'ORÇAMENTO GERAL'!$J$64</f>
        <v>134.83</v>
      </c>
      <c r="AA115" s="313">
        <f>'ORÇAMENTO GERAL'!$J$65</f>
        <v>21.8</v>
      </c>
      <c r="AB115" s="313">
        <f>'ORÇAMENTO GERAL'!$J$66</f>
        <v>45.59</v>
      </c>
      <c r="AC115" s="313">
        <f>'ORÇAMENTO GERAL'!$J$67</f>
        <v>193.31</v>
      </c>
      <c r="AD115" s="313">
        <f t="shared" si="57"/>
        <v>0</v>
      </c>
    </row>
    <row r="116" spans="1:30" s="302" customFormat="1" ht="45" customHeight="1" hidden="1">
      <c r="A116" s="306">
        <v>19</v>
      </c>
      <c r="B116" s="307">
        <f t="shared" si="44"/>
        <v>0</v>
      </c>
      <c r="C116" s="314">
        <v>1</v>
      </c>
      <c r="D116" s="311"/>
      <c r="E116" s="310">
        <f t="shared" si="58"/>
        <v>0</v>
      </c>
      <c r="F116" s="310">
        <f t="shared" si="45"/>
        <v>1.7</v>
      </c>
      <c r="G116" s="310">
        <f t="shared" si="46"/>
        <v>1.8</v>
      </c>
      <c r="H116" s="310">
        <v>0.05</v>
      </c>
      <c r="I116" s="310">
        <f t="shared" si="47"/>
        <v>0</v>
      </c>
      <c r="J116" s="311">
        <f t="shared" si="48"/>
        <v>0</v>
      </c>
      <c r="K116" s="333">
        <f t="shared" si="49"/>
        <v>0</v>
      </c>
      <c r="L116" s="310">
        <f t="shared" si="50"/>
        <v>0</v>
      </c>
      <c r="M116" s="311">
        <f t="shared" si="51"/>
        <v>0</v>
      </c>
      <c r="N116" s="310">
        <f t="shared" si="52"/>
        <v>0</v>
      </c>
      <c r="O116" s="310">
        <f t="shared" si="53"/>
        <v>0</v>
      </c>
      <c r="P116" s="310">
        <f t="shared" si="54"/>
        <v>0</v>
      </c>
      <c r="Q116" s="310">
        <f t="shared" si="55"/>
        <v>0</v>
      </c>
      <c r="R116" s="333">
        <f t="shared" si="56"/>
        <v>0</v>
      </c>
      <c r="S116" s="331"/>
      <c r="T116" s="313">
        <f>'ORÇAMENTO GERAL'!$J$58</f>
        <v>640.38</v>
      </c>
      <c r="U116" s="313">
        <f>'ORÇAMENTO GERAL'!$J$59</f>
        <v>11.2</v>
      </c>
      <c r="V116" s="313">
        <f>'ORÇAMENTO GERAL'!$J$60</f>
        <v>8.25</v>
      </c>
      <c r="W116" s="313">
        <f>'ORÇAMENTO GERAL'!$J$61</f>
        <v>3.62</v>
      </c>
      <c r="X116" s="313">
        <f>'ORÇAMENTO GERAL'!$J$62</f>
        <v>6.31</v>
      </c>
      <c r="Y116" s="313">
        <f>'ORÇAMENTO GERAL'!$J$63</f>
        <v>40.93</v>
      </c>
      <c r="Z116" s="313">
        <f>'ORÇAMENTO GERAL'!$J$64</f>
        <v>134.83</v>
      </c>
      <c r="AA116" s="313">
        <f>'ORÇAMENTO GERAL'!$J$65</f>
        <v>21.8</v>
      </c>
      <c r="AB116" s="313">
        <f>'ORÇAMENTO GERAL'!$J$66</f>
        <v>45.59</v>
      </c>
      <c r="AC116" s="313">
        <f>'ORÇAMENTO GERAL'!$J$67</f>
        <v>193.31</v>
      </c>
      <c r="AD116" s="313">
        <f t="shared" si="57"/>
        <v>0</v>
      </c>
    </row>
    <row r="117" spans="1:30" s="302" customFormat="1" ht="45" customHeight="1" hidden="1" thickBot="1">
      <c r="A117" s="306">
        <v>20</v>
      </c>
      <c r="B117" s="307">
        <f t="shared" si="44"/>
        <v>0</v>
      </c>
      <c r="C117" s="314">
        <v>1</v>
      </c>
      <c r="D117" s="311"/>
      <c r="E117" s="310">
        <f t="shared" si="58"/>
        <v>0</v>
      </c>
      <c r="F117" s="310">
        <f t="shared" si="45"/>
        <v>1.7</v>
      </c>
      <c r="G117" s="310">
        <f t="shared" si="46"/>
        <v>1.8</v>
      </c>
      <c r="H117" s="310">
        <v>0.05</v>
      </c>
      <c r="I117" s="310">
        <f t="shared" si="47"/>
        <v>0</v>
      </c>
      <c r="J117" s="311">
        <f t="shared" si="48"/>
        <v>0</v>
      </c>
      <c r="K117" s="333">
        <f t="shared" si="49"/>
        <v>0</v>
      </c>
      <c r="L117" s="310">
        <f t="shared" si="50"/>
        <v>0</v>
      </c>
      <c r="M117" s="311">
        <f t="shared" si="51"/>
        <v>0</v>
      </c>
      <c r="N117" s="310">
        <f t="shared" si="52"/>
        <v>0</v>
      </c>
      <c r="O117" s="310">
        <f t="shared" si="53"/>
        <v>0</v>
      </c>
      <c r="P117" s="310">
        <f t="shared" si="54"/>
        <v>0</v>
      </c>
      <c r="Q117" s="310">
        <f t="shared" si="55"/>
        <v>0</v>
      </c>
      <c r="R117" s="333">
        <f t="shared" si="56"/>
        <v>0</v>
      </c>
      <c r="S117" s="331"/>
      <c r="T117" s="313">
        <f>'ORÇAMENTO GERAL'!$J$58</f>
        <v>640.38</v>
      </c>
      <c r="U117" s="313">
        <f>'ORÇAMENTO GERAL'!$J$59</f>
        <v>11.2</v>
      </c>
      <c r="V117" s="313">
        <f>'ORÇAMENTO GERAL'!$J$60</f>
        <v>8.25</v>
      </c>
      <c r="W117" s="313">
        <f>'ORÇAMENTO GERAL'!$J$61</f>
        <v>3.62</v>
      </c>
      <c r="X117" s="313">
        <f>'ORÇAMENTO GERAL'!$J$62</f>
        <v>6.31</v>
      </c>
      <c r="Y117" s="313">
        <f>'ORÇAMENTO GERAL'!$J$63</f>
        <v>40.93</v>
      </c>
      <c r="Z117" s="313">
        <f>'ORÇAMENTO GERAL'!$J$64</f>
        <v>134.83</v>
      </c>
      <c r="AA117" s="313">
        <f>'ORÇAMENTO GERAL'!$J$65</f>
        <v>21.8</v>
      </c>
      <c r="AB117" s="313">
        <f>'ORÇAMENTO GERAL'!$J$66</f>
        <v>45.59</v>
      </c>
      <c r="AC117" s="313">
        <f>'ORÇAMENTO GERAL'!$J$67</f>
        <v>193.31</v>
      </c>
      <c r="AD117" s="313">
        <f t="shared" si="57"/>
        <v>0</v>
      </c>
    </row>
    <row r="118" spans="1:19" s="302" customFormat="1" ht="45" customHeight="1" hidden="1" thickBot="1">
      <c r="A118" s="641" t="s">
        <v>24</v>
      </c>
      <c r="B118" s="642"/>
      <c r="C118" s="315"/>
      <c r="D118" s="315"/>
      <c r="E118" s="315">
        <f>SUM(E98:E117)</f>
        <v>0</v>
      </c>
      <c r="F118" s="315"/>
      <c r="G118" s="315"/>
      <c r="H118" s="315"/>
      <c r="I118" s="315">
        <f>SUM(I98:I117)</f>
        <v>0</v>
      </c>
      <c r="J118" s="315">
        <f aca="true" t="shared" si="59" ref="J118:R118">SUM(J98:J117)</f>
        <v>0</v>
      </c>
      <c r="K118" s="315">
        <f t="shared" si="59"/>
        <v>0</v>
      </c>
      <c r="L118" s="315">
        <f t="shared" si="59"/>
        <v>0</v>
      </c>
      <c r="M118" s="315">
        <f t="shared" si="59"/>
        <v>0</v>
      </c>
      <c r="N118" s="315">
        <f t="shared" si="59"/>
        <v>0</v>
      </c>
      <c r="O118" s="315">
        <f t="shared" si="59"/>
        <v>0</v>
      </c>
      <c r="P118" s="315">
        <f t="shared" si="59"/>
        <v>0</v>
      </c>
      <c r="Q118" s="315">
        <f t="shared" si="59"/>
        <v>0</v>
      </c>
      <c r="R118" s="315">
        <f t="shared" si="59"/>
        <v>0</v>
      </c>
      <c r="S118" s="330"/>
    </row>
    <row r="119" spans="3:8" s="302" customFormat="1" ht="45" customHeight="1" hidden="1" thickBot="1">
      <c r="C119" s="320"/>
      <c r="D119" s="320"/>
      <c r="E119" s="320"/>
      <c r="F119" s="320"/>
      <c r="G119" s="320"/>
      <c r="H119" s="320"/>
    </row>
    <row r="120" spans="1:19" s="302" customFormat="1" ht="45" customHeight="1" hidden="1" thickBot="1">
      <c r="A120" s="643" t="s">
        <v>489</v>
      </c>
      <c r="B120" s="644"/>
      <c r="C120" s="644"/>
      <c r="D120" s="644"/>
      <c r="E120" s="644"/>
      <c r="F120" s="644"/>
      <c r="G120" s="644"/>
      <c r="H120" s="644"/>
      <c r="I120" s="644"/>
      <c r="J120" s="644"/>
      <c r="K120" s="644"/>
      <c r="L120" s="644"/>
      <c r="M120" s="644"/>
      <c r="N120" s="644"/>
      <c r="O120" s="644"/>
      <c r="P120" s="644"/>
      <c r="Q120" s="644"/>
      <c r="R120" s="645"/>
      <c r="S120" s="328"/>
    </row>
    <row r="121" spans="1:19" s="302" customFormat="1" ht="45" customHeight="1" hidden="1">
      <c r="A121" s="646" t="s">
        <v>7</v>
      </c>
      <c r="B121" s="649" t="s">
        <v>406</v>
      </c>
      <c r="C121" s="652" t="s">
        <v>577</v>
      </c>
      <c r="D121" s="652"/>
      <c r="E121" s="652"/>
      <c r="F121" s="654" t="s">
        <v>532</v>
      </c>
      <c r="G121" s="654"/>
      <c r="H121" s="654"/>
      <c r="I121" s="654"/>
      <c r="J121" s="654" t="s">
        <v>533</v>
      </c>
      <c r="K121" s="659" t="s">
        <v>536</v>
      </c>
      <c r="L121" s="654" t="s">
        <v>397</v>
      </c>
      <c r="M121" s="654" t="s">
        <v>400</v>
      </c>
      <c r="N121" s="656" t="s">
        <v>398</v>
      </c>
      <c r="O121" s="656" t="s">
        <v>534</v>
      </c>
      <c r="P121" s="656" t="s">
        <v>634</v>
      </c>
      <c r="Q121" s="656" t="s">
        <v>535</v>
      </c>
      <c r="R121" s="652" t="s">
        <v>401</v>
      </c>
      <c r="S121" s="328"/>
    </row>
    <row r="122" spans="1:19" s="302" customFormat="1" ht="45" customHeight="1" hidden="1">
      <c r="A122" s="647"/>
      <c r="B122" s="650"/>
      <c r="C122" s="653"/>
      <c r="D122" s="653"/>
      <c r="E122" s="653"/>
      <c r="F122" s="655"/>
      <c r="G122" s="655"/>
      <c r="H122" s="655"/>
      <c r="I122" s="655"/>
      <c r="J122" s="655"/>
      <c r="K122" s="660"/>
      <c r="L122" s="655"/>
      <c r="M122" s="655"/>
      <c r="N122" s="657"/>
      <c r="O122" s="658"/>
      <c r="P122" s="658"/>
      <c r="Q122" s="657"/>
      <c r="R122" s="653"/>
      <c r="S122" s="328"/>
    </row>
    <row r="123" spans="1:19" s="302" customFormat="1" ht="45" customHeight="1" hidden="1">
      <c r="A123" s="647"/>
      <c r="B123" s="650"/>
      <c r="C123" s="303" t="s">
        <v>158</v>
      </c>
      <c r="D123" s="438" t="s">
        <v>576</v>
      </c>
      <c r="E123" s="303" t="s">
        <v>395</v>
      </c>
      <c r="F123" s="303" t="s">
        <v>389</v>
      </c>
      <c r="G123" s="303" t="s">
        <v>394</v>
      </c>
      <c r="H123" s="303" t="s">
        <v>396</v>
      </c>
      <c r="I123" s="303" t="s">
        <v>24</v>
      </c>
      <c r="J123" s="655"/>
      <c r="K123" s="660"/>
      <c r="L123" s="655"/>
      <c r="M123" s="655"/>
      <c r="N123" s="658"/>
      <c r="O123" s="303" t="s">
        <v>24</v>
      </c>
      <c r="P123" s="303" t="s">
        <v>24</v>
      </c>
      <c r="Q123" s="658"/>
      <c r="R123" s="653"/>
      <c r="S123" s="328"/>
    </row>
    <row r="124" spans="1:30" s="302" customFormat="1" ht="45" customHeight="1" hidden="1">
      <c r="A124" s="647"/>
      <c r="B124" s="650"/>
      <c r="C124" s="436"/>
      <c r="D124" s="436"/>
      <c r="E124" s="436" t="s">
        <v>53</v>
      </c>
      <c r="F124" s="436" t="s">
        <v>56</v>
      </c>
      <c r="G124" s="436" t="s">
        <v>16</v>
      </c>
      <c r="H124" s="436" t="s">
        <v>9</v>
      </c>
      <c r="I124" s="436" t="s">
        <v>399</v>
      </c>
      <c r="J124" s="507" t="s">
        <v>604</v>
      </c>
      <c r="K124" s="508" t="s">
        <v>537</v>
      </c>
      <c r="L124" s="507" t="s">
        <v>538</v>
      </c>
      <c r="M124" s="507" t="s">
        <v>539</v>
      </c>
      <c r="N124" s="507" t="s">
        <v>540</v>
      </c>
      <c r="O124" s="507" t="s">
        <v>637</v>
      </c>
      <c r="P124" s="507" t="s">
        <v>638</v>
      </c>
      <c r="Q124" s="507" t="s">
        <v>635</v>
      </c>
      <c r="R124" s="507" t="s">
        <v>636</v>
      </c>
      <c r="S124" s="328"/>
      <c r="T124" s="672" t="s">
        <v>554</v>
      </c>
      <c r="U124" s="673"/>
      <c r="V124" s="673"/>
      <c r="W124" s="673"/>
      <c r="X124" s="673"/>
      <c r="Y124" s="673"/>
      <c r="Z124" s="673"/>
      <c r="AA124" s="673"/>
      <c r="AB124" s="673"/>
      <c r="AC124" s="673"/>
      <c r="AD124" s="674"/>
    </row>
    <row r="125" spans="1:30" s="302" customFormat="1" ht="45" customHeight="1" hidden="1" thickBot="1">
      <c r="A125" s="648"/>
      <c r="B125" s="651"/>
      <c r="C125" s="305" t="s">
        <v>393</v>
      </c>
      <c r="D125" s="305" t="s">
        <v>390</v>
      </c>
      <c r="E125" s="305" t="s">
        <v>390</v>
      </c>
      <c r="F125" s="305" t="s">
        <v>605</v>
      </c>
      <c r="G125" s="305" t="s">
        <v>606</v>
      </c>
      <c r="H125" s="305"/>
      <c r="I125" s="305"/>
      <c r="J125" s="305"/>
      <c r="K125" s="332">
        <v>10</v>
      </c>
      <c r="L125" s="305"/>
      <c r="M125" s="305"/>
      <c r="N125" s="305"/>
      <c r="O125" s="305"/>
      <c r="P125" s="506"/>
      <c r="Q125" s="506" t="s">
        <v>631</v>
      </c>
      <c r="R125" s="305"/>
      <c r="S125" s="329"/>
      <c r="T125" s="438" t="s">
        <v>546</v>
      </c>
      <c r="U125" s="438" t="s">
        <v>547</v>
      </c>
      <c r="V125" s="438" t="s">
        <v>548</v>
      </c>
      <c r="W125" s="438" t="s">
        <v>549</v>
      </c>
      <c r="X125" s="438" t="s">
        <v>550</v>
      </c>
      <c r="Y125" s="438" t="s">
        <v>407</v>
      </c>
      <c r="Z125" s="303" t="s">
        <v>534</v>
      </c>
      <c r="AA125" s="303" t="s">
        <v>634</v>
      </c>
      <c r="AB125" s="303" t="s">
        <v>535</v>
      </c>
      <c r="AC125" s="303" t="s">
        <v>401</v>
      </c>
      <c r="AD125" s="435" t="s">
        <v>24</v>
      </c>
    </row>
    <row r="126" spans="1:30" s="302" customFormat="1" ht="45" customHeight="1" hidden="1">
      <c r="A126" s="306">
        <v>1</v>
      </c>
      <c r="B126" s="307" t="str">
        <f>B14</f>
        <v>TV. SÃO SEBASTIÃO</v>
      </c>
      <c r="C126" s="309">
        <v>1</v>
      </c>
      <c r="D126" s="308"/>
      <c r="E126" s="309">
        <f>C126*D126</f>
        <v>0</v>
      </c>
      <c r="F126" s="310">
        <f>1.44+0.5</f>
        <v>1.94</v>
      </c>
      <c r="G126" s="310">
        <f>1.44+0.6</f>
        <v>2.04</v>
      </c>
      <c r="H126" s="310">
        <v>0.05</v>
      </c>
      <c r="I126" s="310">
        <f>(E126*F126*G126)+(E126*G126*H126)</f>
        <v>0</v>
      </c>
      <c r="J126" s="311">
        <f>N126</f>
        <v>0</v>
      </c>
      <c r="K126" s="333">
        <f>J126*1.25*$K$13</f>
        <v>0</v>
      </c>
      <c r="L126" s="310">
        <f>E126*F126</f>
        <v>0</v>
      </c>
      <c r="M126" s="311">
        <f>L126</f>
        <v>0</v>
      </c>
      <c r="N126" s="310">
        <f>(3.14*0.6^2)*E126</f>
        <v>0</v>
      </c>
      <c r="O126" s="310">
        <f>(I126-N126)*70%</f>
        <v>0</v>
      </c>
      <c r="P126" s="310">
        <f>(I126-N126)*30%</f>
        <v>0</v>
      </c>
      <c r="Q126" s="310">
        <f>E126*G126*2</f>
        <v>0</v>
      </c>
      <c r="R126" s="333">
        <f>E126</f>
        <v>0</v>
      </c>
      <c r="S126" s="331"/>
      <c r="T126" s="313">
        <f>'ORÇAMENTO GERAL'!$J$68</f>
        <v>1198.65</v>
      </c>
      <c r="U126" s="313">
        <f>'ORÇAMENTO GERAL'!$J$69</f>
        <v>11.2</v>
      </c>
      <c r="V126" s="313">
        <f>'ORÇAMENTO GERAL'!$J$70</f>
        <v>8.25</v>
      </c>
      <c r="W126" s="313">
        <f>'ORÇAMENTO GERAL'!$J$71</f>
        <v>3.62</v>
      </c>
      <c r="X126" s="313">
        <f>'ORÇAMENTO GERAL'!$J$72</f>
        <v>6.31</v>
      </c>
      <c r="Y126" s="313">
        <f>'ORÇAMENTO GERAL'!$J$73</f>
        <v>40.93</v>
      </c>
      <c r="Z126" s="313">
        <f>'ORÇAMENTO GERAL'!$J$74</f>
        <v>134.83</v>
      </c>
      <c r="AA126" s="313">
        <f>'ORÇAMENTO GERAL'!$J$75</f>
        <v>21.8</v>
      </c>
      <c r="AB126" s="313">
        <f>'ORÇAMENTO GERAL'!$J$76</f>
        <v>45.59</v>
      </c>
      <c r="AC126" s="313">
        <f>'ORÇAMENTO GERAL'!$J$77</f>
        <v>239.78</v>
      </c>
      <c r="AD126" s="313">
        <f>(E126*T126)+(I126*U126)+(J126*V126)+(K126*W126)+(L126*X126)+(M126*Y126)+(O126*Z126)+(P126*AA126)+(Q126*AB126)+(R126*AC126)</f>
        <v>0</v>
      </c>
    </row>
    <row r="127" spans="1:30" s="302" customFormat="1" ht="45" customHeight="1" hidden="1">
      <c r="A127" s="306">
        <v>2</v>
      </c>
      <c r="B127" s="307" t="str">
        <f aca="true" t="shared" si="60" ref="B127:B145">B15</f>
        <v>RUA DO PORTO</v>
      </c>
      <c r="C127" s="314">
        <v>1</v>
      </c>
      <c r="D127" s="311"/>
      <c r="E127" s="310">
        <f>C127*D127</f>
        <v>0</v>
      </c>
      <c r="F127" s="310">
        <f aca="true" t="shared" si="61" ref="F127:F145">1.44+0.5</f>
        <v>1.94</v>
      </c>
      <c r="G127" s="310">
        <f aca="true" t="shared" si="62" ref="G127:G145">1.44+0.6</f>
        <v>2.04</v>
      </c>
      <c r="H127" s="310">
        <v>0.05</v>
      </c>
      <c r="I127" s="310">
        <f aca="true" t="shared" si="63" ref="I127:I145">(E127*F127*G127)+(E127*G127*H127)</f>
        <v>0</v>
      </c>
      <c r="J127" s="311">
        <f aca="true" t="shared" si="64" ref="J127:J145">N127</f>
        <v>0</v>
      </c>
      <c r="K127" s="333">
        <f aca="true" t="shared" si="65" ref="K127:K145">J127*1.25*$K$13</f>
        <v>0</v>
      </c>
      <c r="L127" s="310">
        <f aca="true" t="shared" si="66" ref="L127:L145">E127*F127</f>
        <v>0</v>
      </c>
      <c r="M127" s="311">
        <f aca="true" t="shared" si="67" ref="M127:M145">L127</f>
        <v>0</v>
      </c>
      <c r="N127" s="310">
        <f aca="true" t="shared" si="68" ref="N127:N145">(3.14*0.6^2)*E127</f>
        <v>0</v>
      </c>
      <c r="O127" s="310">
        <f aca="true" t="shared" si="69" ref="O127:O145">(I127-N127)*70%</f>
        <v>0</v>
      </c>
      <c r="P127" s="310">
        <f aca="true" t="shared" si="70" ref="P127:P145">(I127-N127)*30%</f>
        <v>0</v>
      </c>
      <c r="Q127" s="310">
        <f aca="true" t="shared" si="71" ref="Q127:Q145">E127*G127*2</f>
        <v>0</v>
      </c>
      <c r="R127" s="333">
        <f aca="true" t="shared" si="72" ref="R127:R145">E127</f>
        <v>0</v>
      </c>
      <c r="S127" s="331"/>
      <c r="T127" s="313">
        <f>'ORÇAMENTO GERAL'!$J$68</f>
        <v>1198.65</v>
      </c>
      <c r="U127" s="313">
        <f>'ORÇAMENTO GERAL'!$J$69</f>
        <v>11.2</v>
      </c>
      <c r="V127" s="313">
        <f>'ORÇAMENTO GERAL'!$J$70</f>
        <v>8.25</v>
      </c>
      <c r="W127" s="313">
        <f>'ORÇAMENTO GERAL'!$J$71</f>
        <v>3.62</v>
      </c>
      <c r="X127" s="313">
        <f>'ORÇAMENTO GERAL'!$J$72</f>
        <v>6.31</v>
      </c>
      <c r="Y127" s="313">
        <f>'ORÇAMENTO GERAL'!$J$73</f>
        <v>40.93</v>
      </c>
      <c r="Z127" s="313">
        <f>'ORÇAMENTO GERAL'!$J$74</f>
        <v>134.83</v>
      </c>
      <c r="AA127" s="313">
        <f>'ORÇAMENTO GERAL'!$J$75</f>
        <v>21.8</v>
      </c>
      <c r="AB127" s="313">
        <f>'ORÇAMENTO GERAL'!$J$76</f>
        <v>45.59</v>
      </c>
      <c r="AC127" s="313">
        <f>'ORÇAMENTO GERAL'!$J$77</f>
        <v>239.78</v>
      </c>
      <c r="AD127" s="313">
        <f aca="true" t="shared" si="73" ref="AD127:AD145">(E127*T127)+(I127*U127)+(J127*V127)+(K127*W127)+(L127*X127)+(M127*Y127)+(O127*Z127)+(P127*AA127)+(Q127*AB127)+(R127*AC127)</f>
        <v>0</v>
      </c>
    </row>
    <row r="128" spans="1:30" s="302" customFormat="1" ht="45" customHeight="1" hidden="1">
      <c r="A128" s="306">
        <v>3</v>
      </c>
      <c r="B128" s="307" t="str">
        <f t="shared" si="60"/>
        <v>RUA DO PORTO 2</v>
      </c>
      <c r="C128" s="314">
        <v>1</v>
      </c>
      <c r="D128" s="311"/>
      <c r="E128" s="310">
        <f aca="true" t="shared" si="74" ref="E128:E145">C128*D128</f>
        <v>0</v>
      </c>
      <c r="F128" s="310">
        <f t="shared" si="61"/>
        <v>1.94</v>
      </c>
      <c r="G128" s="310">
        <f t="shared" si="62"/>
        <v>2.04</v>
      </c>
      <c r="H128" s="310">
        <v>0.05</v>
      </c>
      <c r="I128" s="310">
        <f t="shared" si="63"/>
        <v>0</v>
      </c>
      <c r="J128" s="311">
        <f t="shared" si="64"/>
        <v>0</v>
      </c>
      <c r="K128" s="333">
        <f t="shared" si="65"/>
        <v>0</v>
      </c>
      <c r="L128" s="310">
        <f t="shared" si="66"/>
        <v>0</v>
      </c>
      <c r="M128" s="311">
        <f t="shared" si="67"/>
        <v>0</v>
      </c>
      <c r="N128" s="310">
        <f t="shared" si="68"/>
        <v>0</v>
      </c>
      <c r="O128" s="310">
        <f t="shared" si="69"/>
        <v>0</v>
      </c>
      <c r="P128" s="310">
        <f t="shared" si="70"/>
        <v>0</v>
      </c>
      <c r="Q128" s="310">
        <f t="shared" si="71"/>
        <v>0</v>
      </c>
      <c r="R128" s="333">
        <f t="shared" si="72"/>
        <v>0</v>
      </c>
      <c r="S128" s="331"/>
      <c r="T128" s="313">
        <f>'ORÇAMENTO GERAL'!$J$68</f>
        <v>1198.65</v>
      </c>
      <c r="U128" s="313">
        <f>'ORÇAMENTO GERAL'!$J$69</f>
        <v>11.2</v>
      </c>
      <c r="V128" s="313">
        <f>'ORÇAMENTO GERAL'!$J$70</f>
        <v>8.25</v>
      </c>
      <c r="W128" s="313">
        <f>'ORÇAMENTO GERAL'!$J$71</f>
        <v>3.62</v>
      </c>
      <c r="X128" s="313">
        <f>'ORÇAMENTO GERAL'!$J$72</f>
        <v>6.31</v>
      </c>
      <c r="Y128" s="313">
        <f>'ORÇAMENTO GERAL'!$J$73</f>
        <v>40.93</v>
      </c>
      <c r="Z128" s="313">
        <f>'ORÇAMENTO GERAL'!$J$74</f>
        <v>134.83</v>
      </c>
      <c r="AA128" s="313">
        <f>'ORÇAMENTO GERAL'!$J$75</f>
        <v>21.8</v>
      </c>
      <c r="AB128" s="313">
        <f>'ORÇAMENTO GERAL'!$J$76</f>
        <v>45.59</v>
      </c>
      <c r="AC128" s="313">
        <f>'ORÇAMENTO GERAL'!$J$77</f>
        <v>239.78</v>
      </c>
      <c r="AD128" s="313">
        <f t="shared" si="73"/>
        <v>0</v>
      </c>
    </row>
    <row r="129" spans="1:30" s="302" customFormat="1" ht="45" customHeight="1" hidden="1">
      <c r="A129" s="306">
        <v>4</v>
      </c>
      <c r="B129" s="307">
        <f t="shared" si="60"/>
        <v>0</v>
      </c>
      <c r="C129" s="314">
        <v>1</v>
      </c>
      <c r="D129" s="311"/>
      <c r="E129" s="310">
        <f t="shared" si="74"/>
        <v>0</v>
      </c>
      <c r="F129" s="310">
        <f t="shared" si="61"/>
        <v>1.94</v>
      </c>
      <c r="G129" s="310">
        <f t="shared" si="62"/>
        <v>2.04</v>
      </c>
      <c r="H129" s="310">
        <v>0.05</v>
      </c>
      <c r="I129" s="310">
        <f t="shared" si="63"/>
        <v>0</v>
      </c>
      <c r="J129" s="311">
        <f t="shared" si="64"/>
        <v>0</v>
      </c>
      <c r="K129" s="333">
        <f t="shared" si="65"/>
        <v>0</v>
      </c>
      <c r="L129" s="310">
        <f t="shared" si="66"/>
        <v>0</v>
      </c>
      <c r="M129" s="311">
        <f t="shared" si="67"/>
        <v>0</v>
      </c>
      <c r="N129" s="310">
        <f t="shared" si="68"/>
        <v>0</v>
      </c>
      <c r="O129" s="310">
        <f t="shared" si="69"/>
        <v>0</v>
      </c>
      <c r="P129" s="310">
        <f t="shared" si="70"/>
        <v>0</v>
      </c>
      <c r="Q129" s="310">
        <f t="shared" si="71"/>
        <v>0</v>
      </c>
      <c r="R129" s="333">
        <f t="shared" si="72"/>
        <v>0</v>
      </c>
      <c r="S129" s="331"/>
      <c r="T129" s="313">
        <f>'ORÇAMENTO GERAL'!$J$68</f>
        <v>1198.65</v>
      </c>
      <c r="U129" s="313">
        <f>'ORÇAMENTO GERAL'!$J$69</f>
        <v>11.2</v>
      </c>
      <c r="V129" s="313">
        <f>'ORÇAMENTO GERAL'!$J$70</f>
        <v>8.25</v>
      </c>
      <c r="W129" s="313">
        <f>'ORÇAMENTO GERAL'!$J$71</f>
        <v>3.62</v>
      </c>
      <c r="X129" s="313">
        <f>'ORÇAMENTO GERAL'!$J$72</f>
        <v>6.31</v>
      </c>
      <c r="Y129" s="313">
        <f>'ORÇAMENTO GERAL'!$J$73</f>
        <v>40.93</v>
      </c>
      <c r="Z129" s="313">
        <f>'ORÇAMENTO GERAL'!$J$74</f>
        <v>134.83</v>
      </c>
      <c r="AA129" s="313">
        <f>'ORÇAMENTO GERAL'!$J$75</f>
        <v>21.8</v>
      </c>
      <c r="AB129" s="313">
        <f>'ORÇAMENTO GERAL'!$J$76</f>
        <v>45.59</v>
      </c>
      <c r="AC129" s="313">
        <f>'ORÇAMENTO GERAL'!$J$77</f>
        <v>239.78</v>
      </c>
      <c r="AD129" s="313">
        <f t="shared" si="73"/>
        <v>0</v>
      </c>
    </row>
    <row r="130" spans="1:30" s="302" customFormat="1" ht="45" customHeight="1" hidden="1">
      <c r="A130" s="306">
        <v>5</v>
      </c>
      <c r="B130" s="307">
        <f t="shared" si="60"/>
        <v>0</v>
      </c>
      <c r="C130" s="314">
        <v>1</v>
      </c>
      <c r="D130" s="311"/>
      <c r="E130" s="310">
        <f t="shared" si="74"/>
        <v>0</v>
      </c>
      <c r="F130" s="310">
        <f t="shared" si="61"/>
        <v>1.94</v>
      </c>
      <c r="G130" s="310">
        <f t="shared" si="62"/>
        <v>2.04</v>
      </c>
      <c r="H130" s="310">
        <v>0.05</v>
      </c>
      <c r="I130" s="310">
        <f t="shared" si="63"/>
        <v>0</v>
      </c>
      <c r="J130" s="311">
        <f t="shared" si="64"/>
        <v>0</v>
      </c>
      <c r="K130" s="333">
        <f t="shared" si="65"/>
        <v>0</v>
      </c>
      <c r="L130" s="310">
        <f t="shared" si="66"/>
        <v>0</v>
      </c>
      <c r="M130" s="311">
        <f t="shared" si="67"/>
        <v>0</v>
      </c>
      <c r="N130" s="310">
        <f t="shared" si="68"/>
        <v>0</v>
      </c>
      <c r="O130" s="310">
        <f t="shared" si="69"/>
        <v>0</v>
      </c>
      <c r="P130" s="310">
        <f t="shared" si="70"/>
        <v>0</v>
      </c>
      <c r="Q130" s="310">
        <f t="shared" si="71"/>
        <v>0</v>
      </c>
      <c r="R130" s="333">
        <f t="shared" si="72"/>
        <v>0</v>
      </c>
      <c r="S130" s="331"/>
      <c r="T130" s="313">
        <f>'ORÇAMENTO GERAL'!$J$68</f>
        <v>1198.65</v>
      </c>
      <c r="U130" s="313">
        <f>'ORÇAMENTO GERAL'!$J$69</f>
        <v>11.2</v>
      </c>
      <c r="V130" s="313">
        <f>'ORÇAMENTO GERAL'!$J$70</f>
        <v>8.25</v>
      </c>
      <c r="W130" s="313">
        <f>'ORÇAMENTO GERAL'!$J$71</f>
        <v>3.62</v>
      </c>
      <c r="X130" s="313">
        <f>'ORÇAMENTO GERAL'!$J$72</f>
        <v>6.31</v>
      </c>
      <c r="Y130" s="313">
        <f>'ORÇAMENTO GERAL'!$J$73</f>
        <v>40.93</v>
      </c>
      <c r="Z130" s="313">
        <f>'ORÇAMENTO GERAL'!$J$74</f>
        <v>134.83</v>
      </c>
      <c r="AA130" s="313">
        <f>'ORÇAMENTO GERAL'!$J$75</f>
        <v>21.8</v>
      </c>
      <c r="AB130" s="313">
        <f>'ORÇAMENTO GERAL'!$J$76</f>
        <v>45.59</v>
      </c>
      <c r="AC130" s="313">
        <f>'ORÇAMENTO GERAL'!$J$77</f>
        <v>239.78</v>
      </c>
      <c r="AD130" s="313">
        <f t="shared" si="73"/>
        <v>0</v>
      </c>
    </row>
    <row r="131" spans="1:30" s="302" customFormat="1" ht="45" customHeight="1" hidden="1">
      <c r="A131" s="306">
        <v>6</v>
      </c>
      <c r="B131" s="307">
        <f t="shared" si="60"/>
        <v>0</v>
      </c>
      <c r="C131" s="314">
        <v>1</v>
      </c>
      <c r="D131" s="311"/>
      <c r="E131" s="310">
        <f t="shared" si="74"/>
        <v>0</v>
      </c>
      <c r="F131" s="310">
        <f t="shared" si="61"/>
        <v>1.94</v>
      </c>
      <c r="G131" s="310">
        <f t="shared" si="62"/>
        <v>2.04</v>
      </c>
      <c r="H131" s="310">
        <v>0.05</v>
      </c>
      <c r="I131" s="310">
        <f t="shared" si="63"/>
        <v>0</v>
      </c>
      <c r="J131" s="311">
        <f t="shared" si="64"/>
        <v>0</v>
      </c>
      <c r="K131" s="333">
        <f t="shared" si="65"/>
        <v>0</v>
      </c>
      <c r="L131" s="310">
        <f t="shared" si="66"/>
        <v>0</v>
      </c>
      <c r="M131" s="311">
        <f t="shared" si="67"/>
        <v>0</v>
      </c>
      <c r="N131" s="310">
        <f t="shared" si="68"/>
        <v>0</v>
      </c>
      <c r="O131" s="310">
        <f t="shared" si="69"/>
        <v>0</v>
      </c>
      <c r="P131" s="310">
        <f t="shared" si="70"/>
        <v>0</v>
      </c>
      <c r="Q131" s="310">
        <f t="shared" si="71"/>
        <v>0</v>
      </c>
      <c r="R131" s="333">
        <f t="shared" si="72"/>
        <v>0</v>
      </c>
      <c r="S131" s="331"/>
      <c r="T131" s="313">
        <f>'ORÇAMENTO GERAL'!$J$68</f>
        <v>1198.65</v>
      </c>
      <c r="U131" s="313">
        <f>'ORÇAMENTO GERAL'!$J$69</f>
        <v>11.2</v>
      </c>
      <c r="V131" s="313">
        <f>'ORÇAMENTO GERAL'!$J$70</f>
        <v>8.25</v>
      </c>
      <c r="W131" s="313">
        <f>'ORÇAMENTO GERAL'!$J$71</f>
        <v>3.62</v>
      </c>
      <c r="X131" s="313">
        <f>'ORÇAMENTO GERAL'!$J$72</f>
        <v>6.31</v>
      </c>
      <c r="Y131" s="313">
        <f>'ORÇAMENTO GERAL'!$J$73</f>
        <v>40.93</v>
      </c>
      <c r="Z131" s="313">
        <f>'ORÇAMENTO GERAL'!$J$74</f>
        <v>134.83</v>
      </c>
      <c r="AA131" s="313">
        <f>'ORÇAMENTO GERAL'!$J$75</f>
        <v>21.8</v>
      </c>
      <c r="AB131" s="313">
        <f>'ORÇAMENTO GERAL'!$J$76</f>
        <v>45.59</v>
      </c>
      <c r="AC131" s="313">
        <f>'ORÇAMENTO GERAL'!$J$77</f>
        <v>239.78</v>
      </c>
      <c r="AD131" s="313">
        <f t="shared" si="73"/>
        <v>0</v>
      </c>
    </row>
    <row r="132" spans="1:30" s="302" customFormat="1" ht="45" customHeight="1" hidden="1">
      <c r="A132" s="306">
        <v>7</v>
      </c>
      <c r="B132" s="307">
        <f t="shared" si="60"/>
        <v>0</v>
      </c>
      <c r="C132" s="314">
        <v>1</v>
      </c>
      <c r="D132" s="311"/>
      <c r="E132" s="310">
        <f t="shared" si="74"/>
        <v>0</v>
      </c>
      <c r="F132" s="310">
        <f t="shared" si="61"/>
        <v>1.94</v>
      </c>
      <c r="G132" s="310">
        <f t="shared" si="62"/>
        <v>2.04</v>
      </c>
      <c r="H132" s="310">
        <v>0.05</v>
      </c>
      <c r="I132" s="310">
        <f t="shared" si="63"/>
        <v>0</v>
      </c>
      <c r="J132" s="311">
        <f t="shared" si="64"/>
        <v>0</v>
      </c>
      <c r="K132" s="333">
        <f t="shared" si="65"/>
        <v>0</v>
      </c>
      <c r="L132" s="310">
        <f t="shared" si="66"/>
        <v>0</v>
      </c>
      <c r="M132" s="311">
        <f t="shared" si="67"/>
        <v>0</v>
      </c>
      <c r="N132" s="310">
        <f t="shared" si="68"/>
        <v>0</v>
      </c>
      <c r="O132" s="310">
        <f t="shared" si="69"/>
        <v>0</v>
      </c>
      <c r="P132" s="310">
        <f t="shared" si="70"/>
        <v>0</v>
      </c>
      <c r="Q132" s="310">
        <f t="shared" si="71"/>
        <v>0</v>
      </c>
      <c r="R132" s="333">
        <f t="shared" si="72"/>
        <v>0</v>
      </c>
      <c r="S132" s="331"/>
      <c r="T132" s="313">
        <f>'ORÇAMENTO GERAL'!$J$68</f>
        <v>1198.65</v>
      </c>
      <c r="U132" s="313">
        <f>'ORÇAMENTO GERAL'!$J$69</f>
        <v>11.2</v>
      </c>
      <c r="V132" s="313">
        <f>'ORÇAMENTO GERAL'!$J$70</f>
        <v>8.25</v>
      </c>
      <c r="W132" s="313">
        <f>'ORÇAMENTO GERAL'!$J$71</f>
        <v>3.62</v>
      </c>
      <c r="X132" s="313">
        <f>'ORÇAMENTO GERAL'!$J$72</f>
        <v>6.31</v>
      </c>
      <c r="Y132" s="313">
        <f>'ORÇAMENTO GERAL'!$J$73</f>
        <v>40.93</v>
      </c>
      <c r="Z132" s="313">
        <f>'ORÇAMENTO GERAL'!$J$74</f>
        <v>134.83</v>
      </c>
      <c r="AA132" s="313">
        <f>'ORÇAMENTO GERAL'!$J$75</f>
        <v>21.8</v>
      </c>
      <c r="AB132" s="313">
        <f>'ORÇAMENTO GERAL'!$J$76</f>
        <v>45.59</v>
      </c>
      <c r="AC132" s="313">
        <f>'ORÇAMENTO GERAL'!$J$77</f>
        <v>239.78</v>
      </c>
      <c r="AD132" s="313">
        <f t="shared" si="73"/>
        <v>0</v>
      </c>
    </row>
    <row r="133" spans="1:30" s="302" customFormat="1" ht="45" customHeight="1" hidden="1">
      <c r="A133" s="306">
        <v>8</v>
      </c>
      <c r="B133" s="307">
        <f t="shared" si="60"/>
        <v>0</v>
      </c>
      <c r="C133" s="314">
        <v>1</v>
      </c>
      <c r="D133" s="311"/>
      <c r="E133" s="310">
        <f t="shared" si="74"/>
        <v>0</v>
      </c>
      <c r="F133" s="310">
        <f t="shared" si="61"/>
        <v>1.94</v>
      </c>
      <c r="G133" s="310">
        <f t="shared" si="62"/>
        <v>2.04</v>
      </c>
      <c r="H133" s="310">
        <v>0.05</v>
      </c>
      <c r="I133" s="310">
        <f t="shared" si="63"/>
        <v>0</v>
      </c>
      <c r="J133" s="311">
        <f t="shared" si="64"/>
        <v>0</v>
      </c>
      <c r="K133" s="333">
        <f t="shared" si="65"/>
        <v>0</v>
      </c>
      <c r="L133" s="310">
        <f t="shared" si="66"/>
        <v>0</v>
      </c>
      <c r="M133" s="311">
        <f t="shared" si="67"/>
        <v>0</v>
      </c>
      <c r="N133" s="310">
        <f t="shared" si="68"/>
        <v>0</v>
      </c>
      <c r="O133" s="310">
        <f t="shared" si="69"/>
        <v>0</v>
      </c>
      <c r="P133" s="310">
        <f t="shared" si="70"/>
        <v>0</v>
      </c>
      <c r="Q133" s="310">
        <f t="shared" si="71"/>
        <v>0</v>
      </c>
      <c r="R133" s="333">
        <f t="shared" si="72"/>
        <v>0</v>
      </c>
      <c r="S133" s="331"/>
      <c r="T133" s="313">
        <f>'ORÇAMENTO GERAL'!$J$68</f>
        <v>1198.65</v>
      </c>
      <c r="U133" s="313">
        <f>'ORÇAMENTO GERAL'!$J$69</f>
        <v>11.2</v>
      </c>
      <c r="V133" s="313">
        <f>'ORÇAMENTO GERAL'!$J$70</f>
        <v>8.25</v>
      </c>
      <c r="W133" s="313">
        <f>'ORÇAMENTO GERAL'!$J$71</f>
        <v>3.62</v>
      </c>
      <c r="X133" s="313">
        <f>'ORÇAMENTO GERAL'!$J$72</f>
        <v>6.31</v>
      </c>
      <c r="Y133" s="313">
        <f>'ORÇAMENTO GERAL'!$J$73</f>
        <v>40.93</v>
      </c>
      <c r="Z133" s="313">
        <f>'ORÇAMENTO GERAL'!$J$74</f>
        <v>134.83</v>
      </c>
      <c r="AA133" s="313">
        <f>'ORÇAMENTO GERAL'!$J$75</f>
        <v>21.8</v>
      </c>
      <c r="AB133" s="313">
        <f>'ORÇAMENTO GERAL'!$J$76</f>
        <v>45.59</v>
      </c>
      <c r="AC133" s="313">
        <f>'ORÇAMENTO GERAL'!$J$77</f>
        <v>239.78</v>
      </c>
      <c r="AD133" s="313">
        <f t="shared" si="73"/>
        <v>0</v>
      </c>
    </row>
    <row r="134" spans="1:30" s="302" customFormat="1" ht="45" customHeight="1" hidden="1">
      <c r="A134" s="306">
        <v>9</v>
      </c>
      <c r="B134" s="307">
        <f t="shared" si="60"/>
        <v>0</v>
      </c>
      <c r="C134" s="314">
        <v>1</v>
      </c>
      <c r="D134" s="311"/>
      <c r="E134" s="310">
        <f t="shared" si="74"/>
        <v>0</v>
      </c>
      <c r="F134" s="310">
        <f t="shared" si="61"/>
        <v>1.94</v>
      </c>
      <c r="G134" s="310">
        <f t="shared" si="62"/>
        <v>2.04</v>
      </c>
      <c r="H134" s="310">
        <v>0.05</v>
      </c>
      <c r="I134" s="310">
        <f t="shared" si="63"/>
        <v>0</v>
      </c>
      <c r="J134" s="311">
        <f t="shared" si="64"/>
        <v>0</v>
      </c>
      <c r="K134" s="333">
        <f t="shared" si="65"/>
        <v>0</v>
      </c>
      <c r="L134" s="310">
        <f t="shared" si="66"/>
        <v>0</v>
      </c>
      <c r="M134" s="311">
        <f t="shared" si="67"/>
        <v>0</v>
      </c>
      <c r="N134" s="310">
        <f t="shared" si="68"/>
        <v>0</v>
      </c>
      <c r="O134" s="310">
        <f t="shared" si="69"/>
        <v>0</v>
      </c>
      <c r="P134" s="310">
        <f t="shared" si="70"/>
        <v>0</v>
      </c>
      <c r="Q134" s="310">
        <f t="shared" si="71"/>
        <v>0</v>
      </c>
      <c r="R134" s="333">
        <f t="shared" si="72"/>
        <v>0</v>
      </c>
      <c r="S134" s="331"/>
      <c r="T134" s="313">
        <f>'ORÇAMENTO GERAL'!$J$68</f>
        <v>1198.65</v>
      </c>
      <c r="U134" s="313">
        <f>'ORÇAMENTO GERAL'!$J$69</f>
        <v>11.2</v>
      </c>
      <c r="V134" s="313">
        <f>'ORÇAMENTO GERAL'!$J$70</f>
        <v>8.25</v>
      </c>
      <c r="W134" s="313">
        <f>'ORÇAMENTO GERAL'!$J$71</f>
        <v>3.62</v>
      </c>
      <c r="X134" s="313">
        <f>'ORÇAMENTO GERAL'!$J$72</f>
        <v>6.31</v>
      </c>
      <c r="Y134" s="313">
        <f>'ORÇAMENTO GERAL'!$J$73</f>
        <v>40.93</v>
      </c>
      <c r="Z134" s="313">
        <f>'ORÇAMENTO GERAL'!$J$74</f>
        <v>134.83</v>
      </c>
      <c r="AA134" s="313">
        <f>'ORÇAMENTO GERAL'!$J$75</f>
        <v>21.8</v>
      </c>
      <c r="AB134" s="313">
        <f>'ORÇAMENTO GERAL'!$J$76</f>
        <v>45.59</v>
      </c>
      <c r="AC134" s="313">
        <f>'ORÇAMENTO GERAL'!$J$77</f>
        <v>239.78</v>
      </c>
      <c r="AD134" s="313">
        <f t="shared" si="73"/>
        <v>0</v>
      </c>
    </row>
    <row r="135" spans="1:30" s="302" customFormat="1" ht="45" customHeight="1" hidden="1">
      <c r="A135" s="306">
        <v>10</v>
      </c>
      <c r="B135" s="307">
        <f t="shared" si="60"/>
        <v>0</v>
      </c>
      <c r="C135" s="314">
        <v>1</v>
      </c>
      <c r="D135" s="311"/>
      <c r="E135" s="310">
        <f t="shared" si="74"/>
        <v>0</v>
      </c>
      <c r="F135" s="310">
        <f t="shared" si="61"/>
        <v>1.94</v>
      </c>
      <c r="G135" s="310">
        <f t="shared" si="62"/>
        <v>2.04</v>
      </c>
      <c r="H135" s="310">
        <v>0.05</v>
      </c>
      <c r="I135" s="310">
        <f t="shared" si="63"/>
        <v>0</v>
      </c>
      <c r="J135" s="311">
        <f t="shared" si="64"/>
        <v>0</v>
      </c>
      <c r="K135" s="333">
        <f t="shared" si="65"/>
        <v>0</v>
      </c>
      <c r="L135" s="310">
        <f t="shared" si="66"/>
        <v>0</v>
      </c>
      <c r="M135" s="311">
        <f t="shared" si="67"/>
        <v>0</v>
      </c>
      <c r="N135" s="310">
        <f t="shared" si="68"/>
        <v>0</v>
      </c>
      <c r="O135" s="310">
        <f t="shared" si="69"/>
        <v>0</v>
      </c>
      <c r="P135" s="310">
        <f t="shared" si="70"/>
        <v>0</v>
      </c>
      <c r="Q135" s="310">
        <f t="shared" si="71"/>
        <v>0</v>
      </c>
      <c r="R135" s="333">
        <f t="shared" si="72"/>
        <v>0</v>
      </c>
      <c r="S135" s="331"/>
      <c r="T135" s="313">
        <f>'ORÇAMENTO GERAL'!$J$68</f>
        <v>1198.65</v>
      </c>
      <c r="U135" s="313">
        <f>'ORÇAMENTO GERAL'!$J$69</f>
        <v>11.2</v>
      </c>
      <c r="V135" s="313">
        <f>'ORÇAMENTO GERAL'!$J$70</f>
        <v>8.25</v>
      </c>
      <c r="W135" s="313">
        <f>'ORÇAMENTO GERAL'!$J$71</f>
        <v>3.62</v>
      </c>
      <c r="X135" s="313">
        <f>'ORÇAMENTO GERAL'!$J$72</f>
        <v>6.31</v>
      </c>
      <c r="Y135" s="313">
        <f>'ORÇAMENTO GERAL'!$J$73</f>
        <v>40.93</v>
      </c>
      <c r="Z135" s="313">
        <f>'ORÇAMENTO GERAL'!$J$74</f>
        <v>134.83</v>
      </c>
      <c r="AA135" s="313">
        <f>'ORÇAMENTO GERAL'!$J$75</f>
        <v>21.8</v>
      </c>
      <c r="AB135" s="313">
        <f>'ORÇAMENTO GERAL'!$J$76</f>
        <v>45.59</v>
      </c>
      <c r="AC135" s="313">
        <f>'ORÇAMENTO GERAL'!$J$77</f>
        <v>239.78</v>
      </c>
      <c r="AD135" s="313">
        <f t="shared" si="73"/>
        <v>0</v>
      </c>
    </row>
    <row r="136" spans="1:30" s="302" customFormat="1" ht="45" customHeight="1" hidden="1">
      <c r="A136" s="306">
        <v>11</v>
      </c>
      <c r="B136" s="307">
        <f t="shared" si="60"/>
        <v>0</v>
      </c>
      <c r="C136" s="314">
        <v>1</v>
      </c>
      <c r="D136" s="311"/>
      <c r="E136" s="310">
        <f t="shared" si="74"/>
        <v>0</v>
      </c>
      <c r="F136" s="310">
        <f t="shared" si="61"/>
        <v>1.94</v>
      </c>
      <c r="G136" s="310">
        <f t="shared" si="62"/>
        <v>2.04</v>
      </c>
      <c r="H136" s="310">
        <v>0.05</v>
      </c>
      <c r="I136" s="310">
        <f t="shared" si="63"/>
        <v>0</v>
      </c>
      <c r="J136" s="311">
        <f t="shared" si="64"/>
        <v>0</v>
      </c>
      <c r="K136" s="333">
        <f t="shared" si="65"/>
        <v>0</v>
      </c>
      <c r="L136" s="310">
        <f t="shared" si="66"/>
        <v>0</v>
      </c>
      <c r="M136" s="311">
        <f t="shared" si="67"/>
        <v>0</v>
      </c>
      <c r="N136" s="310">
        <f t="shared" si="68"/>
        <v>0</v>
      </c>
      <c r="O136" s="310">
        <f t="shared" si="69"/>
        <v>0</v>
      </c>
      <c r="P136" s="310">
        <f t="shared" si="70"/>
        <v>0</v>
      </c>
      <c r="Q136" s="310">
        <f t="shared" si="71"/>
        <v>0</v>
      </c>
      <c r="R136" s="333">
        <f t="shared" si="72"/>
        <v>0</v>
      </c>
      <c r="S136" s="331"/>
      <c r="T136" s="313">
        <f>'ORÇAMENTO GERAL'!$J$68</f>
        <v>1198.65</v>
      </c>
      <c r="U136" s="313">
        <f>'ORÇAMENTO GERAL'!$J$69</f>
        <v>11.2</v>
      </c>
      <c r="V136" s="313">
        <f>'ORÇAMENTO GERAL'!$J$70</f>
        <v>8.25</v>
      </c>
      <c r="W136" s="313">
        <f>'ORÇAMENTO GERAL'!$J$71</f>
        <v>3.62</v>
      </c>
      <c r="X136" s="313">
        <f>'ORÇAMENTO GERAL'!$J$72</f>
        <v>6.31</v>
      </c>
      <c r="Y136" s="313">
        <f>'ORÇAMENTO GERAL'!$J$73</f>
        <v>40.93</v>
      </c>
      <c r="Z136" s="313">
        <f>'ORÇAMENTO GERAL'!$J$74</f>
        <v>134.83</v>
      </c>
      <c r="AA136" s="313">
        <f>'ORÇAMENTO GERAL'!$J$75</f>
        <v>21.8</v>
      </c>
      <c r="AB136" s="313">
        <f>'ORÇAMENTO GERAL'!$J$76</f>
        <v>45.59</v>
      </c>
      <c r="AC136" s="313">
        <f>'ORÇAMENTO GERAL'!$J$77</f>
        <v>239.78</v>
      </c>
      <c r="AD136" s="313">
        <f t="shared" si="73"/>
        <v>0</v>
      </c>
    </row>
    <row r="137" spans="1:30" s="302" customFormat="1" ht="45" customHeight="1" hidden="1">
      <c r="A137" s="306">
        <v>12</v>
      </c>
      <c r="B137" s="307">
        <f t="shared" si="60"/>
        <v>0</v>
      </c>
      <c r="C137" s="314">
        <v>1</v>
      </c>
      <c r="D137" s="311"/>
      <c r="E137" s="310">
        <f t="shared" si="74"/>
        <v>0</v>
      </c>
      <c r="F137" s="310">
        <f t="shared" si="61"/>
        <v>1.94</v>
      </c>
      <c r="G137" s="310">
        <f t="shared" si="62"/>
        <v>2.04</v>
      </c>
      <c r="H137" s="310">
        <v>0.05</v>
      </c>
      <c r="I137" s="310">
        <f t="shared" si="63"/>
        <v>0</v>
      </c>
      <c r="J137" s="311">
        <f t="shared" si="64"/>
        <v>0</v>
      </c>
      <c r="K137" s="333">
        <f t="shared" si="65"/>
        <v>0</v>
      </c>
      <c r="L137" s="310">
        <f t="shared" si="66"/>
        <v>0</v>
      </c>
      <c r="M137" s="311">
        <f t="shared" si="67"/>
        <v>0</v>
      </c>
      <c r="N137" s="310">
        <f t="shared" si="68"/>
        <v>0</v>
      </c>
      <c r="O137" s="310">
        <f t="shared" si="69"/>
        <v>0</v>
      </c>
      <c r="P137" s="310">
        <f t="shared" si="70"/>
        <v>0</v>
      </c>
      <c r="Q137" s="310">
        <f t="shared" si="71"/>
        <v>0</v>
      </c>
      <c r="R137" s="333">
        <f t="shared" si="72"/>
        <v>0</v>
      </c>
      <c r="S137" s="331"/>
      <c r="T137" s="313">
        <f>'ORÇAMENTO GERAL'!$J$68</f>
        <v>1198.65</v>
      </c>
      <c r="U137" s="313">
        <f>'ORÇAMENTO GERAL'!$J$69</f>
        <v>11.2</v>
      </c>
      <c r="V137" s="313">
        <f>'ORÇAMENTO GERAL'!$J$70</f>
        <v>8.25</v>
      </c>
      <c r="W137" s="313">
        <f>'ORÇAMENTO GERAL'!$J$71</f>
        <v>3.62</v>
      </c>
      <c r="X137" s="313">
        <f>'ORÇAMENTO GERAL'!$J$72</f>
        <v>6.31</v>
      </c>
      <c r="Y137" s="313">
        <f>'ORÇAMENTO GERAL'!$J$73</f>
        <v>40.93</v>
      </c>
      <c r="Z137" s="313">
        <f>'ORÇAMENTO GERAL'!$J$74</f>
        <v>134.83</v>
      </c>
      <c r="AA137" s="313">
        <f>'ORÇAMENTO GERAL'!$J$75</f>
        <v>21.8</v>
      </c>
      <c r="AB137" s="313">
        <f>'ORÇAMENTO GERAL'!$J$76</f>
        <v>45.59</v>
      </c>
      <c r="AC137" s="313">
        <f>'ORÇAMENTO GERAL'!$J$77</f>
        <v>239.78</v>
      </c>
      <c r="AD137" s="313">
        <f t="shared" si="73"/>
        <v>0</v>
      </c>
    </row>
    <row r="138" spans="1:30" s="302" customFormat="1" ht="45" customHeight="1" hidden="1">
      <c r="A138" s="306">
        <v>13</v>
      </c>
      <c r="B138" s="307">
        <f t="shared" si="60"/>
        <v>0</v>
      </c>
      <c r="C138" s="314">
        <v>1</v>
      </c>
      <c r="D138" s="311"/>
      <c r="E138" s="310">
        <f t="shared" si="74"/>
        <v>0</v>
      </c>
      <c r="F138" s="310">
        <f t="shared" si="61"/>
        <v>1.94</v>
      </c>
      <c r="G138" s="310">
        <f t="shared" si="62"/>
        <v>2.04</v>
      </c>
      <c r="H138" s="310">
        <v>0.05</v>
      </c>
      <c r="I138" s="310">
        <f t="shared" si="63"/>
        <v>0</v>
      </c>
      <c r="J138" s="311">
        <f t="shared" si="64"/>
        <v>0</v>
      </c>
      <c r="K138" s="333">
        <f t="shared" si="65"/>
        <v>0</v>
      </c>
      <c r="L138" s="310">
        <f t="shared" si="66"/>
        <v>0</v>
      </c>
      <c r="M138" s="311">
        <f t="shared" si="67"/>
        <v>0</v>
      </c>
      <c r="N138" s="310">
        <f t="shared" si="68"/>
        <v>0</v>
      </c>
      <c r="O138" s="310">
        <f t="shared" si="69"/>
        <v>0</v>
      </c>
      <c r="P138" s="310">
        <f t="shared" si="70"/>
        <v>0</v>
      </c>
      <c r="Q138" s="310">
        <f t="shared" si="71"/>
        <v>0</v>
      </c>
      <c r="R138" s="333">
        <f t="shared" si="72"/>
        <v>0</v>
      </c>
      <c r="S138" s="331"/>
      <c r="T138" s="313">
        <f>'ORÇAMENTO GERAL'!$J$68</f>
        <v>1198.65</v>
      </c>
      <c r="U138" s="313">
        <f>'ORÇAMENTO GERAL'!$J$69</f>
        <v>11.2</v>
      </c>
      <c r="V138" s="313">
        <f>'ORÇAMENTO GERAL'!$J$70</f>
        <v>8.25</v>
      </c>
      <c r="W138" s="313">
        <f>'ORÇAMENTO GERAL'!$J$71</f>
        <v>3.62</v>
      </c>
      <c r="X138" s="313">
        <f>'ORÇAMENTO GERAL'!$J$72</f>
        <v>6.31</v>
      </c>
      <c r="Y138" s="313">
        <f>'ORÇAMENTO GERAL'!$J$73</f>
        <v>40.93</v>
      </c>
      <c r="Z138" s="313">
        <f>'ORÇAMENTO GERAL'!$J$74</f>
        <v>134.83</v>
      </c>
      <c r="AA138" s="313">
        <f>'ORÇAMENTO GERAL'!$J$75</f>
        <v>21.8</v>
      </c>
      <c r="AB138" s="313">
        <f>'ORÇAMENTO GERAL'!$J$76</f>
        <v>45.59</v>
      </c>
      <c r="AC138" s="313">
        <f>'ORÇAMENTO GERAL'!$J$77</f>
        <v>239.78</v>
      </c>
      <c r="AD138" s="313">
        <f t="shared" si="73"/>
        <v>0</v>
      </c>
    </row>
    <row r="139" spans="1:30" s="302" customFormat="1" ht="45" customHeight="1" hidden="1">
      <c r="A139" s="306">
        <v>14</v>
      </c>
      <c r="B139" s="307">
        <f t="shared" si="60"/>
        <v>0</v>
      </c>
      <c r="C139" s="314">
        <v>1</v>
      </c>
      <c r="D139" s="311"/>
      <c r="E139" s="310">
        <f t="shared" si="74"/>
        <v>0</v>
      </c>
      <c r="F139" s="310">
        <f t="shared" si="61"/>
        <v>1.94</v>
      </c>
      <c r="G139" s="310">
        <f t="shared" si="62"/>
        <v>2.04</v>
      </c>
      <c r="H139" s="310">
        <v>0.05</v>
      </c>
      <c r="I139" s="310">
        <f t="shared" si="63"/>
        <v>0</v>
      </c>
      <c r="J139" s="311">
        <f t="shared" si="64"/>
        <v>0</v>
      </c>
      <c r="K139" s="333">
        <f t="shared" si="65"/>
        <v>0</v>
      </c>
      <c r="L139" s="310">
        <f t="shared" si="66"/>
        <v>0</v>
      </c>
      <c r="M139" s="311">
        <f t="shared" si="67"/>
        <v>0</v>
      </c>
      <c r="N139" s="310">
        <f t="shared" si="68"/>
        <v>0</v>
      </c>
      <c r="O139" s="310">
        <f t="shared" si="69"/>
        <v>0</v>
      </c>
      <c r="P139" s="310">
        <f t="shared" si="70"/>
        <v>0</v>
      </c>
      <c r="Q139" s="310">
        <f t="shared" si="71"/>
        <v>0</v>
      </c>
      <c r="R139" s="333">
        <f t="shared" si="72"/>
        <v>0</v>
      </c>
      <c r="S139" s="331"/>
      <c r="T139" s="313">
        <f>'ORÇAMENTO GERAL'!$J$68</f>
        <v>1198.65</v>
      </c>
      <c r="U139" s="313">
        <f>'ORÇAMENTO GERAL'!$J$69</f>
        <v>11.2</v>
      </c>
      <c r="V139" s="313">
        <f>'ORÇAMENTO GERAL'!$J$70</f>
        <v>8.25</v>
      </c>
      <c r="W139" s="313">
        <f>'ORÇAMENTO GERAL'!$J$71</f>
        <v>3.62</v>
      </c>
      <c r="X139" s="313">
        <f>'ORÇAMENTO GERAL'!$J$72</f>
        <v>6.31</v>
      </c>
      <c r="Y139" s="313">
        <f>'ORÇAMENTO GERAL'!$J$73</f>
        <v>40.93</v>
      </c>
      <c r="Z139" s="313">
        <f>'ORÇAMENTO GERAL'!$J$74</f>
        <v>134.83</v>
      </c>
      <c r="AA139" s="313">
        <f>'ORÇAMENTO GERAL'!$J$75</f>
        <v>21.8</v>
      </c>
      <c r="AB139" s="313">
        <f>'ORÇAMENTO GERAL'!$J$76</f>
        <v>45.59</v>
      </c>
      <c r="AC139" s="313">
        <f>'ORÇAMENTO GERAL'!$J$77</f>
        <v>239.78</v>
      </c>
      <c r="AD139" s="313">
        <f t="shared" si="73"/>
        <v>0</v>
      </c>
    </row>
    <row r="140" spans="1:30" s="302" customFormat="1" ht="45" customHeight="1" hidden="1">
      <c r="A140" s="306">
        <v>15</v>
      </c>
      <c r="B140" s="307">
        <f t="shared" si="60"/>
        <v>0</v>
      </c>
      <c r="C140" s="314">
        <v>1</v>
      </c>
      <c r="D140" s="311"/>
      <c r="E140" s="310">
        <f t="shared" si="74"/>
        <v>0</v>
      </c>
      <c r="F140" s="310">
        <f t="shared" si="61"/>
        <v>1.94</v>
      </c>
      <c r="G140" s="310">
        <f t="shared" si="62"/>
        <v>2.04</v>
      </c>
      <c r="H140" s="310">
        <v>0.05</v>
      </c>
      <c r="I140" s="310">
        <f t="shared" si="63"/>
        <v>0</v>
      </c>
      <c r="J140" s="311">
        <f t="shared" si="64"/>
        <v>0</v>
      </c>
      <c r="K140" s="333">
        <f t="shared" si="65"/>
        <v>0</v>
      </c>
      <c r="L140" s="310">
        <f t="shared" si="66"/>
        <v>0</v>
      </c>
      <c r="M140" s="311">
        <f t="shared" si="67"/>
        <v>0</v>
      </c>
      <c r="N140" s="310">
        <f t="shared" si="68"/>
        <v>0</v>
      </c>
      <c r="O140" s="310">
        <f t="shared" si="69"/>
        <v>0</v>
      </c>
      <c r="P140" s="310">
        <f t="shared" si="70"/>
        <v>0</v>
      </c>
      <c r="Q140" s="310">
        <f t="shared" si="71"/>
        <v>0</v>
      </c>
      <c r="R140" s="333">
        <f t="shared" si="72"/>
        <v>0</v>
      </c>
      <c r="S140" s="331"/>
      <c r="T140" s="313">
        <f>'ORÇAMENTO GERAL'!$J$68</f>
        <v>1198.65</v>
      </c>
      <c r="U140" s="313">
        <f>'ORÇAMENTO GERAL'!$J$69</f>
        <v>11.2</v>
      </c>
      <c r="V140" s="313">
        <f>'ORÇAMENTO GERAL'!$J$70</f>
        <v>8.25</v>
      </c>
      <c r="W140" s="313">
        <f>'ORÇAMENTO GERAL'!$J$71</f>
        <v>3.62</v>
      </c>
      <c r="X140" s="313">
        <f>'ORÇAMENTO GERAL'!$J$72</f>
        <v>6.31</v>
      </c>
      <c r="Y140" s="313">
        <f>'ORÇAMENTO GERAL'!$J$73</f>
        <v>40.93</v>
      </c>
      <c r="Z140" s="313">
        <f>'ORÇAMENTO GERAL'!$J$74</f>
        <v>134.83</v>
      </c>
      <c r="AA140" s="313">
        <f>'ORÇAMENTO GERAL'!$J$75</f>
        <v>21.8</v>
      </c>
      <c r="AB140" s="313">
        <f>'ORÇAMENTO GERAL'!$J$76</f>
        <v>45.59</v>
      </c>
      <c r="AC140" s="313">
        <f>'ORÇAMENTO GERAL'!$J$77</f>
        <v>239.78</v>
      </c>
      <c r="AD140" s="313">
        <f t="shared" si="73"/>
        <v>0</v>
      </c>
    </row>
    <row r="141" spans="1:30" s="302" customFormat="1" ht="45" customHeight="1" hidden="1">
      <c r="A141" s="306">
        <v>16</v>
      </c>
      <c r="B141" s="307">
        <f t="shared" si="60"/>
        <v>0</v>
      </c>
      <c r="C141" s="314">
        <v>1</v>
      </c>
      <c r="D141" s="311"/>
      <c r="E141" s="310">
        <f t="shared" si="74"/>
        <v>0</v>
      </c>
      <c r="F141" s="310">
        <f t="shared" si="61"/>
        <v>1.94</v>
      </c>
      <c r="G141" s="310">
        <f t="shared" si="62"/>
        <v>2.04</v>
      </c>
      <c r="H141" s="310">
        <v>0.05</v>
      </c>
      <c r="I141" s="310">
        <f t="shared" si="63"/>
        <v>0</v>
      </c>
      <c r="J141" s="311">
        <f t="shared" si="64"/>
        <v>0</v>
      </c>
      <c r="K141" s="333">
        <f t="shared" si="65"/>
        <v>0</v>
      </c>
      <c r="L141" s="310">
        <f t="shared" si="66"/>
        <v>0</v>
      </c>
      <c r="M141" s="311">
        <f t="shared" si="67"/>
        <v>0</v>
      </c>
      <c r="N141" s="310">
        <f t="shared" si="68"/>
        <v>0</v>
      </c>
      <c r="O141" s="310">
        <f t="shared" si="69"/>
        <v>0</v>
      </c>
      <c r="P141" s="310">
        <f t="shared" si="70"/>
        <v>0</v>
      </c>
      <c r="Q141" s="310">
        <f t="shared" si="71"/>
        <v>0</v>
      </c>
      <c r="R141" s="333">
        <f t="shared" si="72"/>
        <v>0</v>
      </c>
      <c r="S141" s="331"/>
      <c r="T141" s="313">
        <f>'ORÇAMENTO GERAL'!$J$68</f>
        <v>1198.65</v>
      </c>
      <c r="U141" s="313">
        <f>'ORÇAMENTO GERAL'!$J$69</f>
        <v>11.2</v>
      </c>
      <c r="V141" s="313">
        <f>'ORÇAMENTO GERAL'!$J$70</f>
        <v>8.25</v>
      </c>
      <c r="W141" s="313">
        <f>'ORÇAMENTO GERAL'!$J$71</f>
        <v>3.62</v>
      </c>
      <c r="X141" s="313">
        <f>'ORÇAMENTO GERAL'!$J$72</f>
        <v>6.31</v>
      </c>
      <c r="Y141" s="313">
        <f>'ORÇAMENTO GERAL'!$J$73</f>
        <v>40.93</v>
      </c>
      <c r="Z141" s="313">
        <f>'ORÇAMENTO GERAL'!$J$74</f>
        <v>134.83</v>
      </c>
      <c r="AA141" s="313">
        <f>'ORÇAMENTO GERAL'!$J$75</f>
        <v>21.8</v>
      </c>
      <c r="AB141" s="313">
        <f>'ORÇAMENTO GERAL'!$J$76</f>
        <v>45.59</v>
      </c>
      <c r="AC141" s="313">
        <f>'ORÇAMENTO GERAL'!$J$77</f>
        <v>239.78</v>
      </c>
      <c r="AD141" s="313">
        <f t="shared" si="73"/>
        <v>0</v>
      </c>
    </row>
    <row r="142" spans="1:30" s="302" customFormat="1" ht="45" customHeight="1" hidden="1">
      <c r="A142" s="306">
        <v>17</v>
      </c>
      <c r="B142" s="307">
        <f t="shared" si="60"/>
        <v>0</v>
      </c>
      <c r="C142" s="314">
        <v>1</v>
      </c>
      <c r="D142" s="311"/>
      <c r="E142" s="310">
        <f t="shared" si="74"/>
        <v>0</v>
      </c>
      <c r="F142" s="310">
        <f t="shared" si="61"/>
        <v>1.94</v>
      </c>
      <c r="G142" s="310">
        <f t="shared" si="62"/>
        <v>2.04</v>
      </c>
      <c r="H142" s="310">
        <v>0.05</v>
      </c>
      <c r="I142" s="310">
        <f t="shared" si="63"/>
        <v>0</v>
      </c>
      <c r="J142" s="311">
        <f t="shared" si="64"/>
        <v>0</v>
      </c>
      <c r="K142" s="333">
        <f t="shared" si="65"/>
        <v>0</v>
      </c>
      <c r="L142" s="310">
        <f t="shared" si="66"/>
        <v>0</v>
      </c>
      <c r="M142" s="311">
        <f t="shared" si="67"/>
        <v>0</v>
      </c>
      <c r="N142" s="310">
        <f t="shared" si="68"/>
        <v>0</v>
      </c>
      <c r="O142" s="310">
        <f t="shared" si="69"/>
        <v>0</v>
      </c>
      <c r="P142" s="310">
        <f t="shared" si="70"/>
        <v>0</v>
      </c>
      <c r="Q142" s="310">
        <f t="shared" si="71"/>
        <v>0</v>
      </c>
      <c r="R142" s="333">
        <f t="shared" si="72"/>
        <v>0</v>
      </c>
      <c r="S142" s="331"/>
      <c r="T142" s="313">
        <f>'ORÇAMENTO GERAL'!$J$68</f>
        <v>1198.65</v>
      </c>
      <c r="U142" s="313">
        <f>'ORÇAMENTO GERAL'!$J$69</f>
        <v>11.2</v>
      </c>
      <c r="V142" s="313">
        <f>'ORÇAMENTO GERAL'!$J$70</f>
        <v>8.25</v>
      </c>
      <c r="W142" s="313">
        <f>'ORÇAMENTO GERAL'!$J$71</f>
        <v>3.62</v>
      </c>
      <c r="X142" s="313">
        <f>'ORÇAMENTO GERAL'!$J$72</f>
        <v>6.31</v>
      </c>
      <c r="Y142" s="313">
        <f>'ORÇAMENTO GERAL'!$J$73</f>
        <v>40.93</v>
      </c>
      <c r="Z142" s="313">
        <f>'ORÇAMENTO GERAL'!$J$74</f>
        <v>134.83</v>
      </c>
      <c r="AA142" s="313">
        <f>'ORÇAMENTO GERAL'!$J$75</f>
        <v>21.8</v>
      </c>
      <c r="AB142" s="313">
        <f>'ORÇAMENTO GERAL'!$J$76</f>
        <v>45.59</v>
      </c>
      <c r="AC142" s="313">
        <f>'ORÇAMENTO GERAL'!$J$77</f>
        <v>239.78</v>
      </c>
      <c r="AD142" s="313">
        <f t="shared" si="73"/>
        <v>0</v>
      </c>
    </row>
    <row r="143" spans="1:30" s="302" customFormat="1" ht="45" customHeight="1" hidden="1">
      <c r="A143" s="306">
        <v>18</v>
      </c>
      <c r="B143" s="307">
        <f t="shared" si="60"/>
        <v>0</v>
      </c>
      <c r="C143" s="314">
        <v>1</v>
      </c>
      <c r="D143" s="311"/>
      <c r="E143" s="310">
        <f t="shared" si="74"/>
        <v>0</v>
      </c>
      <c r="F143" s="310">
        <f t="shared" si="61"/>
        <v>1.94</v>
      </c>
      <c r="G143" s="310">
        <f t="shared" si="62"/>
        <v>2.04</v>
      </c>
      <c r="H143" s="310">
        <v>0.05</v>
      </c>
      <c r="I143" s="310">
        <f t="shared" si="63"/>
        <v>0</v>
      </c>
      <c r="J143" s="311">
        <f t="shared" si="64"/>
        <v>0</v>
      </c>
      <c r="K143" s="333">
        <f t="shared" si="65"/>
        <v>0</v>
      </c>
      <c r="L143" s="310">
        <f t="shared" si="66"/>
        <v>0</v>
      </c>
      <c r="M143" s="311">
        <f t="shared" si="67"/>
        <v>0</v>
      </c>
      <c r="N143" s="310">
        <f t="shared" si="68"/>
        <v>0</v>
      </c>
      <c r="O143" s="310">
        <f t="shared" si="69"/>
        <v>0</v>
      </c>
      <c r="P143" s="310">
        <f t="shared" si="70"/>
        <v>0</v>
      </c>
      <c r="Q143" s="310">
        <f t="shared" si="71"/>
        <v>0</v>
      </c>
      <c r="R143" s="333">
        <f t="shared" si="72"/>
        <v>0</v>
      </c>
      <c r="S143" s="331"/>
      <c r="T143" s="313">
        <f>'ORÇAMENTO GERAL'!$J$68</f>
        <v>1198.65</v>
      </c>
      <c r="U143" s="313">
        <f>'ORÇAMENTO GERAL'!$J$69</f>
        <v>11.2</v>
      </c>
      <c r="V143" s="313">
        <f>'ORÇAMENTO GERAL'!$J$70</f>
        <v>8.25</v>
      </c>
      <c r="W143" s="313">
        <f>'ORÇAMENTO GERAL'!$J$71</f>
        <v>3.62</v>
      </c>
      <c r="X143" s="313">
        <f>'ORÇAMENTO GERAL'!$J$72</f>
        <v>6.31</v>
      </c>
      <c r="Y143" s="313">
        <f>'ORÇAMENTO GERAL'!$J$73</f>
        <v>40.93</v>
      </c>
      <c r="Z143" s="313">
        <f>'ORÇAMENTO GERAL'!$J$74</f>
        <v>134.83</v>
      </c>
      <c r="AA143" s="313">
        <f>'ORÇAMENTO GERAL'!$J$75</f>
        <v>21.8</v>
      </c>
      <c r="AB143" s="313">
        <f>'ORÇAMENTO GERAL'!$J$76</f>
        <v>45.59</v>
      </c>
      <c r="AC143" s="313">
        <f>'ORÇAMENTO GERAL'!$J$77</f>
        <v>239.78</v>
      </c>
      <c r="AD143" s="313">
        <f t="shared" si="73"/>
        <v>0</v>
      </c>
    </row>
    <row r="144" spans="1:30" s="302" customFormat="1" ht="45" customHeight="1" hidden="1">
      <c r="A144" s="306">
        <v>19</v>
      </c>
      <c r="B144" s="307">
        <f t="shared" si="60"/>
        <v>0</v>
      </c>
      <c r="C144" s="314">
        <v>1</v>
      </c>
      <c r="D144" s="311"/>
      <c r="E144" s="310">
        <f t="shared" si="74"/>
        <v>0</v>
      </c>
      <c r="F144" s="310">
        <f t="shared" si="61"/>
        <v>1.94</v>
      </c>
      <c r="G144" s="310">
        <f t="shared" si="62"/>
        <v>2.04</v>
      </c>
      <c r="H144" s="310">
        <v>0.05</v>
      </c>
      <c r="I144" s="310">
        <f t="shared" si="63"/>
        <v>0</v>
      </c>
      <c r="J144" s="311">
        <f t="shared" si="64"/>
        <v>0</v>
      </c>
      <c r="K144" s="333">
        <f t="shared" si="65"/>
        <v>0</v>
      </c>
      <c r="L144" s="310">
        <f t="shared" si="66"/>
        <v>0</v>
      </c>
      <c r="M144" s="311">
        <f t="shared" si="67"/>
        <v>0</v>
      </c>
      <c r="N144" s="310">
        <f t="shared" si="68"/>
        <v>0</v>
      </c>
      <c r="O144" s="310">
        <f t="shared" si="69"/>
        <v>0</v>
      </c>
      <c r="P144" s="310">
        <f t="shared" si="70"/>
        <v>0</v>
      </c>
      <c r="Q144" s="310">
        <f t="shared" si="71"/>
        <v>0</v>
      </c>
      <c r="R144" s="333">
        <f t="shared" si="72"/>
        <v>0</v>
      </c>
      <c r="S144" s="331"/>
      <c r="T144" s="313">
        <f>'ORÇAMENTO GERAL'!$J$68</f>
        <v>1198.65</v>
      </c>
      <c r="U144" s="313">
        <f>'ORÇAMENTO GERAL'!$J$69</f>
        <v>11.2</v>
      </c>
      <c r="V144" s="313">
        <f>'ORÇAMENTO GERAL'!$J$70</f>
        <v>8.25</v>
      </c>
      <c r="W144" s="313">
        <f>'ORÇAMENTO GERAL'!$J$71</f>
        <v>3.62</v>
      </c>
      <c r="X144" s="313">
        <f>'ORÇAMENTO GERAL'!$J$72</f>
        <v>6.31</v>
      </c>
      <c r="Y144" s="313">
        <f>'ORÇAMENTO GERAL'!$J$73</f>
        <v>40.93</v>
      </c>
      <c r="Z144" s="313">
        <f>'ORÇAMENTO GERAL'!$J$74</f>
        <v>134.83</v>
      </c>
      <c r="AA144" s="313">
        <f>'ORÇAMENTO GERAL'!$J$75</f>
        <v>21.8</v>
      </c>
      <c r="AB144" s="313">
        <f>'ORÇAMENTO GERAL'!$J$76</f>
        <v>45.59</v>
      </c>
      <c r="AC144" s="313">
        <f>'ORÇAMENTO GERAL'!$J$77</f>
        <v>239.78</v>
      </c>
      <c r="AD144" s="313">
        <f t="shared" si="73"/>
        <v>0</v>
      </c>
    </row>
    <row r="145" spans="1:30" s="302" customFormat="1" ht="45" customHeight="1" hidden="1" thickBot="1">
      <c r="A145" s="306">
        <v>20</v>
      </c>
      <c r="B145" s="307">
        <f t="shared" si="60"/>
        <v>0</v>
      </c>
      <c r="C145" s="314">
        <v>1</v>
      </c>
      <c r="D145" s="311"/>
      <c r="E145" s="310">
        <f t="shared" si="74"/>
        <v>0</v>
      </c>
      <c r="F145" s="310">
        <f t="shared" si="61"/>
        <v>1.94</v>
      </c>
      <c r="G145" s="310">
        <f t="shared" si="62"/>
        <v>2.04</v>
      </c>
      <c r="H145" s="310">
        <v>0.05</v>
      </c>
      <c r="I145" s="310">
        <f t="shared" si="63"/>
        <v>0</v>
      </c>
      <c r="J145" s="311">
        <f t="shared" si="64"/>
        <v>0</v>
      </c>
      <c r="K145" s="333">
        <f t="shared" si="65"/>
        <v>0</v>
      </c>
      <c r="L145" s="310">
        <f t="shared" si="66"/>
        <v>0</v>
      </c>
      <c r="M145" s="311">
        <f t="shared" si="67"/>
        <v>0</v>
      </c>
      <c r="N145" s="310">
        <f t="shared" si="68"/>
        <v>0</v>
      </c>
      <c r="O145" s="310">
        <f t="shared" si="69"/>
        <v>0</v>
      </c>
      <c r="P145" s="310">
        <f t="shared" si="70"/>
        <v>0</v>
      </c>
      <c r="Q145" s="310">
        <f t="shared" si="71"/>
        <v>0</v>
      </c>
      <c r="R145" s="333">
        <f t="shared" si="72"/>
        <v>0</v>
      </c>
      <c r="S145" s="331"/>
      <c r="T145" s="313">
        <f>'ORÇAMENTO GERAL'!$J$68</f>
        <v>1198.65</v>
      </c>
      <c r="U145" s="313">
        <f>'ORÇAMENTO GERAL'!$J$69</f>
        <v>11.2</v>
      </c>
      <c r="V145" s="313">
        <f>'ORÇAMENTO GERAL'!$J$70</f>
        <v>8.25</v>
      </c>
      <c r="W145" s="313">
        <f>'ORÇAMENTO GERAL'!$J$71</f>
        <v>3.62</v>
      </c>
      <c r="X145" s="313">
        <f>'ORÇAMENTO GERAL'!$J$72</f>
        <v>6.31</v>
      </c>
      <c r="Y145" s="313">
        <f>'ORÇAMENTO GERAL'!$J$73</f>
        <v>40.93</v>
      </c>
      <c r="Z145" s="313">
        <f>'ORÇAMENTO GERAL'!$J$74</f>
        <v>134.83</v>
      </c>
      <c r="AA145" s="313">
        <f>'ORÇAMENTO GERAL'!$J$75</f>
        <v>21.8</v>
      </c>
      <c r="AB145" s="313">
        <f>'ORÇAMENTO GERAL'!$J$76</f>
        <v>45.59</v>
      </c>
      <c r="AC145" s="313">
        <f>'ORÇAMENTO GERAL'!$J$77</f>
        <v>239.78</v>
      </c>
      <c r="AD145" s="313">
        <f t="shared" si="73"/>
        <v>0</v>
      </c>
    </row>
    <row r="146" spans="1:19" s="302" customFormat="1" ht="45" customHeight="1" hidden="1" thickBot="1">
      <c r="A146" s="641" t="s">
        <v>24</v>
      </c>
      <c r="B146" s="642"/>
      <c r="C146" s="315"/>
      <c r="D146" s="315"/>
      <c r="E146" s="315">
        <f>SUM(E126:E145)</f>
        <v>0</v>
      </c>
      <c r="F146" s="315"/>
      <c r="G146" s="315"/>
      <c r="H146" s="315"/>
      <c r="I146" s="315">
        <f>SUM(I126:I145)</f>
        <v>0</v>
      </c>
      <c r="J146" s="315">
        <f aca="true" t="shared" si="75" ref="J146:R146">SUM(J126:J145)</f>
        <v>0</v>
      </c>
      <c r="K146" s="315">
        <f t="shared" si="75"/>
        <v>0</v>
      </c>
      <c r="L146" s="315">
        <f t="shared" si="75"/>
        <v>0</v>
      </c>
      <c r="M146" s="315">
        <f t="shared" si="75"/>
        <v>0</v>
      </c>
      <c r="N146" s="315">
        <f t="shared" si="75"/>
        <v>0</v>
      </c>
      <c r="O146" s="315">
        <f t="shared" si="75"/>
        <v>0</v>
      </c>
      <c r="P146" s="315">
        <f t="shared" si="75"/>
        <v>0</v>
      </c>
      <c r="Q146" s="315">
        <f t="shared" si="75"/>
        <v>0</v>
      </c>
      <c r="R146" s="315">
        <f t="shared" si="75"/>
        <v>0</v>
      </c>
      <c r="S146" s="330"/>
    </row>
    <row r="147" spans="3:8" s="302" customFormat="1" ht="45" customHeight="1" hidden="1" thickBot="1">
      <c r="C147" s="320"/>
      <c r="D147" s="320"/>
      <c r="E147" s="320"/>
      <c r="F147" s="320"/>
      <c r="G147" s="320"/>
      <c r="H147" s="320"/>
    </row>
    <row r="148" spans="1:19" s="302" customFormat="1" ht="45" customHeight="1" hidden="1" thickBot="1">
      <c r="A148" s="643" t="s">
        <v>490</v>
      </c>
      <c r="B148" s="644"/>
      <c r="C148" s="644"/>
      <c r="D148" s="644"/>
      <c r="E148" s="644"/>
      <c r="F148" s="644"/>
      <c r="G148" s="644"/>
      <c r="H148" s="644"/>
      <c r="I148" s="644"/>
      <c r="J148" s="644"/>
      <c r="K148" s="644"/>
      <c r="L148" s="644"/>
      <c r="M148" s="644"/>
      <c r="N148" s="644"/>
      <c r="O148" s="644"/>
      <c r="P148" s="644"/>
      <c r="Q148" s="644"/>
      <c r="R148" s="645"/>
      <c r="S148" s="328"/>
    </row>
    <row r="149" spans="1:19" s="302" customFormat="1" ht="45" customHeight="1" hidden="1">
      <c r="A149" s="646" t="s">
        <v>7</v>
      </c>
      <c r="B149" s="649" t="s">
        <v>406</v>
      </c>
      <c r="C149" s="652" t="s">
        <v>575</v>
      </c>
      <c r="D149" s="652"/>
      <c r="E149" s="652"/>
      <c r="F149" s="654" t="s">
        <v>532</v>
      </c>
      <c r="G149" s="654"/>
      <c r="H149" s="654"/>
      <c r="I149" s="654"/>
      <c r="J149" s="654" t="s">
        <v>533</v>
      </c>
      <c r="K149" s="659" t="s">
        <v>536</v>
      </c>
      <c r="L149" s="654" t="s">
        <v>397</v>
      </c>
      <c r="M149" s="654" t="s">
        <v>400</v>
      </c>
      <c r="N149" s="656" t="s">
        <v>398</v>
      </c>
      <c r="O149" s="656" t="s">
        <v>534</v>
      </c>
      <c r="P149" s="656" t="s">
        <v>634</v>
      </c>
      <c r="Q149" s="656" t="s">
        <v>535</v>
      </c>
      <c r="R149" s="652" t="s">
        <v>401</v>
      </c>
      <c r="S149" s="328"/>
    </row>
    <row r="150" spans="1:19" s="302" customFormat="1" ht="45" customHeight="1" hidden="1">
      <c r="A150" s="647"/>
      <c r="B150" s="650"/>
      <c r="C150" s="653"/>
      <c r="D150" s="653"/>
      <c r="E150" s="653"/>
      <c r="F150" s="655"/>
      <c r="G150" s="655"/>
      <c r="H150" s="655"/>
      <c r="I150" s="655"/>
      <c r="J150" s="655"/>
      <c r="K150" s="660"/>
      <c r="L150" s="655"/>
      <c r="M150" s="655"/>
      <c r="N150" s="657"/>
      <c r="O150" s="658"/>
      <c r="P150" s="658"/>
      <c r="Q150" s="657"/>
      <c r="R150" s="653"/>
      <c r="S150" s="328"/>
    </row>
    <row r="151" spans="1:19" s="302" customFormat="1" ht="45" customHeight="1" hidden="1">
      <c r="A151" s="647"/>
      <c r="B151" s="650"/>
      <c r="C151" s="303" t="s">
        <v>158</v>
      </c>
      <c r="D151" s="438" t="s">
        <v>413</v>
      </c>
      <c r="E151" s="303" t="s">
        <v>395</v>
      </c>
      <c r="F151" s="303" t="s">
        <v>389</v>
      </c>
      <c r="G151" s="303" t="s">
        <v>394</v>
      </c>
      <c r="H151" s="303" t="s">
        <v>396</v>
      </c>
      <c r="I151" s="303" t="s">
        <v>24</v>
      </c>
      <c r="J151" s="655"/>
      <c r="K151" s="660"/>
      <c r="L151" s="655"/>
      <c r="M151" s="655"/>
      <c r="N151" s="658"/>
      <c r="O151" s="303" t="s">
        <v>24</v>
      </c>
      <c r="P151" s="303" t="s">
        <v>24</v>
      </c>
      <c r="Q151" s="658"/>
      <c r="R151" s="653"/>
      <c r="S151" s="328"/>
    </row>
    <row r="152" spans="1:30" s="302" customFormat="1" ht="45" customHeight="1" hidden="1">
      <c r="A152" s="647"/>
      <c r="B152" s="650"/>
      <c r="C152" s="503"/>
      <c r="D152" s="503"/>
      <c r="E152" s="503" t="s">
        <v>53</v>
      </c>
      <c r="F152" s="503" t="s">
        <v>56</v>
      </c>
      <c r="G152" s="503" t="s">
        <v>16</v>
      </c>
      <c r="H152" s="503" t="s">
        <v>9</v>
      </c>
      <c r="I152" s="503" t="s">
        <v>399</v>
      </c>
      <c r="J152" s="507" t="s">
        <v>604</v>
      </c>
      <c r="K152" s="508" t="s">
        <v>537</v>
      </c>
      <c r="L152" s="507" t="s">
        <v>538</v>
      </c>
      <c r="M152" s="507" t="s">
        <v>539</v>
      </c>
      <c r="N152" s="507" t="s">
        <v>540</v>
      </c>
      <c r="O152" s="507" t="s">
        <v>637</v>
      </c>
      <c r="P152" s="507" t="s">
        <v>638</v>
      </c>
      <c r="Q152" s="507" t="s">
        <v>635</v>
      </c>
      <c r="R152" s="507" t="s">
        <v>636</v>
      </c>
      <c r="S152" s="328"/>
      <c r="T152" s="672" t="s">
        <v>555</v>
      </c>
      <c r="U152" s="673"/>
      <c r="V152" s="673"/>
      <c r="W152" s="673"/>
      <c r="X152" s="673"/>
      <c r="Y152" s="673"/>
      <c r="Z152" s="673"/>
      <c r="AA152" s="673"/>
      <c r="AB152" s="673"/>
      <c r="AC152" s="673"/>
      <c r="AD152" s="674"/>
    </row>
    <row r="153" spans="1:30" s="302" customFormat="1" ht="45" customHeight="1" hidden="1" thickBot="1">
      <c r="A153" s="648"/>
      <c r="B153" s="651"/>
      <c r="C153" s="305" t="s">
        <v>393</v>
      </c>
      <c r="D153" s="305" t="s">
        <v>390</v>
      </c>
      <c r="E153" s="305" t="s">
        <v>390</v>
      </c>
      <c r="F153" s="305" t="s">
        <v>605</v>
      </c>
      <c r="G153" s="305" t="s">
        <v>606</v>
      </c>
      <c r="H153" s="305"/>
      <c r="I153" s="305"/>
      <c r="J153" s="305"/>
      <c r="K153" s="332">
        <v>10</v>
      </c>
      <c r="L153" s="305"/>
      <c r="M153" s="305"/>
      <c r="N153" s="305"/>
      <c r="O153" s="305"/>
      <c r="P153" s="506"/>
      <c r="Q153" s="506" t="s">
        <v>631</v>
      </c>
      <c r="R153" s="305"/>
      <c r="S153" s="329"/>
      <c r="T153" s="438" t="s">
        <v>546</v>
      </c>
      <c r="U153" s="438" t="s">
        <v>547</v>
      </c>
      <c r="V153" s="438" t="s">
        <v>548</v>
      </c>
      <c r="W153" s="438" t="s">
        <v>549</v>
      </c>
      <c r="X153" s="438" t="s">
        <v>550</v>
      </c>
      <c r="Y153" s="438" t="s">
        <v>407</v>
      </c>
      <c r="Z153" s="303" t="s">
        <v>534</v>
      </c>
      <c r="AA153" s="303" t="s">
        <v>634</v>
      </c>
      <c r="AB153" s="303" t="s">
        <v>535</v>
      </c>
      <c r="AC153" s="303" t="s">
        <v>401</v>
      </c>
      <c r="AD153" s="435" t="s">
        <v>24</v>
      </c>
    </row>
    <row r="154" spans="1:30" s="302" customFormat="1" ht="45" customHeight="1" hidden="1">
      <c r="A154" s="306">
        <v>1</v>
      </c>
      <c r="B154" s="307" t="str">
        <f>B14</f>
        <v>TV. SÃO SEBASTIÃO</v>
      </c>
      <c r="C154" s="310">
        <v>1</v>
      </c>
      <c r="D154" s="308"/>
      <c r="E154" s="310">
        <f>C154*D154</f>
        <v>0</v>
      </c>
      <c r="F154" s="310">
        <f>1.8+0.5</f>
        <v>2.3</v>
      </c>
      <c r="G154" s="310">
        <f>1.8+0.6</f>
        <v>2.4</v>
      </c>
      <c r="H154" s="310">
        <v>0.05</v>
      </c>
      <c r="I154" s="310">
        <f>(E154*F154*G154)+(E154*G154*H154)</f>
        <v>0</v>
      </c>
      <c r="J154" s="311">
        <f>N154</f>
        <v>0</v>
      </c>
      <c r="K154" s="333">
        <f>J154*1.25*$K$13</f>
        <v>0</v>
      </c>
      <c r="L154" s="310">
        <f>E154*F154</f>
        <v>0</v>
      </c>
      <c r="M154" s="311">
        <f>L154</f>
        <v>0</v>
      </c>
      <c r="N154" s="310">
        <f>(3.14*0.75^2)*E154</f>
        <v>0</v>
      </c>
      <c r="O154" s="310">
        <f>(I154-N154)*70%</f>
        <v>0</v>
      </c>
      <c r="P154" s="310">
        <f>(I154-N154)*30%</f>
        <v>0</v>
      </c>
      <c r="Q154" s="310">
        <f>E154*G154*2</f>
        <v>0</v>
      </c>
      <c r="R154" s="333">
        <f>E154</f>
        <v>0</v>
      </c>
      <c r="S154" s="331"/>
      <c r="T154" s="313">
        <f>'ORÇAMENTO GERAL'!$J$78</f>
        <v>1820.35</v>
      </c>
      <c r="U154" s="313">
        <f>'ORÇAMENTO GERAL'!$J$79</f>
        <v>11.2</v>
      </c>
      <c r="V154" s="313">
        <f>'ORÇAMENTO GERAL'!$J$80</f>
        <v>8.25</v>
      </c>
      <c r="W154" s="313">
        <f>'ORÇAMENTO GERAL'!$J$81</f>
        <v>3.62</v>
      </c>
      <c r="X154" s="313">
        <f>'ORÇAMENTO GERAL'!$J$82</f>
        <v>6.31</v>
      </c>
      <c r="Y154" s="313">
        <f>'ORÇAMENTO GERAL'!$J$83</f>
        <v>40.93</v>
      </c>
      <c r="Z154" s="313">
        <f>'ORÇAMENTO GERAL'!$J$84</f>
        <v>134.83</v>
      </c>
      <c r="AA154" s="313">
        <f>'ORÇAMENTO GERAL'!$J$85</f>
        <v>21.8</v>
      </c>
      <c r="AB154" s="313">
        <f>'ORÇAMENTO GERAL'!$J$86</f>
        <v>45.59</v>
      </c>
      <c r="AC154" s="313">
        <f>'ORÇAMENTO GERAL'!$J$87</f>
        <v>318.75</v>
      </c>
      <c r="AD154" s="313">
        <f>(E154*T154)+(I154*U154)+(J154*V154)+(K154*W154)+(L154*X154)+(M154*Y154)+(O154*Z154)+(P154*AA154)+(Q154*AB154)+(R154*AC154)</f>
        <v>0</v>
      </c>
    </row>
    <row r="155" spans="1:30" s="302" customFormat="1" ht="45" customHeight="1" hidden="1">
      <c r="A155" s="306">
        <v>2</v>
      </c>
      <c r="B155" s="307" t="str">
        <f aca="true" t="shared" si="76" ref="B155:B173">B15</f>
        <v>RUA DO PORTO</v>
      </c>
      <c r="C155" s="314">
        <v>1</v>
      </c>
      <c r="D155" s="311"/>
      <c r="E155" s="310">
        <f>C155*D155</f>
        <v>0</v>
      </c>
      <c r="F155" s="310">
        <f aca="true" t="shared" si="77" ref="F155:F173">1.8+0.5</f>
        <v>2.3</v>
      </c>
      <c r="G155" s="310">
        <f aca="true" t="shared" si="78" ref="G155:G173">1.8+0.6</f>
        <v>2.4</v>
      </c>
      <c r="H155" s="310">
        <v>0.05</v>
      </c>
      <c r="I155" s="310">
        <f aca="true" t="shared" si="79" ref="I155:I173">(E155*F155*G155)+(E155*G155*H155)</f>
        <v>0</v>
      </c>
      <c r="J155" s="311">
        <f aca="true" t="shared" si="80" ref="J155:J173">N155</f>
        <v>0</v>
      </c>
      <c r="K155" s="333">
        <f aca="true" t="shared" si="81" ref="K155:K173">J155*1.25*$K$13</f>
        <v>0</v>
      </c>
      <c r="L155" s="310">
        <f aca="true" t="shared" si="82" ref="L155:L173">E155*F155</f>
        <v>0</v>
      </c>
      <c r="M155" s="311">
        <f aca="true" t="shared" si="83" ref="M155:M173">L155</f>
        <v>0</v>
      </c>
      <c r="N155" s="310">
        <f aca="true" t="shared" si="84" ref="N155:N173">(3.14*0.75^2)*E155</f>
        <v>0</v>
      </c>
      <c r="O155" s="310">
        <f aca="true" t="shared" si="85" ref="O155:O173">(I155-N155)*70%</f>
        <v>0</v>
      </c>
      <c r="P155" s="310">
        <f aca="true" t="shared" si="86" ref="P155:P173">(I155-N155)*30%</f>
        <v>0</v>
      </c>
      <c r="Q155" s="310">
        <f aca="true" t="shared" si="87" ref="Q155:Q173">E155*G155*2</f>
        <v>0</v>
      </c>
      <c r="R155" s="333">
        <f aca="true" t="shared" si="88" ref="R155:R173">E155</f>
        <v>0</v>
      </c>
      <c r="S155" s="331"/>
      <c r="T155" s="313">
        <f>'ORÇAMENTO GERAL'!$J$78</f>
        <v>1820.35</v>
      </c>
      <c r="U155" s="313">
        <f>'ORÇAMENTO GERAL'!$J$79</f>
        <v>11.2</v>
      </c>
      <c r="V155" s="313">
        <f>'ORÇAMENTO GERAL'!$J$80</f>
        <v>8.25</v>
      </c>
      <c r="W155" s="313">
        <f>'ORÇAMENTO GERAL'!$J$81</f>
        <v>3.62</v>
      </c>
      <c r="X155" s="313">
        <f>'ORÇAMENTO GERAL'!$J$82</f>
        <v>6.31</v>
      </c>
      <c r="Y155" s="313">
        <f>'ORÇAMENTO GERAL'!$J$83</f>
        <v>40.93</v>
      </c>
      <c r="Z155" s="313">
        <f>'ORÇAMENTO GERAL'!$J$84</f>
        <v>134.83</v>
      </c>
      <c r="AA155" s="313">
        <f>'ORÇAMENTO GERAL'!$J$85</f>
        <v>21.8</v>
      </c>
      <c r="AB155" s="313">
        <f>'ORÇAMENTO GERAL'!$J$86</f>
        <v>45.59</v>
      </c>
      <c r="AC155" s="313">
        <f>'ORÇAMENTO GERAL'!$J$87</f>
        <v>318.75</v>
      </c>
      <c r="AD155" s="313">
        <f aca="true" t="shared" si="89" ref="AD155:AD173">(E155*T155)+(I155*U155)+(J155*V155)+(K155*W155)+(L155*X155)+(M155*Y155)+(O155*Z155)+(P155*AA155)+(Q155*AB155)+(R155*AC155)</f>
        <v>0</v>
      </c>
    </row>
    <row r="156" spans="1:30" s="302" customFormat="1" ht="45" customHeight="1" hidden="1">
      <c r="A156" s="306">
        <v>3</v>
      </c>
      <c r="B156" s="307" t="str">
        <f t="shared" si="76"/>
        <v>RUA DO PORTO 2</v>
      </c>
      <c r="C156" s="314">
        <v>1</v>
      </c>
      <c r="D156" s="311"/>
      <c r="E156" s="310">
        <f aca="true" t="shared" si="90" ref="E156:E173">C156*D156</f>
        <v>0</v>
      </c>
      <c r="F156" s="310">
        <f t="shared" si="77"/>
        <v>2.3</v>
      </c>
      <c r="G156" s="310">
        <f t="shared" si="78"/>
        <v>2.4</v>
      </c>
      <c r="H156" s="310">
        <v>0.05</v>
      </c>
      <c r="I156" s="310">
        <f t="shared" si="79"/>
        <v>0</v>
      </c>
      <c r="J156" s="311">
        <f t="shared" si="80"/>
        <v>0</v>
      </c>
      <c r="K156" s="333">
        <f t="shared" si="81"/>
        <v>0</v>
      </c>
      <c r="L156" s="310">
        <f t="shared" si="82"/>
        <v>0</v>
      </c>
      <c r="M156" s="311">
        <f t="shared" si="83"/>
        <v>0</v>
      </c>
      <c r="N156" s="310">
        <f t="shared" si="84"/>
        <v>0</v>
      </c>
      <c r="O156" s="310">
        <f t="shared" si="85"/>
        <v>0</v>
      </c>
      <c r="P156" s="310">
        <f t="shared" si="86"/>
        <v>0</v>
      </c>
      <c r="Q156" s="310">
        <f t="shared" si="87"/>
        <v>0</v>
      </c>
      <c r="R156" s="333">
        <f t="shared" si="88"/>
        <v>0</v>
      </c>
      <c r="S156" s="331"/>
      <c r="T156" s="313">
        <f>'ORÇAMENTO GERAL'!$J$78</f>
        <v>1820.35</v>
      </c>
      <c r="U156" s="313">
        <f>'ORÇAMENTO GERAL'!$J$79</f>
        <v>11.2</v>
      </c>
      <c r="V156" s="313">
        <f>'ORÇAMENTO GERAL'!$J$80</f>
        <v>8.25</v>
      </c>
      <c r="W156" s="313">
        <f>'ORÇAMENTO GERAL'!$J$81</f>
        <v>3.62</v>
      </c>
      <c r="X156" s="313">
        <f>'ORÇAMENTO GERAL'!$J$82</f>
        <v>6.31</v>
      </c>
      <c r="Y156" s="313">
        <f>'ORÇAMENTO GERAL'!$J$83</f>
        <v>40.93</v>
      </c>
      <c r="Z156" s="313">
        <f>'ORÇAMENTO GERAL'!$J$84</f>
        <v>134.83</v>
      </c>
      <c r="AA156" s="313">
        <f>'ORÇAMENTO GERAL'!$J$85</f>
        <v>21.8</v>
      </c>
      <c r="AB156" s="313">
        <f>'ORÇAMENTO GERAL'!$J$86</f>
        <v>45.59</v>
      </c>
      <c r="AC156" s="313">
        <f>'ORÇAMENTO GERAL'!$J$87</f>
        <v>318.75</v>
      </c>
      <c r="AD156" s="313">
        <f t="shared" si="89"/>
        <v>0</v>
      </c>
    </row>
    <row r="157" spans="1:30" s="302" customFormat="1" ht="45" customHeight="1" hidden="1">
      <c r="A157" s="306">
        <v>4</v>
      </c>
      <c r="B157" s="307">
        <f t="shared" si="76"/>
        <v>0</v>
      </c>
      <c r="C157" s="314">
        <v>1</v>
      </c>
      <c r="D157" s="311"/>
      <c r="E157" s="310">
        <f t="shared" si="90"/>
        <v>0</v>
      </c>
      <c r="F157" s="310">
        <f t="shared" si="77"/>
        <v>2.3</v>
      </c>
      <c r="G157" s="310">
        <f t="shared" si="78"/>
        <v>2.4</v>
      </c>
      <c r="H157" s="310">
        <v>0.05</v>
      </c>
      <c r="I157" s="310">
        <f t="shared" si="79"/>
        <v>0</v>
      </c>
      <c r="J157" s="311">
        <f t="shared" si="80"/>
        <v>0</v>
      </c>
      <c r="K157" s="333">
        <f t="shared" si="81"/>
        <v>0</v>
      </c>
      <c r="L157" s="310">
        <f t="shared" si="82"/>
        <v>0</v>
      </c>
      <c r="M157" s="311">
        <f t="shared" si="83"/>
        <v>0</v>
      </c>
      <c r="N157" s="310">
        <f t="shared" si="84"/>
        <v>0</v>
      </c>
      <c r="O157" s="310">
        <f t="shared" si="85"/>
        <v>0</v>
      </c>
      <c r="P157" s="310">
        <f t="shared" si="86"/>
        <v>0</v>
      </c>
      <c r="Q157" s="310">
        <f t="shared" si="87"/>
        <v>0</v>
      </c>
      <c r="R157" s="333">
        <f t="shared" si="88"/>
        <v>0</v>
      </c>
      <c r="S157" s="331"/>
      <c r="T157" s="313">
        <f>'ORÇAMENTO GERAL'!$J$78</f>
        <v>1820.35</v>
      </c>
      <c r="U157" s="313">
        <f>'ORÇAMENTO GERAL'!$J$79</f>
        <v>11.2</v>
      </c>
      <c r="V157" s="313">
        <f>'ORÇAMENTO GERAL'!$J$80</f>
        <v>8.25</v>
      </c>
      <c r="W157" s="313">
        <f>'ORÇAMENTO GERAL'!$J$81</f>
        <v>3.62</v>
      </c>
      <c r="X157" s="313">
        <f>'ORÇAMENTO GERAL'!$J$82</f>
        <v>6.31</v>
      </c>
      <c r="Y157" s="313">
        <f>'ORÇAMENTO GERAL'!$J$83</f>
        <v>40.93</v>
      </c>
      <c r="Z157" s="313">
        <f>'ORÇAMENTO GERAL'!$J$84</f>
        <v>134.83</v>
      </c>
      <c r="AA157" s="313">
        <f>'ORÇAMENTO GERAL'!$J$85</f>
        <v>21.8</v>
      </c>
      <c r="AB157" s="313">
        <f>'ORÇAMENTO GERAL'!$J$86</f>
        <v>45.59</v>
      </c>
      <c r="AC157" s="313">
        <f>'ORÇAMENTO GERAL'!$J$87</f>
        <v>318.75</v>
      </c>
      <c r="AD157" s="313">
        <f t="shared" si="89"/>
        <v>0</v>
      </c>
    </row>
    <row r="158" spans="1:30" s="302" customFormat="1" ht="45" customHeight="1" hidden="1">
      <c r="A158" s="306">
        <v>5</v>
      </c>
      <c r="B158" s="307">
        <f t="shared" si="76"/>
        <v>0</v>
      </c>
      <c r="C158" s="314">
        <v>1</v>
      </c>
      <c r="D158" s="311"/>
      <c r="E158" s="310">
        <f t="shared" si="90"/>
        <v>0</v>
      </c>
      <c r="F158" s="310">
        <f t="shared" si="77"/>
        <v>2.3</v>
      </c>
      <c r="G158" s="310">
        <f t="shared" si="78"/>
        <v>2.4</v>
      </c>
      <c r="H158" s="310">
        <v>0.05</v>
      </c>
      <c r="I158" s="310">
        <f t="shared" si="79"/>
        <v>0</v>
      </c>
      <c r="J158" s="311">
        <f t="shared" si="80"/>
        <v>0</v>
      </c>
      <c r="K158" s="333">
        <f t="shared" si="81"/>
        <v>0</v>
      </c>
      <c r="L158" s="310">
        <f t="shared" si="82"/>
        <v>0</v>
      </c>
      <c r="M158" s="311">
        <f t="shared" si="83"/>
        <v>0</v>
      </c>
      <c r="N158" s="310">
        <f t="shared" si="84"/>
        <v>0</v>
      </c>
      <c r="O158" s="310">
        <f t="shared" si="85"/>
        <v>0</v>
      </c>
      <c r="P158" s="310">
        <f t="shared" si="86"/>
        <v>0</v>
      </c>
      <c r="Q158" s="310">
        <f t="shared" si="87"/>
        <v>0</v>
      </c>
      <c r="R158" s="333">
        <f t="shared" si="88"/>
        <v>0</v>
      </c>
      <c r="S158" s="331"/>
      <c r="T158" s="313">
        <f>'ORÇAMENTO GERAL'!$J$78</f>
        <v>1820.35</v>
      </c>
      <c r="U158" s="313">
        <f>'ORÇAMENTO GERAL'!$J$79</f>
        <v>11.2</v>
      </c>
      <c r="V158" s="313">
        <f>'ORÇAMENTO GERAL'!$J$80</f>
        <v>8.25</v>
      </c>
      <c r="W158" s="313">
        <f>'ORÇAMENTO GERAL'!$J$81</f>
        <v>3.62</v>
      </c>
      <c r="X158" s="313">
        <f>'ORÇAMENTO GERAL'!$J$82</f>
        <v>6.31</v>
      </c>
      <c r="Y158" s="313">
        <f>'ORÇAMENTO GERAL'!$J$83</f>
        <v>40.93</v>
      </c>
      <c r="Z158" s="313">
        <f>'ORÇAMENTO GERAL'!$J$84</f>
        <v>134.83</v>
      </c>
      <c r="AA158" s="313">
        <f>'ORÇAMENTO GERAL'!$J$85</f>
        <v>21.8</v>
      </c>
      <c r="AB158" s="313">
        <f>'ORÇAMENTO GERAL'!$J$86</f>
        <v>45.59</v>
      </c>
      <c r="AC158" s="313">
        <f>'ORÇAMENTO GERAL'!$J$87</f>
        <v>318.75</v>
      </c>
      <c r="AD158" s="313">
        <f t="shared" si="89"/>
        <v>0</v>
      </c>
    </row>
    <row r="159" spans="1:30" s="302" customFormat="1" ht="45" customHeight="1" hidden="1">
      <c r="A159" s="306">
        <v>6</v>
      </c>
      <c r="B159" s="307">
        <f t="shared" si="76"/>
        <v>0</v>
      </c>
      <c r="C159" s="314">
        <v>1</v>
      </c>
      <c r="D159" s="311"/>
      <c r="E159" s="310">
        <f t="shared" si="90"/>
        <v>0</v>
      </c>
      <c r="F159" s="310">
        <f t="shared" si="77"/>
        <v>2.3</v>
      </c>
      <c r="G159" s="310">
        <f t="shared" si="78"/>
        <v>2.4</v>
      </c>
      <c r="H159" s="310">
        <v>0.05</v>
      </c>
      <c r="I159" s="310">
        <f t="shared" si="79"/>
        <v>0</v>
      </c>
      <c r="J159" s="311">
        <f t="shared" si="80"/>
        <v>0</v>
      </c>
      <c r="K159" s="333">
        <f t="shared" si="81"/>
        <v>0</v>
      </c>
      <c r="L159" s="310">
        <f t="shared" si="82"/>
        <v>0</v>
      </c>
      <c r="M159" s="311">
        <f t="shared" si="83"/>
        <v>0</v>
      </c>
      <c r="N159" s="310">
        <f t="shared" si="84"/>
        <v>0</v>
      </c>
      <c r="O159" s="310">
        <f t="shared" si="85"/>
        <v>0</v>
      </c>
      <c r="P159" s="310">
        <f t="shared" si="86"/>
        <v>0</v>
      </c>
      <c r="Q159" s="310">
        <f t="shared" si="87"/>
        <v>0</v>
      </c>
      <c r="R159" s="333">
        <f t="shared" si="88"/>
        <v>0</v>
      </c>
      <c r="S159" s="331"/>
      <c r="T159" s="313">
        <f>'ORÇAMENTO GERAL'!$J$78</f>
        <v>1820.35</v>
      </c>
      <c r="U159" s="313">
        <f>'ORÇAMENTO GERAL'!$J$79</f>
        <v>11.2</v>
      </c>
      <c r="V159" s="313">
        <f>'ORÇAMENTO GERAL'!$J$80</f>
        <v>8.25</v>
      </c>
      <c r="W159" s="313">
        <f>'ORÇAMENTO GERAL'!$J$81</f>
        <v>3.62</v>
      </c>
      <c r="X159" s="313">
        <f>'ORÇAMENTO GERAL'!$J$82</f>
        <v>6.31</v>
      </c>
      <c r="Y159" s="313">
        <f>'ORÇAMENTO GERAL'!$J$83</f>
        <v>40.93</v>
      </c>
      <c r="Z159" s="313">
        <f>'ORÇAMENTO GERAL'!$J$84</f>
        <v>134.83</v>
      </c>
      <c r="AA159" s="313">
        <f>'ORÇAMENTO GERAL'!$J$85</f>
        <v>21.8</v>
      </c>
      <c r="AB159" s="313">
        <f>'ORÇAMENTO GERAL'!$J$86</f>
        <v>45.59</v>
      </c>
      <c r="AC159" s="313">
        <f>'ORÇAMENTO GERAL'!$J$87</f>
        <v>318.75</v>
      </c>
      <c r="AD159" s="313">
        <f t="shared" si="89"/>
        <v>0</v>
      </c>
    </row>
    <row r="160" spans="1:30" s="302" customFormat="1" ht="45" customHeight="1" hidden="1">
      <c r="A160" s="306">
        <v>7</v>
      </c>
      <c r="B160" s="307">
        <f t="shared" si="76"/>
        <v>0</v>
      </c>
      <c r="C160" s="314">
        <v>1</v>
      </c>
      <c r="D160" s="311"/>
      <c r="E160" s="310">
        <f t="shared" si="90"/>
        <v>0</v>
      </c>
      <c r="F160" s="310">
        <f t="shared" si="77"/>
        <v>2.3</v>
      </c>
      <c r="G160" s="310">
        <f t="shared" si="78"/>
        <v>2.4</v>
      </c>
      <c r="H160" s="310">
        <v>0.05</v>
      </c>
      <c r="I160" s="310">
        <f t="shared" si="79"/>
        <v>0</v>
      </c>
      <c r="J160" s="311">
        <f t="shared" si="80"/>
        <v>0</v>
      </c>
      <c r="K160" s="333">
        <f t="shared" si="81"/>
        <v>0</v>
      </c>
      <c r="L160" s="310">
        <f t="shared" si="82"/>
        <v>0</v>
      </c>
      <c r="M160" s="311">
        <f t="shared" si="83"/>
        <v>0</v>
      </c>
      <c r="N160" s="310">
        <f t="shared" si="84"/>
        <v>0</v>
      </c>
      <c r="O160" s="310">
        <f t="shared" si="85"/>
        <v>0</v>
      </c>
      <c r="P160" s="310">
        <f t="shared" si="86"/>
        <v>0</v>
      </c>
      <c r="Q160" s="310">
        <f t="shared" si="87"/>
        <v>0</v>
      </c>
      <c r="R160" s="333">
        <f t="shared" si="88"/>
        <v>0</v>
      </c>
      <c r="S160" s="331"/>
      <c r="T160" s="313">
        <f>'ORÇAMENTO GERAL'!$J$78</f>
        <v>1820.35</v>
      </c>
      <c r="U160" s="313">
        <f>'ORÇAMENTO GERAL'!$J$79</f>
        <v>11.2</v>
      </c>
      <c r="V160" s="313">
        <f>'ORÇAMENTO GERAL'!$J$80</f>
        <v>8.25</v>
      </c>
      <c r="W160" s="313">
        <f>'ORÇAMENTO GERAL'!$J$81</f>
        <v>3.62</v>
      </c>
      <c r="X160" s="313">
        <f>'ORÇAMENTO GERAL'!$J$82</f>
        <v>6.31</v>
      </c>
      <c r="Y160" s="313">
        <f>'ORÇAMENTO GERAL'!$J$83</f>
        <v>40.93</v>
      </c>
      <c r="Z160" s="313">
        <f>'ORÇAMENTO GERAL'!$J$84</f>
        <v>134.83</v>
      </c>
      <c r="AA160" s="313">
        <f>'ORÇAMENTO GERAL'!$J$85</f>
        <v>21.8</v>
      </c>
      <c r="AB160" s="313">
        <f>'ORÇAMENTO GERAL'!$J$86</f>
        <v>45.59</v>
      </c>
      <c r="AC160" s="313">
        <f>'ORÇAMENTO GERAL'!$J$87</f>
        <v>318.75</v>
      </c>
      <c r="AD160" s="313">
        <f t="shared" si="89"/>
        <v>0</v>
      </c>
    </row>
    <row r="161" spans="1:30" s="302" customFormat="1" ht="45" customHeight="1" hidden="1">
      <c r="A161" s="306">
        <v>8</v>
      </c>
      <c r="B161" s="307">
        <f t="shared" si="76"/>
        <v>0</v>
      </c>
      <c r="C161" s="314">
        <v>1</v>
      </c>
      <c r="D161" s="311"/>
      <c r="E161" s="310">
        <f t="shared" si="90"/>
        <v>0</v>
      </c>
      <c r="F161" s="310">
        <f t="shared" si="77"/>
        <v>2.3</v>
      </c>
      <c r="G161" s="310">
        <f t="shared" si="78"/>
        <v>2.4</v>
      </c>
      <c r="H161" s="310">
        <v>0.05</v>
      </c>
      <c r="I161" s="310">
        <f t="shared" si="79"/>
        <v>0</v>
      </c>
      <c r="J161" s="311">
        <f t="shared" si="80"/>
        <v>0</v>
      </c>
      <c r="K161" s="333">
        <f t="shared" si="81"/>
        <v>0</v>
      </c>
      <c r="L161" s="310">
        <f t="shared" si="82"/>
        <v>0</v>
      </c>
      <c r="M161" s="311">
        <f t="shared" si="83"/>
        <v>0</v>
      </c>
      <c r="N161" s="310">
        <f t="shared" si="84"/>
        <v>0</v>
      </c>
      <c r="O161" s="310">
        <f t="shared" si="85"/>
        <v>0</v>
      </c>
      <c r="P161" s="310">
        <f t="shared" si="86"/>
        <v>0</v>
      </c>
      <c r="Q161" s="310">
        <f t="shared" si="87"/>
        <v>0</v>
      </c>
      <c r="R161" s="333">
        <f t="shared" si="88"/>
        <v>0</v>
      </c>
      <c r="S161" s="331"/>
      <c r="T161" s="313">
        <f>'ORÇAMENTO GERAL'!$J$78</f>
        <v>1820.35</v>
      </c>
      <c r="U161" s="313">
        <f>'ORÇAMENTO GERAL'!$J$79</f>
        <v>11.2</v>
      </c>
      <c r="V161" s="313">
        <f>'ORÇAMENTO GERAL'!$J$80</f>
        <v>8.25</v>
      </c>
      <c r="W161" s="313">
        <f>'ORÇAMENTO GERAL'!$J$81</f>
        <v>3.62</v>
      </c>
      <c r="X161" s="313">
        <f>'ORÇAMENTO GERAL'!$J$82</f>
        <v>6.31</v>
      </c>
      <c r="Y161" s="313">
        <f>'ORÇAMENTO GERAL'!$J$83</f>
        <v>40.93</v>
      </c>
      <c r="Z161" s="313">
        <f>'ORÇAMENTO GERAL'!$J$84</f>
        <v>134.83</v>
      </c>
      <c r="AA161" s="313">
        <f>'ORÇAMENTO GERAL'!$J$85</f>
        <v>21.8</v>
      </c>
      <c r="AB161" s="313">
        <f>'ORÇAMENTO GERAL'!$J$86</f>
        <v>45.59</v>
      </c>
      <c r="AC161" s="313">
        <f>'ORÇAMENTO GERAL'!$J$87</f>
        <v>318.75</v>
      </c>
      <c r="AD161" s="313">
        <f t="shared" si="89"/>
        <v>0</v>
      </c>
    </row>
    <row r="162" spans="1:30" s="302" customFormat="1" ht="45" customHeight="1" hidden="1">
      <c r="A162" s="306">
        <v>9</v>
      </c>
      <c r="B162" s="307">
        <f t="shared" si="76"/>
        <v>0</v>
      </c>
      <c r="C162" s="314">
        <v>1</v>
      </c>
      <c r="D162" s="311"/>
      <c r="E162" s="310">
        <f t="shared" si="90"/>
        <v>0</v>
      </c>
      <c r="F162" s="310">
        <f t="shared" si="77"/>
        <v>2.3</v>
      </c>
      <c r="G162" s="310">
        <f t="shared" si="78"/>
        <v>2.4</v>
      </c>
      <c r="H162" s="310">
        <v>0.05</v>
      </c>
      <c r="I162" s="310">
        <f t="shared" si="79"/>
        <v>0</v>
      </c>
      <c r="J162" s="311">
        <f t="shared" si="80"/>
        <v>0</v>
      </c>
      <c r="K162" s="333">
        <f t="shared" si="81"/>
        <v>0</v>
      </c>
      <c r="L162" s="310">
        <f t="shared" si="82"/>
        <v>0</v>
      </c>
      <c r="M162" s="311">
        <f t="shared" si="83"/>
        <v>0</v>
      </c>
      <c r="N162" s="310">
        <f t="shared" si="84"/>
        <v>0</v>
      </c>
      <c r="O162" s="310">
        <f t="shared" si="85"/>
        <v>0</v>
      </c>
      <c r="P162" s="310">
        <f t="shared" si="86"/>
        <v>0</v>
      </c>
      <c r="Q162" s="310">
        <f t="shared" si="87"/>
        <v>0</v>
      </c>
      <c r="R162" s="333">
        <f t="shared" si="88"/>
        <v>0</v>
      </c>
      <c r="S162" s="331"/>
      <c r="T162" s="313">
        <f>'ORÇAMENTO GERAL'!$J$78</f>
        <v>1820.35</v>
      </c>
      <c r="U162" s="313">
        <f>'ORÇAMENTO GERAL'!$J$79</f>
        <v>11.2</v>
      </c>
      <c r="V162" s="313">
        <f>'ORÇAMENTO GERAL'!$J$80</f>
        <v>8.25</v>
      </c>
      <c r="W162" s="313">
        <f>'ORÇAMENTO GERAL'!$J$81</f>
        <v>3.62</v>
      </c>
      <c r="X162" s="313">
        <f>'ORÇAMENTO GERAL'!$J$82</f>
        <v>6.31</v>
      </c>
      <c r="Y162" s="313">
        <f>'ORÇAMENTO GERAL'!$J$83</f>
        <v>40.93</v>
      </c>
      <c r="Z162" s="313">
        <f>'ORÇAMENTO GERAL'!$J$84</f>
        <v>134.83</v>
      </c>
      <c r="AA162" s="313">
        <f>'ORÇAMENTO GERAL'!$J$85</f>
        <v>21.8</v>
      </c>
      <c r="AB162" s="313">
        <f>'ORÇAMENTO GERAL'!$J$86</f>
        <v>45.59</v>
      </c>
      <c r="AC162" s="313">
        <f>'ORÇAMENTO GERAL'!$J$87</f>
        <v>318.75</v>
      </c>
      <c r="AD162" s="313">
        <f t="shared" si="89"/>
        <v>0</v>
      </c>
    </row>
    <row r="163" spans="1:30" s="302" customFormat="1" ht="45" customHeight="1" hidden="1">
      <c r="A163" s="306">
        <v>10</v>
      </c>
      <c r="B163" s="307">
        <f t="shared" si="76"/>
        <v>0</v>
      </c>
      <c r="C163" s="314">
        <v>1</v>
      </c>
      <c r="D163" s="311"/>
      <c r="E163" s="310">
        <f t="shared" si="90"/>
        <v>0</v>
      </c>
      <c r="F163" s="310">
        <f t="shared" si="77"/>
        <v>2.3</v>
      </c>
      <c r="G163" s="310">
        <f t="shared" si="78"/>
        <v>2.4</v>
      </c>
      <c r="H163" s="310">
        <v>0.05</v>
      </c>
      <c r="I163" s="310">
        <f t="shared" si="79"/>
        <v>0</v>
      </c>
      <c r="J163" s="311">
        <f t="shared" si="80"/>
        <v>0</v>
      </c>
      <c r="K163" s="333">
        <f t="shared" si="81"/>
        <v>0</v>
      </c>
      <c r="L163" s="310">
        <f t="shared" si="82"/>
        <v>0</v>
      </c>
      <c r="M163" s="311">
        <f t="shared" si="83"/>
        <v>0</v>
      </c>
      <c r="N163" s="310">
        <f t="shared" si="84"/>
        <v>0</v>
      </c>
      <c r="O163" s="310">
        <f t="shared" si="85"/>
        <v>0</v>
      </c>
      <c r="P163" s="310">
        <f t="shared" si="86"/>
        <v>0</v>
      </c>
      <c r="Q163" s="310">
        <f t="shared" si="87"/>
        <v>0</v>
      </c>
      <c r="R163" s="333">
        <f t="shared" si="88"/>
        <v>0</v>
      </c>
      <c r="S163" s="331"/>
      <c r="T163" s="313">
        <f>'ORÇAMENTO GERAL'!$J$78</f>
        <v>1820.35</v>
      </c>
      <c r="U163" s="313">
        <f>'ORÇAMENTO GERAL'!$J$79</f>
        <v>11.2</v>
      </c>
      <c r="V163" s="313">
        <f>'ORÇAMENTO GERAL'!$J$80</f>
        <v>8.25</v>
      </c>
      <c r="W163" s="313">
        <f>'ORÇAMENTO GERAL'!$J$81</f>
        <v>3.62</v>
      </c>
      <c r="X163" s="313">
        <f>'ORÇAMENTO GERAL'!$J$82</f>
        <v>6.31</v>
      </c>
      <c r="Y163" s="313">
        <f>'ORÇAMENTO GERAL'!$J$83</f>
        <v>40.93</v>
      </c>
      <c r="Z163" s="313">
        <f>'ORÇAMENTO GERAL'!$J$84</f>
        <v>134.83</v>
      </c>
      <c r="AA163" s="313">
        <f>'ORÇAMENTO GERAL'!$J$85</f>
        <v>21.8</v>
      </c>
      <c r="AB163" s="313">
        <f>'ORÇAMENTO GERAL'!$J$86</f>
        <v>45.59</v>
      </c>
      <c r="AC163" s="313">
        <f>'ORÇAMENTO GERAL'!$J$87</f>
        <v>318.75</v>
      </c>
      <c r="AD163" s="313">
        <f t="shared" si="89"/>
        <v>0</v>
      </c>
    </row>
    <row r="164" spans="1:30" s="302" customFormat="1" ht="45" customHeight="1" hidden="1">
      <c r="A164" s="306">
        <v>11</v>
      </c>
      <c r="B164" s="307">
        <f t="shared" si="76"/>
        <v>0</v>
      </c>
      <c r="C164" s="314">
        <v>1</v>
      </c>
      <c r="D164" s="311"/>
      <c r="E164" s="310">
        <f t="shared" si="90"/>
        <v>0</v>
      </c>
      <c r="F164" s="310">
        <f t="shared" si="77"/>
        <v>2.3</v>
      </c>
      <c r="G164" s="310">
        <f t="shared" si="78"/>
        <v>2.4</v>
      </c>
      <c r="H164" s="310">
        <v>0.05</v>
      </c>
      <c r="I164" s="310">
        <f t="shared" si="79"/>
        <v>0</v>
      </c>
      <c r="J164" s="311">
        <f t="shared" si="80"/>
        <v>0</v>
      </c>
      <c r="K164" s="333">
        <f t="shared" si="81"/>
        <v>0</v>
      </c>
      <c r="L164" s="310">
        <f t="shared" si="82"/>
        <v>0</v>
      </c>
      <c r="M164" s="311">
        <f t="shared" si="83"/>
        <v>0</v>
      </c>
      <c r="N164" s="310">
        <f t="shared" si="84"/>
        <v>0</v>
      </c>
      <c r="O164" s="310">
        <f t="shared" si="85"/>
        <v>0</v>
      </c>
      <c r="P164" s="310">
        <f t="shared" si="86"/>
        <v>0</v>
      </c>
      <c r="Q164" s="310">
        <f t="shared" si="87"/>
        <v>0</v>
      </c>
      <c r="R164" s="333">
        <f t="shared" si="88"/>
        <v>0</v>
      </c>
      <c r="S164" s="331"/>
      <c r="T164" s="313">
        <f>'ORÇAMENTO GERAL'!$J$78</f>
        <v>1820.35</v>
      </c>
      <c r="U164" s="313">
        <f>'ORÇAMENTO GERAL'!$J$79</f>
        <v>11.2</v>
      </c>
      <c r="V164" s="313">
        <f>'ORÇAMENTO GERAL'!$J$80</f>
        <v>8.25</v>
      </c>
      <c r="W164" s="313">
        <f>'ORÇAMENTO GERAL'!$J$81</f>
        <v>3.62</v>
      </c>
      <c r="X164" s="313">
        <f>'ORÇAMENTO GERAL'!$J$82</f>
        <v>6.31</v>
      </c>
      <c r="Y164" s="313">
        <f>'ORÇAMENTO GERAL'!$J$83</f>
        <v>40.93</v>
      </c>
      <c r="Z164" s="313">
        <f>'ORÇAMENTO GERAL'!$J$84</f>
        <v>134.83</v>
      </c>
      <c r="AA164" s="313">
        <f>'ORÇAMENTO GERAL'!$J$85</f>
        <v>21.8</v>
      </c>
      <c r="AB164" s="313">
        <f>'ORÇAMENTO GERAL'!$J$86</f>
        <v>45.59</v>
      </c>
      <c r="AC164" s="313">
        <f>'ORÇAMENTO GERAL'!$J$87</f>
        <v>318.75</v>
      </c>
      <c r="AD164" s="313">
        <f t="shared" si="89"/>
        <v>0</v>
      </c>
    </row>
    <row r="165" spans="1:30" s="302" customFormat="1" ht="45" customHeight="1" hidden="1">
      <c r="A165" s="306">
        <v>12</v>
      </c>
      <c r="B165" s="307">
        <f t="shared" si="76"/>
        <v>0</v>
      </c>
      <c r="C165" s="314">
        <v>1</v>
      </c>
      <c r="D165" s="311"/>
      <c r="E165" s="310">
        <f t="shared" si="90"/>
        <v>0</v>
      </c>
      <c r="F165" s="310">
        <f t="shared" si="77"/>
        <v>2.3</v>
      </c>
      <c r="G165" s="310">
        <f t="shared" si="78"/>
        <v>2.4</v>
      </c>
      <c r="H165" s="310">
        <v>0.05</v>
      </c>
      <c r="I165" s="310">
        <f t="shared" si="79"/>
        <v>0</v>
      </c>
      <c r="J165" s="311">
        <f t="shared" si="80"/>
        <v>0</v>
      </c>
      <c r="K165" s="333">
        <f t="shared" si="81"/>
        <v>0</v>
      </c>
      <c r="L165" s="310">
        <f t="shared" si="82"/>
        <v>0</v>
      </c>
      <c r="M165" s="311">
        <f t="shared" si="83"/>
        <v>0</v>
      </c>
      <c r="N165" s="310">
        <f t="shared" si="84"/>
        <v>0</v>
      </c>
      <c r="O165" s="310">
        <f t="shared" si="85"/>
        <v>0</v>
      </c>
      <c r="P165" s="310">
        <f t="shared" si="86"/>
        <v>0</v>
      </c>
      <c r="Q165" s="310">
        <f t="shared" si="87"/>
        <v>0</v>
      </c>
      <c r="R165" s="333">
        <f t="shared" si="88"/>
        <v>0</v>
      </c>
      <c r="S165" s="331"/>
      <c r="T165" s="313">
        <f>'ORÇAMENTO GERAL'!$J$78</f>
        <v>1820.35</v>
      </c>
      <c r="U165" s="313">
        <f>'ORÇAMENTO GERAL'!$J$79</f>
        <v>11.2</v>
      </c>
      <c r="V165" s="313">
        <f>'ORÇAMENTO GERAL'!$J$80</f>
        <v>8.25</v>
      </c>
      <c r="W165" s="313">
        <f>'ORÇAMENTO GERAL'!$J$81</f>
        <v>3.62</v>
      </c>
      <c r="X165" s="313">
        <f>'ORÇAMENTO GERAL'!$J$82</f>
        <v>6.31</v>
      </c>
      <c r="Y165" s="313">
        <f>'ORÇAMENTO GERAL'!$J$83</f>
        <v>40.93</v>
      </c>
      <c r="Z165" s="313">
        <f>'ORÇAMENTO GERAL'!$J$84</f>
        <v>134.83</v>
      </c>
      <c r="AA165" s="313">
        <f>'ORÇAMENTO GERAL'!$J$85</f>
        <v>21.8</v>
      </c>
      <c r="AB165" s="313">
        <f>'ORÇAMENTO GERAL'!$J$86</f>
        <v>45.59</v>
      </c>
      <c r="AC165" s="313">
        <f>'ORÇAMENTO GERAL'!$J$87</f>
        <v>318.75</v>
      </c>
      <c r="AD165" s="313">
        <f t="shared" si="89"/>
        <v>0</v>
      </c>
    </row>
    <row r="166" spans="1:30" s="302" customFormat="1" ht="45" customHeight="1" hidden="1">
      <c r="A166" s="306">
        <v>13</v>
      </c>
      <c r="B166" s="307">
        <f t="shared" si="76"/>
        <v>0</v>
      </c>
      <c r="C166" s="314">
        <v>1</v>
      </c>
      <c r="D166" s="311"/>
      <c r="E166" s="310">
        <f t="shared" si="90"/>
        <v>0</v>
      </c>
      <c r="F166" s="310">
        <f t="shared" si="77"/>
        <v>2.3</v>
      </c>
      <c r="G166" s="310">
        <f t="shared" si="78"/>
        <v>2.4</v>
      </c>
      <c r="H166" s="310">
        <v>0.05</v>
      </c>
      <c r="I166" s="310">
        <f t="shared" si="79"/>
        <v>0</v>
      </c>
      <c r="J166" s="311">
        <f t="shared" si="80"/>
        <v>0</v>
      </c>
      <c r="K166" s="333">
        <f t="shared" si="81"/>
        <v>0</v>
      </c>
      <c r="L166" s="310">
        <f t="shared" si="82"/>
        <v>0</v>
      </c>
      <c r="M166" s="311">
        <f t="shared" si="83"/>
        <v>0</v>
      </c>
      <c r="N166" s="310">
        <f t="shared" si="84"/>
        <v>0</v>
      </c>
      <c r="O166" s="310">
        <f t="shared" si="85"/>
        <v>0</v>
      </c>
      <c r="P166" s="310">
        <f t="shared" si="86"/>
        <v>0</v>
      </c>
      <c r="Q166" s="310">
        <f t="shared" si="87"/>
        <v>0</v>
      </c>
      <c r="R166" s="333">
        <f t="shared" si="88"/>
        <v>0</v>
      </c>
      <c r="S166" s="331"/>
      <c r="T166" s="313">
        <f>'ORÇAMENTO GERAL'!$J$78</f>
        <v>1820.35</v>
      </c>
      <c r="U166" s="313">
        <f>'ORÇAMENTO GERAL'!$J$79</f>
        <v>11.2</v>
      </c>
      <c r="V166" s="313">
        <f>'ORÇAMENTO GERAL'!$J$80</f>
        <v>8.25</v>
      </c>
      <c r="W166" s="313">
        <f>'ORÇAMENTO GERAL'!$J$81</f>
        <v>3.62</v>
      </c>
      <c r="X166" s="313">
        <f>'ORÇAMENTO GERAL'!$J$82</f>
        <v>6.31</v>
      </c>
      <c r="Y166" s="313">
        <f>'ORÇAMENTO GERAL'!$J$83</f>
        <v>40.93</v>
      </c>
      <c r="Z166" s="313">
        <f>'ORÇAMENTO GERAL'!$J$84</f>
        <v>134.83</v>
      </c>
      <c r="AA166" s="313">
        <f>'ORÇAMENTO GERAL'!$J$85</f>
        <v>21.8</v>
      </c>
      <c r="AB166" s="313">
        <f>'ORÇAMENTO GERAL'!$J$86</f>
        <v>45.59</v>
      </c>
      <c r="AC166" s="313">
        <f>'ORÇAMENTO GERAL'!$J$87</f>
        <v>318.75</v>
      </c>
      <c r="AD166" s="313">
        <f t="shared" si="89"/>
        <v>0</v>
      </c>
    </row>
    <row r="167" spans="1:30" s="302" customFormat="1" ht="45" customHeight="1" hidden="1">
      <c r="A167" s="306">
        <v>14</v>
      </c>
      <c r="B167" s="307">
        <f t="shared" si="76"/>
        <v>0</v>
      </c>
      <c r="C167" s="314">
        <v>1</v>
      </c>
      <c r="D167" s="311"/>
      <c r="E167" s="310">
        <f t="shared" si="90"/>
        <v>0</v>
      </c>
      <c r="F167" s="310">
        <f t="shared" si="77"/>
        <v>2.3</v>
      </c>
      <c r="G167" s="310">
        <f t="shared" si="78"/>
        <v>2.4</v>
      </c>
      <c r="H167" s="310">
        <v>0.05</v>
      </c>
      <c r="I167" s="310">
        <f t="shared" si="79"/>
        <v>0</v>
      </c>
      <c r="J167" s="311">
        <f t="shared" si="80"/>
        <v>0</v>
      </c>
      <c r="K167" s="333">
        <f t="shared" si="81"/>
        <v>0</v>
      </c>
      <c r="L167" s="310">
        <f t="shared" si="82"/>
        <v>0</v>
      </c>
      <c r="M167" s="311">
        <f t="shared" si="83"/>
        <v>0</v>
      </c>
      <c r="N167" s="310">
        <f t="shared" si="84"/>
        <v>0</v>
      </c>
      <c r="O167" s="310">
        <f t="shared" si="85"/>
        <v>0</v>
      </c>
      <c r="P167" s="310">
        <f t="shared" si="86"/>
        <v>0</v>
      </c>
      <c r="Q167" s="310">
        <f t="shared" si="87"/>
        <v>0</v>
      </c>
      <c r="R167" s="333">
        <f t="shared" si="88"/>
        <v>0</v>
      </c>
      <c r="S167" s="331"/>
      <c r="T167" s="313">
        <f>'ORÇAMENTO GERAL'!$J$78</f>
        <v>1820.35</v>
      </c>
      <c r="U167" s="313">
        <f>'ORÇAMENTO GERAL'!$J$79</f>
        <v>11.2</v>
      </c>
      <c r="V167" s="313">
        <f>'ORÇAMENTO GERAL'!$J$80</f>
        <v>8.25</v>
      </c>
      <c r="W167" s="313">
        <f>'ORÇAMENTO GERAL'!$J$81</f>
        <v>3.62</v>
      </c>
      <c r="X167" s="313">
        <f>'ORÇAMENTO GERAL'!$J$82</f>
        <v>6.31</v>
      </c>
      <c r="Y167" s="313">
        <f>'ORÇAMENTO GERAL'!$J$83</f>
        <v>40.93</v>
      </c>
      <c r="Z167" s="313">
        <f>'ORÇAMENTO GERAL'!$J$84</f>
        <v>134.83</v>
      </c>
      <c r="AA167" s="313">
        <f>'ORÇAMENTO GERAL'!$J$85</f>
        <v>21.8</v>
      </c>
      <c r="AB167" s="313">
        <f>'ORÇAMENTO GERAL'!$J$86</f>
        <v>45.59</v>
      </c>
      <c r="AC167" s="313">
        <f>'ORÇAMENTO GERAL'!$J$87</f>
        <v>318.75</v>
      </c>
      <c r="AD167" s="313">
        <f t="shared" si="89"/>
        <v>0</v>
      </c>
    </row>
    <row r="168" spans="1:30" s="302" customFormat="1" ht="45" customHeight="1" hidden="1">
      <c r="A168" s="306">
        <v>15</v>
      </c>
      <c r="B168" s="307">
        <f t="shared" si="76"/>
        <v>0</v>
      </c>
      <c r="C168" s="314">
        <v>1</v>
      </c>
      <c r="D168" s="311"/>
      <c r="E168" s="310">
        <f t="shared" si="90"/>
        <v>0</v>
      </c>
      <c r="F168" s="310">
        <f t="shared" si="77"/>
        <v>2.3</v>
      </c>
      <c r="G168" s="310">
        <f t="shared" si="78"/>
        <v>2.4</v>
      </c>
      <c r="H168" s="310">
        <v>0.05</v>
      </c>
      <c r="I168" s="310">
        <f t="shared" si="79"/>
        <v>0</v>
      </c>
      <c r="J168" s="311">
        <f t="shared" si="80"/>
        <v>0</v>
      </c>
      <c r="K168" s="333">
        <f t="shared" si="81"/>
        <v>0</v>
      </c>
      <c r="L168" s="310">
        <f t="shared" si="82"/>
        <v>0</v>
      </c>
      <c r="M168" s="311">
        <f t="shared" si="83"/>
        <v>0</v>
      </c>
      <c r="N168" s="310">
        <f t="shared" si="84"/>
        <v>0</v>
      </c>
      <c r="O168" s="310">
        <f t="shared" si="85"/>
        <v>0</v>
      </c>
      <c r="P168" s="310">
        <f t="shared" si="86"/>
        <v>0</v>
      </c>
      <c r="Q168" s="310">
        <f t="shared" si="87"/>
        <v>0</v>
      </c>
      <c r="R168" s="333">
        <f t="shared" si="88"/>
        <v>0</v>
      </c>
      <c r="S168" s="331"/>
      <c r="T168" s="313">
        <f>'ORÇAMENTO GERAL'!$J$78</f>
        <v>1820.35</v>
      </c>
      <c r="U168" s="313">
        <f>'ORÇAMENTO GERAL'!$J$79</f>
        <v>11.2</v>
      </c>
      <c r="V168" s="313">
        <f>'ORÇAMENTO GERAL'!$J$80</f>
        <v>8.25</v>
      </c>
      <c r="W168" s="313">
        <f>'ORÇAMENTO GERAL'!$J$81</f>
        <v>3.62</v>
      </c>
      <c r="X168" s="313">
        <f>'ORÇAMENTO GERAL'!$J$82</f>
        <v>6.31</v>
      </c>
      <c r="Y168" s="313">
        <f>'ORÇAMENTO GERAL'!$J$83</f>
        <v>40.93</v>
      </c>
      <c r="Z168" s="313">
        <f>'ORÇAMENTO GERAL'!$J$84</f>
        <v>134.83</v>
      </c>
      <c r="AA168" s="313">
        <f>'ORÇAMENTO GERAL'!$J$85</f>
        <v>21.8</v>
      </c>
      <c r="AB168" s="313">
        <f>'ORÇAMENTO GERAL'!$J$86</f>
        <v>45.59</v>
      </c>
      <c r="AC168" s="313">
        <f>'ORÇAMENTO GERAL'!$J$87</f>
        <v>318.75</v>
      </c>
      <c r="AD168" s="313">
        <f t="shared" si="89"/>
        <v>0</v>
      </c>
    </row>
    <row r="169" spans="1:30" s="302" customFormat="1" ht="45" customHeight="1" hidden="1">
      <c r="A169" s="306">
        <v>16</v>
      </c>
      <c r="B169" s="307">
        <f t="shared" si="76"/>
        <v>0</v>
      </c>
      <c r="C169" s="314">
        <v>1</v>
      </c>
      <c r="D169" s="311"/>
      <c r="E169" s="310">
        <f t="shared" si="90"/>
        <v>0</v>
      </c>
      <c r="F169" s="310">
        <f t="shared" si="77"/>
        <v>2.3</v>
      </c>
      <c r="G169" s="310">
        <f t="shared" si="78"/>
        <v>2.4</v>
      </c>
      <c r="H169" s="310">
        <v>0.05</v>
      </c>
      <c r="I169" s="310">
        <f t="shared" si="79"/>
        <v>0</v>
      </c>
      <c r="J169" s="311">
        <f t="shared" si="80"/>
        <v>0</v>
      </c>
      <c r="K169" s="333">
        <f t="shared" si="81"/>
        <v>0</v>
      </c>
      <c r="L169" s="310">
        <f t="shared" si="82"/>
        <v>0</v>
      </c>
      <c r="M169" s="311">
        <f t="shared" si="83"/>
        <v>0</v>
      </c>
      <c r="N169" s="310">
        <f t="shared" si="84"/>
        <v>0</v>
      </c>
      <c r="O169" s="310">
        <f t="shared" si="85"/>
        <v>0</v>
      </c>
      <c r="P169" s="310">
        <f t="shared" si="86"/>
        <v>0</v>
      </c>
      <c r="Q169" s="310">
        <f t="shared" si="87"/>
        <v>0</v>
      </c>
      <c r="R169" s="333">
        <f t="shared" si="88"/>
        <v>0</v>
      </c>
      <c r="S169" s="331"/>
      <c r="T169" s="313">
        <f>'ORÇAMENTO GERAL'!$J$78</f>
        <v>1820.35</v>
      </c>
      <c r="U169" s="313">
        <f>'ORÇAMENTO GERAL'!$J$79</f>
        <v>11.2</v>
      </c>
      <c r="V169" s="313">
        <f>'ORÇAMENTO GERAL'!$J$80</f>
        <v>8.25</v>
      </c>
      <c r="W169" s="313">
        <f>'ORÇAMENTO GERAL'!$J$81</f>
        <v>3.62</v>
      </c>
      <c r="X169" s="313">
        <f>'ORÇAMENTO GERAL'!$J$82</f>
        <v>6.31</v>
      </c>
      <c r="Y169" s="313">
        <f>'ORÇAMENTO GERAL'!$J$83</f>
        <v>40.93</v>
      </c>
      <c r="Z169" s="313">
        <f>'ORÇAMENTO GERAL'!$J$84</f>
        <v>134.83</v>
      </c>
      <c r="AA169" s="313">
        <f>'ORÇAMENTO GERAL'!$J$85</f>
        <v>21.8</v>
      </c>
      <c r="AB169" s="313">
        <f>'ORÇAMENTO GERAL'!$J$86</f>
        <v>45.59</v>
      </c>
      <c r="AC169" s="313">
        <f>'ORÇAMENTO GERAL'!$J$87</f>
        <v>318.75</v>
      </c>
      <c r="AD169" s="313">
        <f t="shared" si="89"/>
        <v>0</v>
      </c>
    </row>
    <row r="170" spans="1:30" s="302" customFormat="1" ht="45" customHeight="1" hidden="1">
      <c r="A170" s="306">
        <v>17</v>
      </c>
      <c r="B170" s="307">
        <f t="shared" si="76"/>
        <v>0</v>
      </c>
      <c r="C170" s="314">
        <v>1</v>
      </c>
      <c r="D170" s="311"/>
      <c r="E170" s="310">
        <f t="shared" si="90"/>
        <v>0</v>
      </c>
      <c r="F170" s="310">
        <f t="shared" si="77"/>
        <v>2.3</v>
      </c>
      <c r="G170" s="310">
        <f t="shared" si="78"/>
        <v>2.4</v>
      </c>
      <c r="H170" s="310">
        <v>0.05</v>
      </c>
      <c r="I170" s="310">
        <f t="shared" si="79"/>
        <v>0</v>
      </c>
      <c r="J170" s="311">
        <f t="shared" si="80"/>
        <v>0</v>
      </c>
      <c r="K170" s="333">
        <f t="shared" si="81"/>
        <v>0</v>
      </c>
      <c r="L170" s="310">
        <f t="shared" si="82"/>
        <v>0</v>
      </c>
      <c r="M170" s="311">
        <f t="shared" si="83"/>
        <v>0</v>
      </c>
      <c r="N170" s="310">
        <f t="shared" si="84"/>
        <v>0</v>
      </c>
      <c r="O170" s="310">
        <f t="shared" si="85"/>
        <v>0</v>
      </c>
      <c r="P170" s="310">
        <f t="shared" si="86"/>
        <v>0</v>
      </c>
      <c r="Q170" s="310">
        <f t="shared" si="87"/>
        <v>0</v>
      </c>
      <c r="R170" s="333">
        <f t="shared" si="88"/>
        <v>0</v>
      </c>
      <c r="S170" s="331"/>
      <c r="T170" s="313">
        <f>'ORÇAMENTO GERAL'!$J$78</f>
        <v>1820.35</v>
      </c>
      <c r="U170" s="313">
        <f>'ORÇAMENTO GERAL'!$J$79</f>
        <v>11.2</v>
      </c>
      <c r="V170" s="313">
        <f>'ORÇAMENTO GERAL'!$J$80</f>
        <v>8.25</v>
      </c>
      <c r="W170" s="313">
        <f>'ORÇAMENTO GERAL'!$J$81</f>
        <v>3.62</v>
      </c>
      <c r="X170" s="313">
        <f>'ORÇAMENTO GERAL'!$J$82</f>
        <v>6.31</v>
      </c>
      <c r="Y170" s="313">
        <f>'ORÇAMENTO GERAL'!$J$83</f>
        <v>40.93</v>
      </c>
      <c r="Z170" s="313">
        <f>'ORÇAMENTO GERAL'!$J$84</f>
        <v>134.83</v>
      </c>
      <c r="AA170" s="313">
        <f>'ORÇAMENTO GERAL'!$J$85</f>
        <v>21.8</v>
      </c>
      <c r="AB170" s="313">
        <f>'ORÇAMENTO GERAL'!$J$86</f>
        <v>45.59</v>
      </c>
      <c r="AC170" s="313">
        <f>'ORÇAMENTO GERAL'!$J$87</f>
        <v>318.75</v>
      </c>
      <c r="AD170" s="313">
        <f t="shared" si="89"/>
        <v>0</v>
      </c>
    </row>
    <row r="171" spans="1:30" s="302" customFormat="1" ht="45" customHeight="1" hidden="1">
      <c r="A171" s="306">
        <v>18</v>
      </c>
      <c r="B171" s="307">
        <f t="shared" si="76"/>
        <v>0</v>
      </c>
      <c r="C171" s="314">
        <v>1</v>
      </c>
      <c r="D171" s="311"/>
      <c r="E171" s="310">
        <f t="shared" si="90"/>
        <v>0</v>
      </c>
      <c r="F171" s="310">
        <f t="shared" si="77"/>
        <v>2.3</v>
      </c>
      <c r="G171" s="310">
        <f t="shared" si="78"/>
        <v>2.4</v>
      </c>
      <c r="H171" s="310">
        <v>0.05</v>
      </c>
      <c r="I171" s="310">
        <f t="shared" si="79"/>
        <v>0</v>
      </c>
      <c r="J171" s="311">
        <f t="shared" si="80"/>
        <v>0</v>
      </c>
      <c r="K171" s="333">
        <f t="shared" si="81"/>
        <v>0</v>
      </c>
      <c r="L171" s="310">
        <f t="shared" si="82"/>
        <v>0</v>
      </c>
      <c r="M171" s="311">
        <f t="shared" si="83"/>
        <v>0</v>
      </c>
      <c r="N171" s="310">
        <f t="shared" si="84"/>
        <v>0</v>
      </c>
      <c r="O171" s="310">
        <f t="shared" si="85"/>
        <v>0</v>
      </c>
      <c r="P171" s="310">
        <f t="shared" si="86"/>
        <v>0</v>
      </c>
      <c r="Q171" s="310">
        <f t="shared" si="87"/>
        <v>0</v>
      </c>
      <c r="R171" s="333">
        <f t="shared" si="88"/>
        <v>0</v>
      </c>
      <c r="S171" s="331"/>
      <c r="T171" s="313">
        <f>'ORÇAMENTO GERAL'!$J$78</f>
        <v>1820.35</v>
      </c>
      <c r="U171" s="313">
        <f>'ORÇAMENTO GERAL'!$J$79</f>
        <v>11.2</v>
      </c>
      <c r="V171" s="313">
        <f>'ORÇAMENTO GERAL'!$J$80</f>
        <v>8.25</v>
      </c>
      <c r="W171" s="313">
        <f>'ORÇAMENTO GERAL'!$J$81</f>
        <v>3.62</v>
      </c>
      <c r="X171" s="313">
        <f>'ORÇAMENTO GERAL'!$J$82</f>
        <v>6.31</v>
      </c>
      <c r="Y171" s="313">
        <f>'ORÇAMENTO GERAL'!$J$83</f>
        <v>40.93</v>
      </c>
      <c r="Z171" s="313">
        <f>'ORÇAMENTO GERAL'!$J$84</f>
        <v>134.83</v>
      </c>
      <c r="AA171" s="313">
        <f>'ORÇAMENTO GERAL'!$J$85</f>
        <v>21.8</v>
      </c>
      <c r="AB171" s="313">
        <f>'ORÇAMENTO GERAL'!$J$86</f>
        <v>45.59</v>
      </c>
      <c r="AC171" s="313">
        <f>'ORÇAMENTO GERAL'!$J$87</f>
        <v>318.75</v>
      </c>
      <c r="AD171" s="313">
        <f t="shared" si="89"/>
        <v>0</v>
      </c>
    </row>
    <row r="172" spans="1:30" s="302" customFormat="1" ht="45" customHeight="1" hidden="1">
      <c r="A172" s="306">
        <v>19</v>
      </c>
      <c r="B172" s="307">
        <f t="shared" si="76"/>
        <v>0</v>
      </c>
      <c r="C172" s="314">
        <v>1</v>
      </c>
      <c r="D172" s="311"/>
      <c r="E172" s="310">
        <f t="shared" si="90"/>
        <v>0</v>
      </c>
      <c r="F172" s="310">
        <f t="shared" si="77"/>
        <v>2.3</v>
      </c>
      <c r="G172" s="310">
        <f t="shared" si="78"/>
        <v>2.4</v>
      </c>
      <c r="H172" s="310">
        <v>0.05</v>
      </c>
      <c r="I172" s="310">
        <f t="shared" si="79"/>
        <v>0</v>
      </c>
      <c r="J172" s="311">
        <f t="shared" si="80"/>
        <v>0</v>
      </c>
      <c r="K172" s="333">
        <f t="shared" si="81"/>
        <v>0</v>
      </c>
      <c r="L172" s="310">
        <f t="shared" si="82"/>
        <v>0</v>
      </c>
      <c r="M172" s="311">
        <f t="shared" si="83"/>
        <v>0</v>
      </c>
      <c r="N172" s="310">
        <f t="shared" si="84"/>
        <v>0</v>
      </c>
      <c r="O172" s="310">
        <f t="shared" si="85"/>
        <v>0</v>
      </c>
      <c r="P172" s="310">
        <f t="shared" si="86"/>
        <v>0</v>
      </c>
      <c r="Q172" s="310">
        <f t="shared" si="87"/>
        <v>0</v>
      </c>
      <c r="R172" s="333">
        <f t="shared" si="88"/>
        <v>0</v>
      </c>
      <c r="S172" s="331"/>
      <c r="T172" s="313">
        <f>'ORÇAMENTO GERAL'!$J$78</f>
        <v>1820.35</v>
      </c>
      <c r="U172" s="313">
        <f>'ORÇAMENTO GERAL'!$J$79</f>
        <v>11.2</v>
      </c>
      <c r="V172" s="313">
        <f>'ORÇAMENTO GERAL'!$J$80</f>
        <v>8.25</v>
      </c>
      <c r="W172" s="313">
        <f>'ORÇAMENTO GERAL'!$J$81</f>
        <v>3.62</v>
      </c>
      <c r="X172" s="313">
        <f>'ORÇAMENTO GERAL'!$J$82</f>
        <v>6.31</v>
      </c>
      <c r="Y172" s="313">
        <f>'ORÇAMENTO GERAL'!$J$83</f>
        <v>40.93</v>
      </c>
      <c r="Z172" s="313">
        <f>'ORÇAMENTO GERAL'!$J$84</f>
        <v>134.83</v>
      </c>
      <c r="AA172" s="313">
        <f>'ORÇAMENTO GERAL'!$J$85</f>
        <v>21.8</v>
      </c>
      <c r="AB172" s="313">
        <f>'ORÇAMENTO GERAL'!$J$86</f>
        <v>45.59</v>
      </c>
      <c r="AC172" s="313">
        <f>'ORÇAMENTO GERAL'!$J$87</f>
        <v>318.75</v>
      </c>
      <c r="AD172" s="313">
        <f t="shared" si="89"/>
        <v>0</v>
      </c>
    </row>
    <row r="173" spans="1:30" s="302" customFormat="1" ht="45" customHeight="1" hidden="1" thickBot="1">
      <c r="A173" s="337">
        <v>20</v>
      </c>
      <c r="B173" s="307">
        <f t="shared" si="76"/>
        <v>0</v>
      </c>
      <c r="C173" s="504">
        <v>1</v>
      </c>
      <c r="D173" s="311"/>
      <c r="E173" s="505">
        <f t="shared" si="90"/>
        <v>0</v>
      </c>
      <c r="F173" s="310">
        <f t="shared" si="77"/>
        <v>2.3</v>
      </c>
      <c r="G173" s="310">
        <f t="shared" si="78"/>
        <v>2.4</v>
      </c>
      <c r="H173" s="505">
        <v>0.05</v>
      </c>
      <c r="I173" s="310">
        <f t="shared" si="79"/>
        <v>0</v>
      </c>
      <c r="J173" s="311">
        <f t="shared" si="80"/>
        <v>0</v>
      </c>
      <c r="K173" s="333">
        <f t="shared" si="81"/>
        <v>0</v>
      </c>
      <c r="L173" s="310">
        <f t="shared" si="82"/>
        <v>0</v>
      </c>
      <c r="M173" s="311">
        <f t="shared" si="83"/>
        <v>0</v>
      </c>
      <c r="N173" s="310">
        <f t="shared" si="84"/>
        <v>0</v>
      </c>
      <c r="O173" s="310">
        <f t="shared" si="85"/>
        <v>0</v>
      </c>
      <c r="P173" s="310">
        <f t="shared" si="86"/>
        <v>0</v>
      </c>
      <c r="Q173" s="310">
        <f t="shared" si="87"/>
        <v>0</v>
      </c>
      <c r="R173" s="333">
        <f t="shared" si="88"/>
        <v>0</v>
      </c>
      <c r="S173" s="331"/>
      <c r="T173" s="313">
        <f>'ORÇAMENTO GERAL'!$J$78</f>
        <v>1820.35</v>
      </c>
      <c r="U173" s="313">
        <f>'ORÇAMENTO GERAL'!$J$79</f>
        <v>11.2</v>
      </c>
      <c r="V173" s="313">
        <f>'ORÇAMENTO GERAL'!$J$80</f>
        <v>8.25</v>
      </c>
      <c r="W173" s="313">
        <f>'ORÇAMENTO GERAL'!$J$81</f>
        <v>3.62</v>
      </c>
      <c r="X173" s="313">
        <f>'ORÇAMENTO GERAL'!$J$82</f>
        <v>6.31</v>
      </c>
      <c r="Y173" s="313">
        <f>'ORÇAMENTO GERAL'!$J$83</f>
        <v>40.93</v>
      </c>
      <c r="Z173" s="313">
        <f>'ORÇAMENTO GERAL'!$J$84</f>
        <v>134.83</v>
      </c>
      <c r="AA173" s="313">
        <f>'ORÇAMENTO GERAL'!$J$85</f>
        <v>21.8</v>
      </c>
      <c r="AB173" s="313">
        <f>'ORÇAMENTO GERAL'!$J$86</f>
        <v>45.59</v>
      </c>
      <c r="AC173" s="313">
        <f>'ORÇAMENTO GERAL'!$J$87</f>
        <v>318.75</v>
      </c>
      <c r="AD173" s="313">
        <f t="shared" si="89"/>
        <v>0</v>
      </c>
    </row>
    <row r="174" spans="1:19" s="302" customFormat="1" ht="45" customHeight="1" hidden="1" thickBot="1">
      <c r="A174" s="641" t="s">
        <v>24</v>
      </c>
      <c r="B174" s="642"/>
      <c r="C174" s="315"/>
      <c r="D174" s="315"/>
      <c r="E174" s="315">
        <f>SUM(E154:E173)</f>
        <v>0</v>
      </c>
      <c r="F174" s="315"/>
      <c r="G174" s="315"/>
      <c r="H174" s="315"/>
      <c r="I174" s="315">
        <f>SUM(I154:I173)</f>
        <v>0</v>
      </c>
      <c r="J174" s="315">
        <f aca="true" t="shared" si="91" ref="J174:R174">SUM(J154:J173)</f>
        <v>0</v>
      </c>
      <c r="K174" s="315">
        <f t="shared" si="91"/>
        <v>0</v>
      </c>
      <c r="L174" s="315">
        <f t="shared" si="91"/>
        <v>0</v>
      </c>
      <c r="M174" s="315">
        <f t="shared" si="91"/>
        <v>0</v>
      </c>
      <c r="N174" s="315">
        <f t="shared" si="91"/>
        <v>0</v>
      </c>
      <c r="O174" s="315">
        <f t="shared" si="91"/>
        <v>0</v>
      </c>
      <c r="P174" s="315">
        <f t="shared" si="91"/>
        <v>0</v>
      </c>
      <c r="Q174" s="315">
        <f t="shared" si="91"/>
        <v>0</v>
      </c>
      <c r="R174" s="315">
        <f t="shared" si="91"/>
        <v>0</v>
      </c>
      <c r="S174" s="330"/>
    </row>
    <row r="175" spans="3:30" s="302" customFormat="1" ht="45" customHeight="1">
      <c r="C175" s="320"/>
      <c r="D175" s="320"/>
      <c r="E175" s="320"/>
      <c r="F175" s="320"/>
      <c r="G175" s="320"/>
      <c r="H175" s="320"/>
      <c r="AD175" s="443"/>
    </row>
    <row r="176" spans="1:30" s="302" customFormat="1" ht="45" customHeight="1">
      <c r="A176" s="639" t="s">
        <v>409</v>
      </c>
      <c r="B176" s="639"/>
      <c r="C176" s="639"/>
      <c r="D176" s="639"/>
      <c r="E176" s="639"/>
      <c r="F176" s="320"/>
      <c r="G176" s="320"/>
      <c r="H176" s="320"/>
      <c r="AC176" s="670" t="str">
        <f>A176</f>
        <v>CAIXA PARA BOCA DE LOBO</v>
      </c>
      <c r="AD176" s="671"/>
    </row>
    <row r="177" spans="1:30" ht="49.5" customHeight="1">
      <c r="A177" s="295" t="s">
        <v>7</v>
      </c>
      <c r="B177" s="295" t="s">
        <v>241</v>
      </c>
      <c r="C177" s="640" t="s">
        <v>244</v>
      </c>
      <c r="D177" s="640"/>
      <c r="E177" s="640"/>
      <c r="AC177" s="434" t="s">
        <v>556</v>
      </c>
      <c r="AD177" s="434" t="s">
        <v>24</v>
      </c>
    </row>
    <row r="178" spans="1:30" ht="49.5" customHeight="1" hidden="1">
      <c r="A178" s="295">
        <v>1</v>
      </c>
      <c r="B178" s="296" t="str">
        <f>B14</f>
        <v>TV. SÃO SEBASTIÃO</v>
      </c>
      <c r="C178" s="636">
        <f>C14</f>
        <v>0</v>
      </c>
      <c r="D178" s="637"/>
      <c r="E178" s="638"/>
      <c r="AC178" s="445">
        <f>'ORÇAMENTO GERAL'!$J$89</f>
        <v>1826.83</v>
      </c>
      <c r="AD178" s="445">
        <f>C178*AC178</f>
        <v>0</v>
      </c>
    </row>
    <row r="179" spans="1:30" ht="49.5" customHeight="1">
      <c r="A179" s="295">
        <v>1</v>
      </c>
      <c r="B179" s="515" t="str">
        <f aca="true" t="shared" si="92" ref="B179:B197">B15</f>
        <v>RUA DO PORTO</v>
      </c>
      <c r="C179" s="636">
        <f aca="true" t="shared" si="93" ref="C179:C197">C15</f>
        <v>10</v>
      </c>
      <c r="D179" s="637"/>
      <c r="E179" s="638"/>
      <c r="N179" s="302"/>
      <c r="AC179" s="445">
        <f>'ORÇAMENTO GERAL'!$J$89</f>
        <v>1826.83</v>
      </c>
      <c r="AD179" s="445">
        <f aca="true" t="shared" si="94" ref="AD179:AD197">C179*AC179</f>
        <v>18268.3</v>
      </c>
    </row>
    <row r="180" spans="1:30" ht="49.5" customHeight="1">
      <c r="A180" s="295">
        <v>2</v>
      </c>
      <c r="B180" s="515" t="str">
        <f t="shared" si="92"/>
        <v>RUA DO PORTO 2</v>
      </c>
      <c r="C180" s="636">
        <f t="shared" si="93"/>
        <v>4</v>
      </c>
      <c r="D180" s="637"/>
      <c r="E180" s="638"/>
      <c r="AC180" s="445">
        <f>'ORÇAMENTO GERAL'!$J$89</f>
        <v>1826.83</v>
      </c>
      <c r="AD180" s="445">
        <f t="shared" si="94"/>
        <v>7307.32</v>
      </c>
    </row>
    <row r="181" spans="1:30" ht="49.5" customHeight="1" hidden="1">
      <c r="A181" s="295">
        <v>3</v>
      </c>
      <c r="B181" s="515">
        <f t="shared" si="92"/>
        <v>0</v>
      </c>
      <c r="C181" s="636">
        <f t="shared" si="93"/>
        <v>0</v>
      </c>
      <c r="D181" s="637"/>
      <c r="E181" s="638"/>
      <c r="AC181" s="445">
        <f>'ORÇAMENTO GERAL'!$J$89</f>
        <v>1826.83</v>
      </c>
      <c r="AD181" s="445">
        <f t="shared" si="94"/>
        <v>0</v>
      </c>
    </row>
    <row r="182" spans="1:30" ht="49.5" customHeight="1" hidden="1">
      <c r="A182" s="295">
        <v>5</v>
      </c>
      <c r="B182" s="515">
        <f t="shared" si="92"/>
        <v>0</v>
      </c>
      <c r="C182" s="636">
        <f t="shared" si="93"/>
        <v>0</v>
      </c>
      <c r="D182" s="637"/>
      <c r="E182" s="638"/>
      <c r="AC182" s="445">
        <f>'ORÇAMENTO GERAL'!$J$89</f>
        <v>1826.83</v>
      </c>
      <c r="AD182" s="445">
        <f t="shared" si="94"/>
        <v>0</v>
      </c>
    </row>
    <row r="183" spans="1:30" ht="49.5" customHeight="1" hidden="1">
      <c r="A183" s="295">
        <v>6</v>
      </c>
      <c r="B183" s="515">
        <f t="shared" si="92"/>
        <v>0</v>
      </c>
      <c r="C183" s="636">
        <f t="shared" si="93"/>
        <v>0</v>
      </c>
      <c r="D183" s="637"/>
      <c r="E183" s="638"/>
      <c r="AC183" s="445">
        <f>'ORÇAMENTO GERAL'!$J$89</f>
        <v>1826.83</v>
      </c>
      <c r="AD183" s="445">
        <f t="shared" si="94"/>
        <v>0</v>
      </c>
    </row>
    <row r="184" spans="1:30" ht="49.5" customHeight="1" hidden="1">
      <c r="A184" s="295">
        <v>7</v>
      </c>
      <c r="B184" s="515">
        <f t="shared" si="92"/>
        <v>0</v>
      </c>
      <c r="C184" s="636">
        <f t="shared" si="93"/>
        <v>0</v>
      </c>
      <c r="D184" s="637"/>
      <c r="E184" s="638"/>
      <c r="AC184" s="445">
        <f>'ORÇAMENTO GERAL'!$J$89</f>
        <v>1826.83</v>
      </c>
      <c r="AD184" s="445">
        <f t="shared" si="94"/>
        <v>0</v>
      </c>
    </row>
    <row r="185" spans="1:30" ht="49.5" customHeight="1" hidden="1">
      <c r="A185" s="295">
        <v>8</v>
      </c>
      <c r="B185" s="515">
        <f t="shared" si="92"/>
        <v>0</v>
      </c>
      <c r="C185" s="636">
        <f t="shared" si="93"/>
        <v>0</v>
      </c>
      <c r="D185" s="637"/>
      <c r="E185" s="638"/>
      <c r="AC185" s="445">
        <f>'ORÇAMENTO GERAL'!$J$89</f>
        <v>1826.83</v>
      </c>
      <c r="AD185" s="445">
        <f t="shared" si="94"/>
        <v>0</v>
      </c>
    </row>
    <row r="186" spans="1:30" ht="49.5" customHeight="1" hidden="1">
      <c r="A186" s="295">
        <v>9</v>
      </c>
      <c r="B186" s="515">
        <f t="shared" si="92"/>
        <v>0</v>
      </c>
      <c r="C186" s="636">
        <f t="shared" si="93"/>
        <v>0</v>
      </c>
      <c r="D186" s="637"/>
      <c r="E186" s="638"/>
      <c r="AC186" s="445">
        <f>'ORÇAMENTO GERAL'!$J$89</f>
        <v>1826.83</v>
      </c>
      <c r="AD186" s="445">
        <f t="shared" si="94"/>
        <v>0</v>
      </c>
    </row>
    <row r="187" spans="1:30" ht="49.5" customHeight="1" hidden="1">
      <c r="A187" s="295">
        <v>10</v>
      </c>
      <c r="B187" s="515">
        <f t="shared" si="92"/>
        <v>0</v>
      </c>
      <c r="C187" s="636">
        <f t="shared" si="93"/>
        <v>0</v>
      </c>
      <c r="D187" s="637"/>
      <c r="E187" s="638"/>
      <c r="AC187" s="445">
        <f>'ORÇAMENTO GERAL'!$J$89</f>
        <v>1826.83</v>
      </c>
      <c r="AD187" s="445">
        <f t="shared" si="94"/>
        <v>0</v>
      </c>
    </row>
    <row r="188" spans="1:30" ht="49.5" customHeight="1" hidden="1">
      <c r="A188" s="295">
        <v>11</v>
      </c>
      <c r="B188" s="515">
        <f t="shared" si="92"/>
        <v>0</v>
      </c>
      <c r="C188" s="636">
        <f t="shared" si="93"/>
        <v>0</v>
      </c>
      <c r="D188" s="637"/>
      <c r="E188" s="638"/>
      <c r="AC188" s="445">
        <f>'ORÇAMENTO GERAL'!$J$89</f>
        <v>1826.83</v>
      </c>
      <c r="AD188" s="445">
        <f t="shared" si="94"/>
        <v>0</v>
      </c>
    </row>
    <row r="189" spans="1:30" ht="49.5" customHeight="1" hidden="1">
      <c r="A189" s="295">
        <v>12</v>
      </c>
      <c r="B189" s="515">
        <f t="shared" si="92"/>
        <v>0</v>
      </c>
      <c r="C189" s="636">
        <f t="shared" si="93"/>
        <v>0</v>
      </c>
      <c r="D189" s="637"/>
      <c r="E189" s="638"/>
      <c r="AC189" s="445">
        <f>'ORÇAMENTO GERAL'!$J$89</f>
        <v>1826.83</v>
      </c>
      <c r="AD189" s="445">
        <f t="shared" si="94"/>
        <v>0</v>
      </c>
    </row>
    <row r="190" spans="1:30" ht="49.5" customHeight="1" hidden="1">
      <c r="A190" s="295">
        <v>13</v>
      </c>
      <c r="B190" s="515">
        <f t="shared" si="92"/>
        <v>0</v>
      </c>
      <c r="C190" s="636">
        <f t="shared" si="93"/>
        <v>0</v>
      </c>
      <c r="D190" s="637"/>
      <c r="E190" s="638"/>
      <c r="AC190" s="445">
        <f>'ORÇAMENTO GERAL'!$J$89</f>
        <v>1826.83</v>
      </c>
      <c r="AD190" s="445">
        <f t="shared" si="94"/>
        <v>0</v>
      </c>
    </row>
    <row r="191" spans="1:30" ht="49.5" customHeight="1" hidden="1">
      <c r="A191" s="295">
        <v>14</v>
      </c>
      <c r="B191" s="515">
        <f t="shared" si="92"/>
        <v>0</v>
      </c>
      <c r="C191" s="636">
        <f t="shared" si="93"/>
        <v>0</v>
      </c>
      <c r="D191" s="637"/>
      <c r="E191" s="638"/>
      <c r="AC191" s="445">
        <f>'ORÇAMENTO GERAL'!$J$89</f>
        <v>1826.83</v>
      </c>
      <c r="AD191" s="445">
        <f t="shared" si="94"/>
        <v>0</v>
      </c>
    </row>
    <row r="192" spans="1:30" ht="49.5" customHeight="1" hidden="1">
      <c r="A192" s="295">
        <v>15</v>
      </c>
      <c r="B192" s="515">
        <f t="shared" si="92"/>
        <v>0</v>
      </c>
      <c r="C192" s="636">
        <f t="shared" si="93"/>
        <v>0</v>
      </c>
      <c r="D192" s="637"/>
      <c r="E192" s="638"/>
      <c r="AC192" s="445">
        <f>'ORÇAMENTO GERAL'!$J$89</f>
        <v>1826.83</v>
      </c>
      <c r="AD192" s="445">
        <f t="shared" si="94"/>
        <v>0</v>
      </c>
    </row>
    <row r="193" spans="1:30" ht="49.5" customHeight="1" hidden="1">
      <c r="A193" s="295">
        <v>16</v>
      </c>
      <c r="B193" s="515">
        <f t="shared" si="92"/>
        <v>0</v>
      </c>
      <c r="C193" s="636">
        <f t="shared" si="93"/>
        <v>0</v>
      </c>
      <c r="D193" s="637"/>
      <c r="E193" s="638"/>
      <c r="AC193" s="445">
        <f>'ORÇAMENTO GERAL'!$J$89</f>
        <v>1826.83</v>
      </c>
      <c r="AD193" s="445">
        <f t="shared" si="94"/>
        <v>0</v>
      </c>
    </row>
    <row r="194" spans="1:30" ht="49.5" customHeight="1" hidden="1">
      <c r="A194" s="295">
        <v>17</v>
      </c>
      <c r="B194" s="515">
        <f t="shared" si="92"/>
        <v>0</v>
      </c>
      <c r="C194" s="636">
        <f t="shared" si="93"/>
        <v>0</v>
      </c>
      <c r="D194" s="637"/>
      <c r="E194" s="638"/>
      <c r="AC194" s="445">
        <f>'ORÇAMENTO GERAL'!$J$89</f>
        <v>1826.83</v>
      </c>
      <c r="AD194" s="445">
        <f t="shared" si="94"/>
        <v>0</v>
      </c>
    </row>
    <row r="195" spans="1:30" ht="49.5" customHeight="1" hidden="1">
      <c r="A195" s="295">
        <v>18</v>
      </c>
      <c r="B195" s="515">
        <f t="shared" si="92"/>
        <v>0</v>
      </c>
      <c r="C195" s="636">
        <f t="shared" si="93"/>
        <v>0</v>
      </c>
      <c r="D195" s="637"/>
      <c r="E195" s="638"/>
      <c r="AC195" s="445">
        <f>'ORÇAMENTO GERAL'!$J$89</f>
        <v>1826.83</v>
      </c>
      <c r="AD195" s="445">
        <f t="shared" si="94"/>
        <v>0</v>
      </c>
    </row>
    <row r="196" spans="1:30" ht="49.5" customHeight="1" hidden="1">
      <c r="A196" s="295">
        <v>19</v>
      </c>
      <c r="B196" s="515">
        <f t="shared" si="92"/>
        <v>0</v>
      </c>
      <c r="C196" s="636">
        <f t="shared" si="93"/>
        <v>0</v>
      </c>
      <c r="D196" s="637"/>
      <c r="E196" s="638"/>
      <c r="AC196" s="445">
        <f>'ORÇAMENTO GERAL'!$J$89</f>
        <v>1826.83</v>
      </c>
      <c r="AD196" s="445">
        <f t="shared" si="94"/>
        <v>0</v>
      </c>
    </row>
    <row r="197" spans="1:30" ht="49.5" customHeight="1" hidden="1">
      <c r="A197" s="295">
        <v>20</v>
      </c>
      <c r="B197" s="515">
        <f t="shared" si="92"/>
        <v>0</v>
      </c>
      <c r="C197" s="636">
        <f t="shared" si="93"/>
        <v>0</v>
      </c>
      <c r="D197" s="637"/>
      <c r="E197" s="638"/>
      <c r="AC197" s="445">
        <f>'ORÇAMENTO GERAL'!$J$89</f>
        <v>1826.83</v>
      </c>
      <c r="AD197" s="445">
        <f t="shared" si="94"/>
        <v>0</v>
      </c>
    </row>
    <row r="198" spans="1:30" ht="49.5" customHeight="1">
      <c r="A198" s="633" t="s">
        <v>24</v>
      </c>
      <c r="B198" s="633"/>
      <c r="C198" s="634">
        <f>SUM(C178:E197)</f>
        <v>14</v>
      </c>
      <c r="D198" s="634"/>
      <c r="E198" s="634"/>
      <c r="AC198" s="446"/>
      <c r="AD198" s="446"/>
    </row>
    <row r="199" spans="1:30" ht="49.5" customHeight="1">
      <c r="A199" s="322"/>
      <c r="B199" s="322"/>
      <c r="C199" s="322"/>
      <c r="D199" s="322"/>
      <c r="AC199" s="446"/>
      <c r="AD199" s="446"/>
    </row>
    <row r="200" spans="1:30" s="302" customFormat="1" ht="45" customHeight="1">
      <c r="A200" s="639" t="s">
        <v>491</v>
      </c>
      <c r="B200" s="639"/>
      <c r="C200" s="639"/>
      <c r="D200" s="639"/>
      <c r="E200" s="639"/>
      <c r="F200" s="320"/>
      <c r="G200" s="320"/>
      <c r="H200" s="320"/>
      <c r="AC200" s="670" t="str">
        <f>A200</f>
        <v>TAMPA PARA BOCA DE LOBO</v>
      </c>
      <c r="AD200" s="671"/>
    </row>
    <row r="201" spans="1:30" ht="49.5" customHeight="1">
      <c r="A201" s="380" t="s">
        <v>7</v>
      </c>
      <c r="B201" s="380" t="s">
        <v>241</v>
      </c>
      <c r="C201" s="640" t="s">
        <v>244</v>
      </c>
      <c r="D201" s="640"/>
      <c r="E201" s="640"/>
      <c r="AC201" s="434" t="s">
        <v>556</v>
      </c>
      <c r="AD201" s="434" t="s">
        <v>24</v>
      </c>
    </row>
    <row r="202" spans="1:30" ht="49.5" customHeight="1" hidden="1">
      <c r="A202" s="380">
        <v>1</v>
      </c>
      <c r="B202" s="379" t="str">
        <f>B14</f>
        <v>TV. SÃO SEBASTIÃO</v>
      </c>
      <c r="C202" s="635">
        <f>C178</f>
        <v>0</v>
      </c>
      <c r="D202" s="635"/>
      <c r="E202" s="635"/>
      <c r="AC202" s="445">
        <f>'ORÇAMENTO GERAL'!$J$91</f>
        <v>238.8</v>
      </c>
      <c r="AD202" s="445">
        <f>C202*AC202</f>
        <v>0</v>
      </c>
    </row>
    <row r="203" spans="1:30" ht="49.5" customHeight="1">
      <c r="A203" s="380">
        <v>1</v>
      </c>
      <c r="B203" s="515" t="str">
        <f aca="true" t="shared" si="95" ref="B203:B221">B15</f>
        <v>RUA DO PORTO</v>
      </c>
      <c r="C203" s="635">
        <f aca="true" t="shared" si="96" ref="C203:C221">C179</f>
        <v>10</v>
      </c>
      <c r="D203" s="635"/>
      <c r="E203" s="635"/>
      <c r="AC203" s="445">
        <f>'ORÇAMENTO GERAL'!$J$91</f>
        <v>238.8</v>
      </c>
      <c r="AD203" s="445">
        <f aca="true" t="shared" si="97" ref="AD203:AD221">C203*AC203</f>
        <v>2388</v>
      </c>
    </row>
    <row r="204" spans="1:30" ht="49.5" customHeight="1">
      <c r="A204" s="380">
        <v>2</v>
      </c>
      <c r="B204" s="515" t="str">
        <f t="shared" si="95"/>
        <v>RUA DO PORTO 2</v>
      </c>
      <c r="C204" s="635">
        <f t="shared" si="96"/>
        <v>4</v>
      </c>
      <c r="D204" s="635"/>
      <c r="E204" s="635"/>
      <c r="AC204" s="445">
        <f>'ORÇAMENTO GERAL'!$J$91</f>
        <v>238.8</v>
      </c>
      <c r="AD204" s="445">
        <f t="shared" si="97"/>
        <v>955.2</v>
      </c>
    </row>
    <row r="205" spans="1:30" ht="49.5" customHeight="1" hidden="1">
      <c r="A205" s="380">
        <v>3</v>
      </c>
      <c r="B205" s="515">
        <f t="shared" si="95"/>
        <v>0</v>
      </c>
      <c r="C205" s="635">
        <f t="shared" si="96"/>
        <v>0</v>
      </c>
      <c r="D205" s="635"/>
      <c r="E205" s="635"/>
      <c r="AC205" s="445">
        <f>'ORÇAMENTO GERAL'!$J$91</f>
        <v>238.8</v>
      </c>
      <c r="AD205" s="445">
        <f t="shared" si="97"/>
        <v>0</v>
      </c>
    </row>
    <row r="206" spans="1:30" ht="49.5" customHeight="1" hidden="1">
      <c r="A206" s="380">
        <v>5</v>
      </c>
      <c r="B206" s="515">
        <f t="shared" si="95"/>
        <v>0</v>
      </c>
      <c r="C206" s="635">
        <f t="shared" si="96"/>
        <v>0</v>
      </c>
      <c r="D206" s="635"/>
      <c r="E206" s="635"/>
      <c r="AC206" s="445">
        <f>'ORÇAMENTO GERAL'!$J$91</f>
        <v>238.8</v>
      </c>
      <c r="AD206" s="445">
        <f t="shared" si="97"/>
        <v>0</v>
      </c>
    </row>
    <row r="207" spans="1:30" ht="49.5" customHeight="1" hidden="1">
      <c r="A207" s="380">
        <v>6</v>
      </c>
      <c r="B207" s="515">
        <f t="shared" si="95"/>
        <v>0</v>
      </c>
      <c r="C207" s="635">
        <f t="shared" si="96"/>
        <v>0</v>
      </c>
      <c r="D207" s="635"/>
      <c r="E207" s="635"/>
      <c r="AC207" s="445">
        <f>'ORÇAMENTO GERAL'!$J$91</f>
        <v>238.8</v>
      </c>
      <c r="AD207" s="445">
        <f t="shared" si="97"/>
        <v>0</v>
      </c>
    </row>
    <row r="208" spans="1:30" ht="49.5" customHeight="1" hidden="1">
      <c r="A208" s="380">
        <v>7</v>
      </c>
      <c r="B208" s="515">
        <f t="shared" si="95"/>
        <v>0</v>
      </c>
      <c r="C208" s="635">
        <f t="shared" si="96"/>
        <v>0</v>
      </c>
      <c r="D208" s="635"/>
      <c r="E208" s="635"/>
      <c r="AC208" s="445">
        <f>'ORÇAMENTO GERAL'!$J$91</f>
        <v>238.8</v>
      </c>
      <c r="AD208" s="445">
        <f t="shared" si="97"/>
        <v>0</v>
      </c>
    </row>
    <row r="209" spans="1:30" ht="49.5" customHeight="1" hidden="1">
      <c r="A209" s="380">
        <v>8</v>
      </c>
      <c r="B209" s="515">
        <f t="shared" si="95"/>
        <v>0</v>
      </c>
      <c r="C209" s="635">
        <f t="shared" si="96"/>
        <v>0</v>
      </c>
      <c r="D209" s="635"/>
      <c r="E209" s="635"/>
      <c r="AC209" s="445">
        <f>'ORÇAMENTO GERAL'!$J$91</f>
        <v>238.8</v>
      </c>
      <c r="AD209" s="445">
        <f t="shared" si="97"/>
        <v>0</v>
      </c>
    </row>
    <row r="210" spans="1:30" ht="49.5" customHeight="1" hidden="1">
      <c r="A210" s="380">
        <v>9</v>
      </c>
      <c r="B210" s="515">
        <f t="shared" si="95"/>
        <v>0</v>
      </c>
      <c r="C210" s="635">
        <f t="shared" si="96"/>
        <v>0</v>
      </c>
      <c r="D210" s="635"/>
      <c r="E210" s="635"/>
      <c r="AC210" s="445">
        <f>'ORÇAMENTO GERAL'!$J$91</f>
        <v>238.8</v>
      </c>
      <c r="AD210" s="445">
        <f t="shared" si="97"/>
        <v>0</v>
      </c>
    </row>
    <row r="211" spans="1:30" ht="49.5" customHeight="1" hidden="1">
      <c r="A211" s="380">
        <v>10</v>
      </c>
      <c r="B211" s="515">
        <f t="shared" si="95"/>
        <v>0</v>
      </c>
      <c r="C211" s="635">
        <f t="shared" si="96"/>
        <v>0</v>
      </c>
      <c r="D211" s="635"/>
      <c r="E211" s="635"/>
      <c r="AC211" s="445">
        <f>'ORÇAMENTO GERAL'!$J$91</f>
        <v>238.8</v>
      </c>
      <c r="AD211" s="445">
        <f t="shared" si="97"/>
        <v>0</v>
      </c>
    </row>
    <row r="212" spans="1:30" ht="49.5" customHeight="1" hidden="1">
      <c r="A212" s="380">
        <v>11</v>
      </c>
      <c r="B212" s="515">
        <f t="shared" si="95"/>
        <v>0</v>
      </c>
      <c r="C212" s="635">
        <f t="shared" si="96"/>
        <v>0</v>
      </c>
      <c r="D212" s="635"/>
      <c r="E212" s="635"/>
      <c r="AC212" s="445">
        <f>'ORÇAMENTO GERAL'!$J$91</f>
        <v>238.8</v>
      </c>
      <c r="AD212" s="445">
        <f t="shared" si="97"/>
        <v>0</v>
      </c>
    </row>
    <row r="213" spans="1:30" ht="49.5" customHeight="1" hidden="1">
      <c r="A213" s="380">
        <v>12</v>
      </c>
      <c r="B213" s="515">
        <f t="shared" si="95"/>
        <v>0</v>
      </c>
      <c r="C213" s="635">
        <f t="shared" si="96"/>
        <v>0</v>
      </c>
      <c r="D213" s="635"/>
      <c r="E213" s="635"/>
      <c r="AC213" s="445">
        <f>'ORÇAMENTO GERAL'!$J$91</f>
        <v>238.8</v>
      </c>
      <c r="AD213" s="445">
        <f t="shared" si="97"/>
        <v>0</v>
      </c>
    </row>
    <row r="214" spans="1:30" ht="49.5" customHeight="1" hidden="1">
      <c r="A214" s="380">
        <v>13</v>
      </c>
      <c r="B214" s="515">
        <f t="shared" si="95"/>
        <v>0</v>
      </c>
      <c r="C214" s="635">
        <f t="shared" si="96"/>
        <v>0</v>
      </c>
      <c r="D214" s="635"/>
      <c r="E214" s="635"/>
      <c r="AC214" s="445">
        <f>'ORÇAMENTO GERAL'!$J$91</f>
        <v>238.8</v>
      </c>
      <c r="AD214" s="445">
        <f t="shared" si="97"/>
        <v>0</v>
      </c>
    </row>
    <row r="215" spans="1:30" ht="49.5" customHeight="1" hidden="1">
      <c r="A215" s="380">
        <v>14</v>
      </c>
      <c r="B215" s="515">
        <f t="shared" si="95"/>
        <v>0</v>
      </c>
      <c r="C215" s="635">
        <f t="shared" si="96"/>
        <v>0</v>
      </c>
      <c r="D215" s="635"/>
      <c r="E215" s="635"/>
      <c r="AC215" s="445">
        <f>'ORÇAMENTO GERAL'!$J$91</f>
        <v>238.8</v>
      </c>
      <c r="AD215" s="445">
        <f t="shared" si="97"/>
        <v>0</v>
      </c>
    </row>
    <row r="216" spans="1:30" ht="49.5" customHeight="1" hidden="1">
      <c r="A216" s="380">
        <v>15</v>
      </c>
      <c r="B216" s="515">
        <f t="shared" si="95"/>
        <v>0</v>
      </c>
      <c r="C216" s="635">
        <f t="shared" si="96"/>
        <v>0</v>
      </c>
      <c r="D216" s="635"/>
      <c r="E216" s="635"/>
      <c r="AC216" s="445">
        <f>'ORÇAMENTO GERAL'!$J$91</f>
        <v>238.8</v>
      </c>
      <c r="AD216" s="445">
        <f t="shared" si="97"/>
        <v>0</v>
      </c>
    </row>
    <row r="217" spans="1:30" ht="49.5" customHeight="1" hidden="1">
      <c r="A217" s="380">
        <v>16</v>
      </c>
      <c r="B217" s="515">
        <f t="shared" si="95"/>
        <v>0</v>
      </c>
      <c r="C217" s="635">
        <f t="shared" si="96"/>
        <v>0</v>
      </c>
      <c r="D217" s="635"/>
      <c r="E217" s="635"/>
      <c r="AC217" s="445">
        <f>'ORÇAMENTO GERAL'!$J$91</f>
        <v>238.8</v>
      </c>
      <c r="AD217" s="445">
        <f t="shared" si="97"/>
        <v>0</v>
      </c>
    </row>
    <row r="218" spans="1:30" ht="49.5" customHeight="1" hidden="1">
      <c r="A218" s="380">
        <v>17</v>
      </c>
      <c r="B218" s="515">
        <f t="shared" si="95"/>
        <v>0</v>
      </c>
      <c r="C218" s="635">
        <f t="shared" si="96"/>
        <v>0</v>
      </c>
      <c r="D218" s="635"/>
      <c r="E218" s="635"/>
      <c r="AC218" s="445">
        <f>'ORÇAMENTO GERAL'!$J$91</f>
        <v>238.8</v>
      </c>
      <c r="AD218" s="445">
        <f t="shared" si="97"/>
        <v>0</v>
      </c>
    </row>
    <row r="219" spans="1:30" ht="49.5" customHeight="1" hidden="1">
      <c r="A219" s="380">
        <v>18</v>
      </c>
      <c r="B219" s="515">
        <f t="shared" si="95"/>
        <v>0</v>
      </c>
      <c r="C219" s="635">
        <f t="shared" si="96"/>
        <v>0</v>
      </c>
      <c r="D219" s="635"/>
      <c r="E219" s="635"/>
      <c r="AC219" s="445">
        <f>'ORÇAMENTO GERAL'!$J$91</f>
        <v>238.8</v>
      </c>
      <c r="AD219" s="445">
        <f t="shared" si="97"/>
        <v>0</v>
      </c>
    </row>
    <row r="220" spans="1:30" ht="49.5" customHeight="1" hidden="1">
      <c r="A220" s="380">
        <v>19</v>
      </c>
      <c r="B220" s="515">
        <f t="shared" si="95"/>
        <v>0</v>
      </c>
      <c r="C220" s="635">
        <f t="shared" si="96"/>
        <v>0</v>
      </c>
      <c r="D220" s="635"/>
      <c r="E220" s="635"/>
      <c r="AC220" s="445">
        <f>'ORÇAMENTO GERAL'!$J$91</f>
        <v>238.8</v>
      </c>
      <c r="AD220" s="445">
        <f t="shared" si="97"/>
        <v>0</v>
      </c>
    </row>
    <row r="221" spans="1:30" ht="49.5" customHeight="1" hidden="1">
      <c r="A221" s="380">
        <v>20</v>
      </c>
      <c r="B221" s="515">
        <f t="shared" si="95"/>
        <v>0</v>
      </c>
      <c r="C221" s="635">
        <f t="shared" si="96"/>
        <v>0</v>
      </c>
      <c r="D221" s="635"/>
      <c r="E221" s="635"/>
      <c r="AC221" s="445">
        <f>'ORÇAMENTO GERAL'!$J$91</f>
        <v>238.8</v>
      </c>
      <c r="AD221" s="445">
        <f t="shared" si="97"/>
        <v>0</v>
      </c>
    </row>
    <row r="222" spans="1:5" ht="49.5" customHeight="1">
      <c r="A222" s="633" t="s">
        <v>24</v>
      </c>
      <c r="B222" s="633"/>
      <c r="C222" s="634">
        <f>SUM(C202:E221)</f>
        <v>14</v>
      </c>
      <c r="D222" s="634"/>
      <c r="E222" s="634"/>
    </row>
    <row r="223" spans="1:16" ht="49.5" customHeight="1">
      <c r="A223" s="322"/>
      <c r="B223" s="322"/>
      <c r="C223" s="322"/>
      <c r="D223" s="322"/>
      <c r="P223" s="302"/>
    </row>
    <row r="224" spans="1:30" s="302" customFormat="1" ht="45" customHeight="1">
      <c r="A224" s="639" t="s">
        <v>410</v>
      </c>
      <c r="B224" s="639"/>
      <c r="C224" s="639"/>
      <c r="D224" s="639"/>
      <c r="E224" s="639"/>
      <c r="F224" s="320"/>
      <c r="G224" s="320"/>
      <c r="H224" s="320"/>
      <c r="AC224" s="670" t="str">
        <f>A224</f>
        <v>POÇOS DE VISITA</v>
      </c>
      <c r="AD224" s="671"/>
    </row>
    <row r="225" spans="1:30" ht="49.5" customHeight="1">
      <c r="A225" s="295" t="s">
        <v>7</v>
      </c>
      <c r="B225" s="295" t="s">
        <v>241</v>
      </c>
      <c r="C225" s="640" t="s">
        <v>244</v>
      </c>
      <c r="D225" s="640"/>
      <c r="E225" s="640"/>
      <c r="AC225" s="434" t="s">
        <v>556</v>
      </c>
      <c r="AD225" s="434" t="s">
        <v>24</v>
      </c>
    </row>
    <row r="226" spans="1:30" ht="49.5" customHeight="1" hidden="1">
      <c r="A226" s="295">
        <v>1</v>
      </c>
      <c r="B226" s="296" t="str">
        <f>B14</f>
        <v>TV. SÃO SEBASTIÃO</v>
      </c>
      <c r="C226" s="636"/>
      <c r="D226" s="637"/>
      <c r="E226" s="638"/>
      <c r="AC226" s="445">
        <f>'ORÇAMENTO GERAL'!$J$93</f>
        <v>6414.67</v>
      </c>
      <c r="AD226" s="445">
        <f>C226*AC226</f>
        <v>0</v>
      </c>
    </row>
    <row r="227" spans="1:30" ht="49.5" customHeight="1">
      <c r="A227" s="295">
        <v>1</v>
      </c>
      <c r="B227" s="515" t="str">
        <f aca="true" t="shared" si="98" ref="B227:B245">B15</f>
        <v>RUA DO PORTO</v>
      </c>
      <c r="C227" s="636">
        <v>3</v>
      </c>
      <c r="D227" s="637"/>
      <c r="E227" s="638"/>
      <c r="AC227" s="445">
        <f>'ORÇAMENTO GERAL'!$J$93</f>
        <v>6414.67</v>
      </c>
      <c r="AD227" s="445">
        <f aca="true" t="shared" si="99" ref="AD227:AD245">C227*AC227</f>
        <v>19244.01</v>
      </c>
    </row>
    <row r="228" spans="1:30" ht="49.5" customHeight="1">
      <c r="A228" s="295">
        <v>2</v>
      </c>
      <c r="B228" s="515" t="str">
        <f t="shared" si="98"/>
        <v>RUA DO PORTO 2</v>
      </c>
      <c r="C228" s="636">
        <v>2</v>
      </c>
      <c r="D228" s="637"/>
      <c r="E228" s="638"/>
      <c r="AC228" s="445">
        <f>'ORÇAMENTO GERAL'!$J$93</f>
        <v>6414.67</v>
      </c>
      <c r="AD228" s="445">
        <f t="shared" si="99"/>
        <v>12829.34</v>
      </c>
    </row>
    <row r="229" spans="1:30" ht="49.5" customHeight="1" hidden="1">
      <c r="A229" s="295">
        <v>3</v>
      </c>
      <c r="B229" s="515">
        <f t="shared" si="98"/>
        <v>0</v>
      </c>
      <c r="C229" s="636"/>
      <c r="D229" s="637"/>
      <c r="E229" s="638"/>
      <c r="AC229" s="445">
        <f>'ORÇAMENTO GERAL'!$J$93</f>
        <v>6414.67</v>
      </c>
      <c r="AD229" s="445">
        <f t="shared" si="99"/>
        <v>0</v>
      </c>
    </row>
    <row r="230" spans="1:30" ht="49.5" customHeight="1" hidden="1">
      <c r="A230" s="295">
        <v>5</v>
      </c>
      <c r="B230" s="515">
        <f t="shared" si="98"/>
        <v>0</v>
      </c>
      <c r="C230" s="636"/>
      <c r="D230" s="637"/>
      <c r="E230" s="638"/>
      <c r="AC230" s="445">
        <f>'ORÇAMENTO GERAL'!$J$93</f>
        <v>6414.67</v>
      </c>
      <c r="AD230" s="445">
        <f t="shared" si="99"/>
        <v>0</v>
      </c>
    </row>
    <row r="231" spans="1:30" ht="49.5" customHeight="1" hidden="1">
      <c r="A231" s="295">
        <v>6</v>
      </c>
      <c r="B231" s="515">
        <f t="shared" si="98"/>
        <v>0</v>
      </c>
      <c r="C231" s="636"/>
      <c r="D231" s="637"/>
      <c r="E231" s="638"/>
      <c r="AC231" s="445">
        <f>'ORÇAMENTO GERAL'!$J$93</f>
        <v>6414.67</v>
      </c>
      <c r="AD231" s="445">
        <f t="shared" si="99"/>
        <v>0</v>
      </c>
    </row>
    <row r="232" spans="1:30" ht="49.5" customHeight="1" hidden="1">
      <c r="A232" s="295">
        <v>7</v>
      </c>
      <c r="B232" s="515">
        <f t="shared" si="98"/>
        <v>0</v>
      </c>
      <c r="C232" s="636"/>
      <c r="D232" s="637"/>
      <c r="E232" s="638"/>
      <c r="AC232" s="445">
        <f>'ORÇAMENTO GERAL'!$J$93</f>
        <v>6414.67</v>
      </c>
      <c r="AD232" s="445">
        <f t="shared" si="99"/>
        <v>0</v>
      </c>
    </row>
    <row r="233" spans="1:30" ht="49.5" customHeight="1" hidden="1">
      <c r="A233" s="295">
        <v>8</v>
      </c>
      <c r="B233" s="515">
        <f t="shared" si="98"/>
        <v>0</v>
      </c>
      <c r="C233" s="636"/>
      <c r="D233" s="637"/>
      <c r="E233" s="638"/>
      <c r="AC233" s="445">
        <f>'ORÇAMENTO GERAL'!$J$93</f>
        <v>6414.67</v>
      </c>
      <c r="AD233" s="445">
        <f t="shared" si="99"/>
        <v>0</v>
      </c>
    </row>
    <row r="234" spans="1:30" ht="49.5" customHeight="1" hidden="1">
      <c r="A234" s="295">
        <v>9</v>
      </c>
      <c r="B234" s="515">
        <f t="shared" si="98"/>
        <v>0</v>
      </c>
      <c r="C234" s="636"/>
      <c r="D234" s="637"/>
      <c r="E234" s="638"/>
      <c r="AC234" s="445">
        <f>'ORÇAMENTO GERAL'!$J$93</f>
        <v>6414.67</v>
      </c>
      <c r="AD234" s="445">
        <f t="shared" si="99"/>
        <v>0</v>
      </c>
    </row>
    <row r="235" spans="1:30" ht="49.5" customHeight="1" hidden="1">
      <c r="A235" s="295">
        <v>10</v>
      </c>
      <c r="B235" s="515">
        <f t="shared" si="98"/>
        <v>0</v>
      </c>
      <c r="C235" s="636"/>
      <c r="D235" s="637"/>
      <c r="E235" s="638"/>
      <c r="AC235" s="445">
        <f>'ORÇAMENTO GERAL'!$J$93</f>
        <v>6414.67</v>
      </c>
      <c r="AD235" s="445">
        <f t="shared" si="99"/>
        <v>0</v>
      </c>
    </row>
    <row r="236" spans="1:30" ht="49.5" customHeight="1" hidden="1">
      <c r="A236" s="295">
        <v>11</v>
      </c>
      <c r="B236" s="515">
        <f t="shared" si="98"/>
        <v>0</v>
      </c>
      <c r="C236" s="636"/>
      <c r="D236" s="637"/>
      <c r="E236" s="638"/>
      <c r="AC236" s="445">
        <f>'ORÇAMENTO GERAL'!$J$93</f>
        <v>6414.67</v>
      </c>
      <c r="AD236" s="445">
        <f t="shared" si="99"/>
        <v>0</v>
      </c>
    </row>
    <row r="237" spans="1:30" ht="49.5" customHeight="1" hidden="1">
      <c r="A237" s="295">
        <v>12</v>
      </c>
      <c r="B237" s="515">
        <f t="shared" si="98"/>
        <v>0</v>
      </c>
      <c r="C237" s="636"/>
      <c r="D237" s="637"/>
      <c r="E237" s="638"/>
      <c r="AC237" s="445">
        <f>'ORÇAMENTO GERAL'!$J$93</f>
        <v>6414.67</v>
      </c>
      <c r="AD237" s="445">
        <f t="shared" si="99"/>
        <v>0</v>
      </c>
    </row>
    <row r="238" spans="1:30" ht="49.5" customHeight="1" hidden="1">
      <c r="A238" s="295">
        <v>13</v>
      </c>
      <c r="B238" s="515">
        <f t="shared" si="98"/>
        <v>0</v>
      </c>
      <c r="C238" s="636"/>
      <c r="D238" s="637"/>
      <c r="E238" s="638"/>
      <c r="AC238" s="445">
        <f>'ORÇAMENTO GERAL'!$J$93</f>
        <v>6414.67</v>
      </c>
      <c r="AD238" s="445">
        <f t="shared" si="99"/>
        <v>0</v>
      </c>
    </row>
    <row r="239" spans="1:30" ht="49.5" customHeight="1" hidden="1">
      <c r="A239" s="295">
        <v>14</v>
      </c>
      <c r="B239" s="515">
        <f t="shared" si="98"/>
        <v>0</v>
      </c>
      <c r="C239" s="636"/>
      <c r="D239" s="637"/>
      <c r="E239" s="638"/>
      <c r="AC239" s="445">
        <f>'ORÇAMENTO GERAL'!$J$93</f>
        <v>6414.67</v>
      </c>
      <c r="AD239" s="445">
        <f t="shared" si="99"/>
        <v>0</v>
      </c>
    </row>
    <row r="240" spans="1:30" ht="49.5" customHeight="1" hidden="1">
      <c r="A240" s="295">
        <v>15</v>
      </c>
      <c r="B240" s="515">
        <f t="shared" si="98"/>
        <v>0</v>
      </c>
      <c r="C240" s="636"/>
      <c r="D240" s="637"/>
      <c r="E240" s="638"/>
      <c r="AC240" s="445">
        <f>'ORÇAMENTO GERAL'!$J$93</f>
        <v>6414.67</v>
      </c>
      <c r="AD240" s="445">
        <f t="shared" si="99"/>
        <v>0</v>
      </c>
    </row>
    <row r="241" spans="1:30" ht="49.5" customHeight="1" hidden="1">
      <c r="A241" s="295">
        <v>16</v>
      </c>
      <c r="B241" s="515">
        <f t="shared" si="98"/>
        <v>0</v>
      </c>
      <c r="C241" s="636"/>
      <c r="D241" s="637"/>
      <c r="E241" s="638"/>
      <c r="AC241" s="445">
        <f>'ORÇAMENTO GERAL'!$J$93</f>
        <v>6414.67</v>
      </c>
      <c r="AD241" s="445">
        <f t="shared" si="99"/>
        <v>0</v>
      </c>
    </row>
    <row r="242" spans="1:30" ht="49.5" customHeight="1" hidden="1">
      <c r="A242" s="295">
        <v>17</v>
      </c>
      <c r="B242" s="515">
        <f t="shared" si="98"/>
        <v>0</v>
      </c>
      <c r="C242" s="636"/>
      <c r="D242" s="637"/>
      <c r="E242" s="638"/>
      <c r="AC242" s="445">
        <f>'ORÇAMENTO GERAL'!$J$93</f>
        <v>6414.67</v>
      </c>
      <c r="AD242" s="445">
        <f t="shared" si="99"/>
        <v>0</v>
      </c>
    </row>
    <row r="243" spans="1:30" ht="49.5" customHeight="1" hidden="1">
      <c r="A243" s="295">
        <v>18</v>
      </c>
      <c r="B243" s="515">
        <f t="shared" si="98"/>
        <v>0</v>
      </c>
      <c r="C243" s="636"/>
      <c r="D243" s="637"/>
      <c r="E243" s="638"/>
      <c r="AC243" s="445">
        <f>'ORÇAMENTO GERAL'!$J$93</f>
        <v>6414.67</v>
      </c>
      <c r="AD243" s="445">
        <f t="shared" si="99"/>
        <v>0</v>
      </c>
    </row>
    <row r="244" spans="1:30" ht="49.5" customHeight="1" hidden="1">
      <c r="A244" s="295">
        <v>19</v>
      </c>
      <c r="B244" s="515">
        <f t="shared" si="98"/>
        <v>0</v>
      </c>
      <c r="C244" s="636"/>
      <c r="D244" s="637"/>
      <c r="E244" s="638"/>
      <c r="AC244" s="445">
        <f>'ORÇAMENTO GERAL'!$J$93</f>
        <v>6414.67</v>
      </c>
      <c r="AD244" s="445">
        <f t="shared" si="99"/>
        <v>0</v>
      </c>
    </row>
    <row r="245" spans="1:30" ht="49.5" customHeight="1" hidden="1">
      <c r="A245" s="295">
        <v>20</v>
      </c>
      <c r="B245" s="515">
        <f t="shared" si="98"/>
        <v>0</v>
      </c>
      <c r="C245" s="636"/>
      <c r="D245" s="637"/>
      <c r="E245" s="638"/>
      <c r="AC245" s="445">
        <f>'ORÇAMENTO GERAL'!$J$93</f>
        <v>6414.67</v>
      </c>
      <c r="AD245" s="445">
        <f t="shared" si="99"/>
        <v>0</v>
      </c>
    </row>
    <row r="246" spans="1:5" ht="49.5" customHeight="1">
      <c r="A246" s="633" t="s">
        <v>24</v>
      </c>
      <c r="B246" s="633"/>
      <c r="C246" s="634">
        <f>SUM(C226:E245)</f>
        <v>5</v>
      </c>
      <c r="D246" s="634"/>
      <c r="E246" s="634"/>
    </row>
    <row r="247" ht="49.5" customHeight="1"/>
    <row r="248" spans="1:30" s="302" customFormat="1" ht="45" customHeight="1">
      <c r="A248" s="639" t="s">
        <v>492</v>
      </c>
      <c r="B248" s="639"/>
      <c r="C248" s="639"/>
      <c r="D248" s="639"/>
      <c r="E248" s="639"/>
      <c r="F248" s="320"/>
      <c r="G248" s="320"/>
      <c r="H248" s="320"/>
      <c r="AC248" s="670" t="str">
        <f>A248</f>
        <v>TAMPA PARA POÇOS DE VISITA</v>
      </c>
      <c r="AD248" s="671"/>
    </row>
    <row r="249" spans="1:30" ht="49.5" customHeight="1">
      <c r="A249" s="380" t="s">
        <v>7</v>
      </c>
      <c r="B249" s="380" t="s">
        <v>241</v>
      </c>
      <c r="C249" s="640" t="s">
        <v>244</v>
      </c>
      <c r="D249" s="640"/>
      <c r="E249" s="640"/>
      <c r="AC249" s="434" t="s">
        <v>556</v>
      </c>
      <c r="AD249" s="434" t="s">
        <v>24</v>
      </c>
    </row>
    <row r="250" spans="1:30" ht="49.5" customHeight="1" hidden="1">
      <c r="A250" s="380">
        <v>1</v>
      </c>
      <c r="B250" s="379" t="str">
        <f>B14</f>
        <v>TV. SÃO SEBASTIÃO</v>
      </c>
      <c r="C250" s="635">
        <f>C226</f>
        <v>0</v>
      </c>
      <c r="D250" s="635"/>
      <c r="E250" s="635"/>
      <c r="AC250" s="445">
        <f>'ORÇAMENTO GERAL'!$J$95</f>
        <v>116.5</v>
      </c>
      <c r="AD250" s="445">
        <f>C250*AC250</f>
        <v>0</v>
      </c>
    </row>
    <row r="251" spans="1:30" ht="49.5" customHeight="1">
      <c r="A251" s="380">
        <v>1</v>
      </c>
      <c r="B251" s="515" t="str">
        <f aca="true" t="shared" si="100" ref="B251:B269">B15</f>
        <v>RUA DO PORTO</v>
      </c>
      <c r="C251" s="635">
        <f aca="true" t="shared" si="101" ref="C251:C269">C227</f>
        <v>3</v>
      </c>
      <c r="D251" s="635"/>
      <c r="E251" s="635"/>
      <c r="AC251" s="445">
        <f>'ORÇAMENTO GERAL'!$J$95</f>
        <v>116.5</v>
      </c>
      <c r="AD251" s="445">
        <f aca="true" t="shared" si="102" ref="AD251:AD269">C251*AC251</f>
        <v>349.5</v>
      </c>
    </row>
    <row r="252" spans="1:30" ht="49.5" customHeight="1">
      <c r="A252" s="380">
        <v>2</v>
      </c>
      <c r="B252" s="515" t="str">
        <f t="shared" si="100"/>
        <v>RUA DO PORTO 2</v>
      </c>
      <c r="C252" s="635">
        <f t="shared" si="101"/>
        <v>2</v>
      </c>
      <c r="D252" s="635"/>
      <c r="E252" s="635"/>
      <c r="AC252" s="445">
        <f>'ORÇAMENTO GERAL'!$J$95</f>
        <v>116.5</v>
      </c>
      <c r="AD252" s="445">
        <f t="shared" si="102"/>
        <v>233</v>
      </c>
    </row>
    <row r="253" spans="1:30" ht="49.5" customHeight="1" hidden="1">
      <c r="A253" s="380">
        <v>3</v>
      </c>
      <c r="B253" s="515">
        <f t="shared" si="100"/>
        <v>0</v>
      </c>
      <c r="C253" s="635">
        <f t="shared" si="101"/>
        <v>0</v>
      </c>
      <c r="D253" s="635"/>
      <c r="E253" s="635"/>
      <c r="AC253" s="445">
        <f>'ORÇAMENTO GERAL'!$J$95</f>
        <v>116.5</v>
      </c>
      <c r="AD253" s="445">
        <f t="shared" si="102"/>
        <v>0</v>
      </c>
    </row>
    <row r="254" spans="1:30" ht="49.5" customHeight="1" hidden="1">
      <c r="A254" s="380">
        <v>5</v>
      </c>
      <c r="B254" s="515">
        <f t="shared" si="100"/>
        <v>0</v>
      </c>
      <c r="C254" s="635">
        <f t="shared" si="101"/>
        <v>0</v>
      </c>
      <c r="D254" s="635"/>
      <c r="E254" s="635"/>
      <c r="AC254" s="445">
        <f>'ORÇAMENTO GERAL'!$J$95</f>
        <v>116.5</v>
      </c>
      <c r="AD254" s="445">
        <f t="shared" si="102"/>
        <v>0</v>
      </c>
    </row>
    <row r="255" spans="1:30" ht="49.5" customHeight="1" hidden="1">
      <c r="A255" s="380">
        <v>6</v>
      </c>
      <c r="B255" s="515">
        <f t="shared" si="100"/>
        <v>0</v>
      </c>
      <c r="C255" s="635">
        <f t="shared" si="101"/>
        <v>0</v>
      </c>
      <c r="D255" s="635"/>
      <c r="E255" s="635"/>
      <c r="AC255" s="445">
        <f>'ORÇAMENTO GERAL'!$J$95</f>
        <v>116.5</v>
      </c>
      <c r="AD255" s="445">
        <f t="shared" si="102"/>
        <v>0</v>
      </c>
    </row>
    <row r="256" spans="1:30" ht="49.5" customHeight="1" hidden="1">
      <c r="A256" s="380">
        <v>7</v>
      </c>
      <c r="B256" s="515">
        <f t="shared" si="100"/>
        <v>0</v>
      </c>
      <c r="C256" s="635">
        <f t="shared" si="101"/>
        <v>0</v>
      </c>
      <c r="D256" s="635"/>
      <c r="E256" s="635"/>
      <c r="AC256" s="445">
        <f>'ORÇAMENTO GERAL'!$J$95</f>
        <v>116.5</v>
      </c>
      <c r="AD256" s="445">
        <f t="shared" si="102"/>
        <v>0</v>
      </c>
    </row>
    <row r="257" spans="1:30" ht="49.5" customHeight="1" hidden="1">
      <c r="A257" s="380">
        <v>8</v>
      </c>
      <c r="B257" s="515">
        <f t="shared" si="100"/>
        <v>0</v>
      </c>
      <c r="C257" s="635">
        <f t="shared" si="101"/>
        <v>0</v>
      </c>
      <c r="D257" s="635"/>
      <c r="E257" s="635"/>
      <c r="AC257" s="445">
        <f>'ORÇAMENTO GERAL'!$J$95</f>
        <v>116.5</v>
      </c>
      <c r="AD257" s="445">
        <f t="shared" si="102"/>
        <v>0</v>
      </c>
    </row>
    <row r="258" spans="1:30" ht="49.5" customHeight="1" hidden="1">
      <c r="A258" s="380">
        <v>9</v>
      </c>
      <c r="B258" s="515">
        <f t="shared" si="100"/>
        <v>0</v>
      </c>
      <c r="C258" s="635">
        <f t="shared" si="101"/>
        <v>0</v>
      </c>
      <c r="D258" s="635"/>
      <c r="E258" s="635"/>
      <c r="AC258" s="445">
        <f>'ORÇAMENTO GERAL'!$J$95</f>
        <v>116.5</v>
      </c>
      <c r="AD258" s="445">
        <f t="shared" si="102"/>
        <v>0</v>
      </c>
    </row>
    <row r="259" spans="1:30" ht="49.5" customHeight="1" hidden="1">
      <c r="A259" s="380">
        <v>10</v>
      </c>
      <c r="B259" s="515">
        <f t="shared" si="100"/>
        <v>0</v>
      </c>
      <c r="C259" s="635">
        <f t="shared" si="101"/>
        <v>0</v>
      </c>
      <c r="D259" s="635"/>
      <c r="E259" s="635"/>
      <c r="AC259" s="445">
        <f>'ORÇAMENTO GERAL'!$J$95</f>
        <v>116.5</v>
      </c>
      <c r="AD259" s="445">
        <f t="shared" si="102"/>
        <v>0</v>
      </c>
    </row>
    <row r="260" spans="1:30" ht="49.5" customHeight="1" hidden="1">
      <c r="A260" s="380">
        <v>11</v>
      </c>
      <c r="B260" s="515">
        <f t="shared" si="100"/>
        <v>0</v>
      </c>
      <c r="C260" s="635">
        <f t="shared" si="101"/>
        <v>0</v>
      </c>
      <c r="D260" s="635"/>
      <c r="E260" s="635"/>
      <c r="AC260" s="445">
        <f>'ORÇAMENTO GERAL'!$J$95</f>
        <v>116.5</v>
      </c>
      <c r="AD260" s="445">
        <f t="shared" si="102"/>
        <v>0</v>
      </c>
    </row>
    <row r="261" spans="1:30" ht="49.5" customHeight="1" hidden="1">
      <c r="A261" s="380">
        <v>12</v>
      </c>
      <c r="B261" s="515">
        <f t="shared" si="100"/>
        <v>0</v>
      </c>
      <c r="C261" s="635">
        <f t="shared" si="101"/>
        <v>0</v>
      </c>
      <c r="D261" s="635"/>
      <c r="E261" s="635"/>
      <c r="AC261" s="445">
        <f>'ORÇAMENTO GERAL'!$J$95</f>
        <v>116.5</v>
      </c>
      <c r="AD261" s="445">
        <f t="shared" si="102"/>
        <v>0</v>
      </c>
    </row>
    <row r="262" spans="1:30" ht="49.5" customHeight="1" hidden="1">
      <c r="A262" s="380">
        <v>13</v>
      </c>
      <c r="B262" s="515">
        <f t="shared" si="100"/>
        <v>0</v>
      </c>
      <c r="C262" s="635">
        <f t="shared" si="101"/>
        <v>0</v>
      </c>
      <c r="D262" s="635"/>
      <c r="E262" s="635"/>
      <c r="AC262" s="445">
        <f>'ORÇAMENTO GERAL'!$J$95</f>
        <v>116.5</v>
      </c>
      <c r="AD262" s="445">
        <f t="shared" si="102"/>
        <v>0</v>
      </c>
    </row>
    <row r="263" spans="1:30" ht="49.5" customHeight="1" hidden="1">
      <c r="A263" s="380">
        <v>14</v>
      </c>
      <c r="B263" s="515">
        <f t="shared" si="100"/>
        <v>0</v>
      </c>
      <c r="C263" s="635">
        <f t="shared" si="101"/>
        <v>0</v>
      </c>
      <c r="D263" s="635"/>
      <c r="E263" s="635"/>
      <c r="AC263" s="445">
        <f>'ORÇAMENTO GERAL'!$J$95</f>
        <v>116.5</v>
      </c>
      <c r="AD263" s="445">
        <f t="shared" si="102"/>
        <v>0</v>
      </c>
    </row>
    <row r="264" spans="1:30" ht="49.5" customHeight="1" hidden="1">
      <c r="A264" s="380">
        <v>15</v>
      </c>
      <c r="B264" s="515">
        <f t="shared" si="100"/>
        <v>0</v>
      </c>
      <c r="C264" s="635">
        <f t="shared" si="101"/>
        <v>0</v>
      </c>
      <c r="D264" s="635"/>
      <c r="E264" s="635"/>
      <c r="AC264" s="445">
        <f>'ORÇAMENTO GERAL'!$J$95</f>
        <v>116.5</v>
      </c>
      <c r="AD264" s="445">
        <f t="shared" si="102"/>
        <v>0</v>
      </c>
    </row>
    <row r="265" spans="1:30" ht="49.5" customHeight="1" hidden="1">
      <c r="A265" s="380">
        <v>16</v>
      </c>
      <c r="B265" s="515">
        <f t="shared" si="100"/>
        <v>0</v>
      </c>
      <c r="C265" s="635">
        <f t="shared" si="101"/>
        <v>0</v>
      </c>
      <c r="D265" s="635"/>
      <c r="E265" s="635"/>
      <c r="AC265" s="445">
        <f>'ORÇAMENTO GERAL'!$J$95</f>
        <v>116.5</v>
      </c>
      <c r="AD265" s="445">
        <f t="shared" si="102"/>
        <v>0</v>
      </c>
    </row>
    <row r="266" spans="1:30" ht="49.5" customHeight="1" hidden="1">
      <c r="A266" s="380">
        <v>17</v>
      </c>
      <c r="B266" s="515">
        <f t="shared" si="100"/>
        <v>0</v>
      </c>
      <c r="C266" s="635">
        <f t="shared" si="101"/>
        <v>0</v>
      </c>
      <c r="D266" s="635"/>
      <c r="E266" s="635"/>
      <c r="AC266" s="445">
        <f>'ORÇAMENTO GERAL'!$J$95</f>
        <v>116.5</v>
      </c>
      <c r="AD266" s="445">
        <f t="shared" si="102"/>
        <v>0</v>
      </c>
    </row>
    <row r="267" spans="1:30" ht="49.5" customHeight="1" hidden="1">
      <c r="A267" s="380">
        <v>18</v>
      </c>
      <c r="B267" s="515">
        <f t="shared" si="100"/>
        <v>0</v>
      </c>
      <c r="C267" s="635">
        <f t="shared" si="101"/>
        <v>0</v>
      </c>
      <c r="D267" s="635"/>
      <c r="E267" s="635"/>
      <c r="AC267" s="445">
        <f>'ORÇAMENTO GERAL'!$J$95</f>
        <v>116.5</v>
      </c>
      <c r="AD267" s="445">
        <f t="shared" si="102"/>
        <v>0</v>
      </c>
    </row>
    <row r="268" spans="1:30" ht="49.5" customHeight="1" hidden="1">
      <c r="A268" s="380">
        <v>19</v>
      </c>
      <c r="B268" s="515">
        <f t="shared" si="100"/>
        <v>0</v>
      </c>
      <c r="C268" s="635">
        <f t="shared" si="101"/>
        <v>0</v>
      </c>
      <c r="D268" s="635"/>
      <c r="E268" s="635"/>
      <c r="AC268" s="445">
        <f>'ORÇAMENTO GERAL'!$J$95</f>
        <v>116.5</v>
      </c>
      <c r="AD268" s="445">
        <f t="shared" si="102"/>
        <v>0</v>
      </c>
    </row>
    <row r="269" spans="1:30" ht="49.5" customHeight="1" hidden="1">
      <c r="A269" s="380">
        <v>20</v>
      </c>
      <c r="B269" s="515">
        <f t="shared" si="100"/>
        <v>0</v>
      </c>
      <c r="C269" s="635">
        <f t="shared" si="101"/>
        <v>0</v>
      </c>
      <c r="D269" s="635"/>
      <c r="E269" s="635"/>
      <c r="AC269" s="445">
        <f>'ORÇAMENTO GERAL'!$J$95</f>
        <v>116.5</v>
      </c>
      <c r="AD269" s="445">
        <f t="shared" si="102"/>
        <v>0</v>
      </c>
    </row>
    <row r="270" spans="1:5" ht="49.5" customHeight="1">
      <c r="A270" s="633" t="s">
        <v>24</v>
      </c>
      <c r="B270" s="633"/>
      <c r="C270" s="634">
        <f>SUM(C250:E269)</f>
        <v>5</v>
      </c>
      <c r="D270" s="634"/>
      <c r="E270" s="634"/>
    </row>
    <row r="271" ht="49.5" customHeight="1"/>
    <row r="272" spans="1:30" s="302" customFormat="1" ht="45" customHeight="1">
      <c r="A272" s="639" t="s">
        <v>544</v>
      </c>
      <c r="B272" s="639"/>
      <c r="C272" s="639"/>
      <c r="D272" s="639"/>
      <c r="E272" s="639"/>
      <c r="F272" s="320"/>
      <c r="G272" s="320"/>
      <c r="H272" s="320"/>
      <c r="AC272" s="670" t="str">
        <f>A272</f>
        <v>ALA DE LANÇAMENTO</v>
      </c>
      <c r="AD272" s="671"/>
    </row>
    <row r="273" spans="1:30" ht="49.5" customHeight="1">
      <c r="A273" s="435" t="s">
        <v>7</v>
      </c>
      <c r="B273" s="435" t="s">
        <v>241</v>
      </c>
      <c r="C273" s="640" t="s">
        <v>244</v>
      </c>
      <c r="D273" s="640"/>
      <c r="E273" s="640"/>
      <c r="AC273" s="434" t="s">
        <v>556</v>
      </c>
      <c r="AD273" s="434" t="s">
        <v>24</v>
      </c>
    </row>
    <row r="274" spans="1:30" ht="49.5" customHeight="1" hidden="1">
      <c r="A274" s="435">
        <v>1</v>
      </c>
      <c r="B274" s="434" t="str">
        <f>B14</f>
        <v>TV. SÃO SEBASTIÃO</v>
      </c>
      <c r="C274" s="636"/>
      <c r="D274" s="637"/>
      <c r="E274" s="638"/>
      <c r="AC274" s="445">
        <f>'ORÇAMENTO GERAL'!$J$97</f>
        <v>6414.67</v>
      </c>
      <c r="AD274" s="445">
        <f>C274*AC274</f>
        <v>0</v>
      </c>
    </row>
    <row r="275" spans="1:30" ht="49.5" customHeight="1">
      <c r="A275" s="435">
        <v>1</v>
      </c>
      <c r="B275" s="515" t="str">
        <f aca="true" t="shared" si="103" ref="B275:B293">B15</f>
        <v>RUA DO PORTO</v>
      </c>
      <c r="C275" s="636">
        <v>1</v>
      </c>
      <c r="D275" s="637"/>
      <c r="E275" s="638"/>
      <c r="AC275" s="445">
        <f>'ORÇAMENTO GERAL'!$J$97</f>
        <v>6414.67</v>
      </c>
      <c r="AD275" s="445">
        <f aca="true" t="shared" si="104" ref="AD275:AD293">C275*AC275</f>
        <v>6414.67</v>
      </c>
    </row>
    <row r="276" spans="1:30" ht="49.5" customHeight="1">
      <c r="A276" s="435">
        <v>2</v>
      </c>
      <c r="B276" s="515" t="str">
        <f t="shared" si="103"/>
        <v>RUA DO PORTO 2</v>
      </c>
      <c r="C276" s="636">
        <v>0</v>
      </c>
      <c r="D276" s="637"/>
      <c r="E276" s="638"/>
      <c r="AC276" s="445">
        <f>'ORÇAMENTO GERAL'!$J$97</f>
        <v>6414.67</v>
      </c>
      <c r="AD276" s="445">
        <f t="shared" si="104"/>
        <v>0</v>
      </c>
    </row>
    <row r="277" spans="1:30" ht="49.5" customHeight="1" hidden="1">
      <c r="A277" s="435">
        <v>3</v>
      </c>
      <c r="B277" s="515">
        <f t="shared" si="103"/>
        <v>0</v>
      </c>
      <c r="C277" s="636"/>
      <c r="D277" s="637"/>
      <c r="E277" s="638"/>
      <c r="AC277" s="445">
        <f>'ORÇAMENTO GERAL'!$J$97</f>
        <v>6414.67</v>
      </c>
      <c r="AD277" s="445">
        <f t="shared" si="104"/>
        <v>0</v>
      </c>
    </row>
    <row r="278" spans="1:30" ht="49.5" customHeight="1" hidden="1">
      <c r="A278" s="435">
        <v>5</v>
      </c>
      <c r="B278" s="515">
        <f t="shared" si="103"/>
        <v>0</v>
      </c>
      <c r="C278" s="636"/>
      <c r="D278" s="637"/>
      <c r="E278" s="638"/>
      <c r="AC278" s="445">
        <f>'ORÇAMENTO GERAL'!$J$97</f>
        <v>6414.67</v>
      </c>
      <c r="AD278" s="445">
        <f t="shared" si="104"/>
        <v>0</v>
      </c>
    </row>
    <row r="279" spans="1:30" ht="49.5" customHeight="1" hidden="1">
      <c r="A279" s="435">
        <v>6</v>
      </c>
      <c r="B279" s="515">
        <f t="shared" si="103"/>
        <v>0</v>
      </c>
      <c r="C279" s="636"/>
      <c r="D279" s="637"/>
      <c r="E279" s="638"/>
      <c r="AC279" s="445">
        <f>'ORÇAMENTO GERAL'!$J$97</f>
        <v>6414.67</v>
      </c>
      <c r="AD279" s="445">
        <f t="shared" si="104"/>
        <v>0</v>
      </c>
    </row>
    <row r="280" spans="1:30" ht="49.5" customHeight="1" hidden="1">
      <c r="A280" s="435">
        <v>7</v>
      </c>
      <c r="B280" s="515">
        <f t="shared" si="103"/>
        <v>0</v>
      </c>
      <c r="C280" s="636"/>
      <c r="D280" s="637"/>
      <c r="E280" s="638"/>
      <c r="AC280" s="445">
        <f>'ORÇAMENTO GERAL'!$J$97</f>
        <v>6414.67</v>
      </c>
      <c r="AD280" s="445">
        <f t="shared" si="104"/>
        <v>0</v>
      </c>
    </row>
    <row r="281" spans="1:30" ht="49.5" customHeight="1" hidden="1">
      <c r="A281" s="435">
        <v>8</v>
      </c>
      <c r="B281" s="515">
        <f t="shared" si="103"/>
        <v>0</v>
      </c>
      <c r="C281" s="636"/>
      <c r="D281" s="637"/>
      <c r="E281" s="638"/>
      <c r="AC281" s="445">
        <f>'ORÇAMENTO GERAL'!$J$97</f>
        <v>6414.67</v>
      </c>
      <c r="AD281" s="445">
        <f t="shared" si="104"/>
        <v>0</v>
      </c>
    </row>
    <row r="282" spans="1:30" ht="49.5" customHeight="1" hidden="1">
      <c r="A282" s="435">
        <v>9</v>
      </c>
      <c r="B282" s="515">
        <f t="shared" si="103"/>
        <v>0</v>
      </c>
      <c r="C282" s="636"/>
      <c r="D282" s="637"/>
      <c r="E282" s="638"/>
      <c r="AC282" s="445">
        <f>'ORÇAMENTO GERAL'!$J$97</f>
        <v>6414.67</v>
      </c>
      <c r="AD282" s="445">
        <f t="shared" si="104"/>
        <v>0</v>
      </c>
    </row>
    <row r="283" spans="1:30" ht="49.5" customHeight="1" hidden="1">
      <c r="A283" s="435">
        <v>10</v>
      </c>
      <c r="B283" s="515">
        <f t="shared" si="103"/>
        <v>0</v>
      </c>
      <c r="C283" s="636"/>
      <c r="D283" s="637"/>
      <c r="E283" s="638"/>
      <c r="AC283" s="445">
        <f>'ORÇAMENTO GERAL'!$J$97</f>
        <v>6414.67</v>
      </c>
      <c r="AD283" s="445">
        <f t="shared" si="104"/>
        <v>0</v>
      </c>
    </row>
    <row r="284" spans="1:30" ht="49.5" customHeight="1" hidden="1">
      <c r="A284" s="435">
        <v>11</v>
      </c>
      <c r="B284" s="515">
        <f t="shared" si="103"/>
        <v>0</v>
      </c>
      <c r="C284" s="636"/>
      <c r="D284" s="637"/>
      <c r="E284" s="638"/>
      <c r="AC284" s="445">
        <f>'ORÇAMENTO GERAL'!$J$97</f>
        <v>6414.67</v>
      </c>
      <c r="AD284" s="445">
        <f t="shared" si="104"/>
        <v>0</v>
      </c>
    </row>
    <row r="285" spans="1:30" ht="49.5" customHeight="1" hidden="1">
      <c r="A285" s="435">
        <v>12</v>
      </c>
      <c r="B285" s="515">
        <f t="shared" si="103"/>
        <v>0</v>
      </c>
      <c r="C285" s="636"/>
      <c r="D285" s="637"/>
      <c r="E285" s="638"/>
      <c r="AC285" s="445">
        <f>'ORÇAMENTO GERAL'!$J$97</f>
        <v>6414.67</v>
      </c>
      <c r="AD285" s="445">
        <f t="shared" si="104"/>
        <v>0</v>
      </c>
    </row>
    <row r="286" spans="1:30" ht="49.5" customHeight="1" hidden="1">
      <c r="A286" s="435">
        <v>13</v>
      </c>
      <c r="B286" s="515">
        <f t="shared" si="103"/>
        <v>0</v>
      </c>
      <c r="C286" s="636"/>
      <c r="D286" s="637"/>
      <c r="E286" s="638"/>
      <c r="AC286" s="445">
        <f>'ORÇAMENTO GERAL'!$J$97</f>
        <v>6414.67</v>
      </c>
      <c r="AD286" s="445">
        <f t="shared" si="104"/>
        <v>0</v>
      </c>
    </row>
    <row r="287" spans="1:30" ht="49.5" customHeight="1" hidden="1">
      <c r="A287" s="435">
        <v>14</v>
      </c>
      <c r="B287" s="515">
        <f t="shared" si="103"/>
        <v>0</v>
      </c>
      <c r="C287" s="636"/>
      <c r="D287" s="637"/>
      <c r="E287" s="638"/>
      <c r="AC287" s="445">
        <f>'ORÇAMENTO GERAL'!$J$97</f>
        <v>6414.67</v>
      </c>
      <c r="AD287" s="445">
        <f t="shared" si="104"/>
        <v>0</v>
      </c>
    </row>
    <row r="288" spans="1:30" ht="49.5" customHeight="1" hidden="1">
      <c r="A288" s="435">
        <v>15</v>
      </c>
      <c r="B288" s="515">
        <f t="shared" si="103"/>
        <v>0</v>
      </c>
      <c r="C288" s="636"/>
      <c r="D288" s="637"/>
      <c r="E288" s="638"/>
      <c r="AC288" s="445">
        <f>'ORÇAMENTO GERAL'!$J$97</f>
        <v>6414.67</v>
      </c>
      <c r="AD288" s="445">
        <f t="shared" si="104"/>
        <v>0</v>
      </c>
    </row>
    <row r="289" spans="1:30" ht="49.5" customHeight="1" hidden="1">
      <c r="A289" s="435">
        <v>16</v>
      </c>
      <c r="B289" s="515">
        <f t="shared" si="103"/>
        <v>0</v>
      </c>
      <c r="C289" s="636"/>
      <c r="D289" s="637"/>
      <c r="E289" s="638"/>
      <c r="AC289" s="445">
        <f>'ORÇAMENTO GERAL'!$J$97</f>
        <v>6414.67</v>
      </c>
      <c r="AD289" s="445">
        <f t="shared" si="104"/>
        <v>0</v>
      </c>
    </row>
    <row r="290" spans="1:30" ht="49.5" customHeight="1" hidden="1">
      <c r="A290" s="435">
        <v>17</v>
      </c>
      <c r="B290" s="515">
        <f t="shared" si="103"/>
        <v>0</v>
      </c>
      <c r="C290" s="636"/>
      <c r="D290" s="637"/>
      <c r="E290" s="638"/>
      <c r="AC290" s="445">
        <f>'ORÇAMENTO GERAL'!$J$97</f>
        <v>6414.67</v>
      </c>
      <c r="AD290" s="445">
        <f t="shared" si="104"/>
        <v>0</v>
      </c>
    </row>
    <row r="291" spans="1:30" ht="49.5" customHeight="1" hidden="1">
      <c r="A291" s="435">
        <v>18</v>
      </c>
      <c r="B291" s="515">
        <f t="shared" si="103"/>
        <v>0</v>
      </c>
      <c r="C291" s="636"/>
      <c r="D291" s="637"/>
      <c r="E291" s="638"/>
      <c r="AC291" s="445">
        <f>'ORÇAMENTO GERAL'!$J$97</f>
        <v>6414.67</v>
      </c>
      <c r="AD291" s="445">
        <f t="shared" si="104"/>
        <v>0</v>
      </c>
    </row>
    <row r="292" spans="1:30" ht="49.5" customHeight="1" hidden="1">
      <c r="A292" s="435">
        <v>19</v>
      </c>
      <c r="B292" s="515">
        <f t="shared" si="103"/>
        <v>0</v>
      </c>
      <c r="C292" s="636"/>
      <c r="D292" s="637"/>
      <c r="E292" s="638"/>
      <c r="AC292" s="445">
        <f>'ORÇAMENTO GERAL'!$J$97</f>
        <v>6414.67</v>
      </c>
      <c r="AD292" s="445">
        <f t="shared" si="104"/>
        <v>0</v>
      </c>
    </row>
    <row r="293" spans="1:30" ht="49.5" customHeight="1" hidden="1">
      <c r="A293" s="435">
        <v>20</v>
      </c>
      <c r="B293" s="515">
        <f t="shared" si="103"/>
        <v>0</v>
      </c>
      <c r="C293" s="636"/>
      <c r="D293" s="637"/>
      <c r="E293" s="638"/>
      <c r="AC293" s="445">
        <f>'ORÇAMENTO GERAL'!$J$97</f>
        <v>6414.67</v>
      </c>
      <c r="AD293" s="445">
        <f t="shared" si="104"/>
        <v>0</v>
      </c>
    </row>
    <row r="294" spans="1:5" ht="49.5" customHeight="1">
      <c r="A294" s="633" t="s">
        <v>24</v>
      </c>
      <c r="B294" s="633"/>
      <c r="C294" s="634">
        <f>SUM(C274:E293)</f>
        <v>1</v>
      </c>
      <c r="D294" s="634"/>
      <c r="E294" s="634"/>
    </row>
    <row r="295" ht="49.5" customHeight="1"/>
    <row r="296" ht="49.5" customHeight="1"/>
    <row r="297" ht="49.5" customHeight="1"/>
    <row r="298" ht="49.5" customHeight="1"/>
    <row r="299" ht="49.5" customHeight="1"/>
    <row r="300" ht="49.5" customHeight="1"/>
    <row r="301" ht="49.5" customHeight="1"/>
    <row r="302" ht="49.5" customHeight="1"/>
  </sheetData>
  <sheetProtection/>
  <mergeCells count="226">
    <mergeCell ref="O121:O122"/>
    <mergeCell ref="A93:A97"/>
    <mergeCell ref="B93:B97"/>
    <mergeCell ref="N149:N151"/>
    <mergeCell ref="O149:O150"/>
    <mergeCell ref="P149:P150"/>
    <mergeCell ref="M149:M151"/>
    <mergeCell ref="F93:I94"/>
    <mergeCell ref="L93:L95"/>
    <mergeCell ref="A118:B118"/>
    <mergeCell ref="N93:N95"/>
    <mergeCell ref="O93:O94"/>
    <mergeCell ref="P93:P94"/>
    <mergeCell ref="N9:N11"/>
    <mergeCell ref="O9:O10"/>
    <mergeCell ref="P9:P10"/>
    <mergeCell ref="N37:N39"/>
    <mergeCell ref="O37:O38"/>
    <mergeCell ref="AC200:AD200"/>
    <mergeCell ref="AC224:AD224"/>
    <mergeCell ref="T12:AD12"/>
    <mergeCell ref="T40:AD40"/>
    <mergeCell ref="T68:AD68"/>
    <mergeCell ref="AC248:AD248"/>
    <mergeCell ref="T96:AD96"/>
    <mergeCell ref="T124:AD124"/>
    <mergeCell ref="T152:AD152"/>
    <mergeCell ref="AC176:AD176"/>
    <mergeCell ref="AC272:AD272"/>
    <mergeCell ref="C289:E289"/>
    <mergeCell ref="C283:E283"/>
    <mergeCell ref="C284:E284"/>
    <mergeCell ref="C285:E285"/>
    <mergeCell ref="C286:E286"/>
    <mergeCell ref="C287:E287"/>
    <mergeCell ref="C288:E288"/>
    <mergeCell ref="C277:E277"/>
    <mergeCell ref="C278:E278"/>
    <mergeCell ref="C290:E290"/>
    <mergeCell ref="C291:E291"/>
    <mergeCell ref="C292:E292"/>
    <mergeCell ref="C293:E293"/>
    <mergeCell ref="A294:B294"/>
    <mergeCell ref="C294:E294"/>
    <mergeCell ref="C279:E279"/>
    <mergeCell ref="C280:E280"/>
    <mergeCell ref="C281:E281"/>
    <mergeCell ref="C282:E282"/>
    <mergeCell ref="C273:E273"/>
    <mergeCell ref="C274:E274"/>
    <mergeCell ref="C275:E275"/>
    <mergeCell ref="C276:E276"/>
    <mergeCell ref="M93:M95"/>
    <mergeCell ref="M121:M123"/>
    <mergeCell ref="J121:J123"/>
    <mergeCell ref="A92:R92"/>
    <mergeCell ref="J93:J95"/>
    <mergeCell ref="L37:L39"/>
    <mergeCell ref="A120:R120"/>
    <mergeCell ref="P37:P38"/>
    <mergeCell ref="A121:A125"/>
    <mergeCell ref="N65:N67"/>
    <mergeCell ref="A272:E272"/>
    <mergeCell ref="C229:E229"/>
    <mergeCell ref="C230:E230"/>
    <mergeCell ref="C231:E231"/>
    <mergeCell ref="C232:E232"/>
    <mergeCell ref="C233:E233"/>
    <mergeCell ref="C244:E244"/>
    <mergeCell ref="C238:E238"/>
    <mergeCell ref="C239:E239"/>
    <mergeCell ref="C234:E234"/>
    <mergeCell ref="C204:E204"/>
    <mergeCell ref="C205:E205"/>
    <mergeCell ref="C208:E208"/>
    <mergeCell ref="C209:E209"/>
    <mergeCell ref="A224:E224"/>
    <mergeCell ref="J149:J151"/>
    <mergeCell ref="A198:B198"/>
    <mergeCell ref="C198:E198"/>
    <mergeCell ref="C195:E195"/>
    <mergeCell ref="C184:E184"/>
    <mergeCell ref="C236:E236"/>
    <mergeCell ref="C228:E228"/>
    <mergeCell ref="C201:E201"/>
    <mergeCell ref="C202:E202"/>
    <mergeCell ref="C206:E206"/>
    <mergeCell ref="C207:E207"/>
    <mergeCell ref="C225:E225"/>
    <mergeCell ref="C211:E211"/>
    <mergeCell ref="C212:E212"/>
    <mergeCell ref="C213:E213"/>
    <mergeCell ref="C242:E242"/>
    <mergeCell ref="C210:E210"/>
    <mergeCell ref="C227:E227"/>
    <mergeCell ref="C226:E226"/>
    <mergeCell ref="C203:E203"/>
    <mergeCell ref="C190:E190"/>
    <mergeCell ref="C191:E191"/>
    <mergeCell ref="C192:E192"/>
    <mergeCell ref="C193:E193"/>
    <mergeCell ref="C196:E196"/>
    <mergeCell ref="C186:E186"/>
    <mergeCell ref="C187:E187"/>
    <mergeCell ref="C188:E188"/>
    <mergeCell ref="C189:E189"/>
    <mergeCell ref="C194:E194"/>
    <mergeCell ref="C182:E182"/>
    <mergeCell ref="C183:E183"/>
    <mergeCell ref="C93:E94"/>
    <mergeCell ref="K93:K95"/>
    <mergeCell ref="A65:A69"/>
    <mergeCell ref="R37:R39"/>
    <mergeCell ref="A37:A41"/>
    <mergeCell ref="B37:B41"/>
    <mergeCell ref="R93:R95"/>
    <mergeCell ref="A62:B62"/>
    <mergeCell ref="L65:L67"/>
    <mergeCell ref="M37:M39"/>
    <mergeCell ref="A90:B90"/>
    <mergeCell ref="A34:B34"/>
    <mergeCell ref="K65:K67"/>
    <mergeCell ref="Q65:Q67"/>
    <mergeCell ref="C37:E38"/>
    <mergeCell ref="J37:J39"/>
    <mergeCell ref="M65:M67"/>
    <mergeCell ref="A36:R36"/>
    <mergeCell ref="F37:I38"/>
    <mergeCell ref="K37:K39"/>
    <mergeCell ref="B65:B69"/>
    <mergeCell ref="A64:R64"/>
    <mergeCell ref="J65:J67"/>
    <mergeCell ref="F65:I66"/>
    <mergeCell ref="C65:E66"/>
    <mergeCell ref="Q37:Q39"/>
    <mergeCell ref="O65:O66"/>
    <mergeCell ref="P65:P66"/>
    <mergeCell ref="B9:B13"/>
    <mergeCell ref="C9:E10"/>
    <mergeCell ref="F9:I10"/>
    <mergeCell ref="Q9:Q11"/>
    <mergeCell ref="R9:R11"/>
    <mergeCell ref="K9:K11"/>
    <mergeCell ref="L9:L11"/>
    <mergeCell ref="M9:M11"/>
    <mergeCell ref="A2:R2"/>
    <mergeCell ref="A3:R3"/>
    <mergeCell ref="A4:R4"/>
    <mergeCell ref="A6:R6"/>
    <mergeCell ref="A8:R8"/>
    <mergeCell ref="Q93:Q95"/>
    <mergeCell ref="J9:J11"/>
    <mergeCell ref="A7:R7"/>
    <mergeCell ref="A9:A13"/>
    <mergeCell ref="R65:R67"/>
    <mergeCell ref="K121:K123"/>
    <mergeCell ref="Q121:Q123"/>
    <mergeCell ref="R121:R123"/>
    <mergeCell ref="A146:B146"/>
    <mergeCell ref="B121:B125"/>
    <mergeCell ref="C121:E122"/>
    <mergeCell ref="F121:I122"/>
    <mergeCell ref="L121:L123"/>
    <mergeCell ref="P121:P122"/>
    <mergeCell ref="N121:N123"/>
    <mergeCell ref="A148:R148"/>
    <mergeCell ref="A149:A153"/>
    <mergeCell ref="B149:B153"/>
    <mergeCell ref="C149:E150"/>
    <mergeCell ref="F149:I150"/>
    <mergeCell ref="L149:L151"/>
    <mergeCell ref="Q149:Q151"/>
    <mergeCell ref="R149:R151"/>
    <mergeCell ref="K149:K151"/>
    <mergeCell ref="A174:B174"/>
    <mergeCell ref="A200:E200"/>
    <mergeCell ref="A176:E176"/>
    <mergeCell ref="C178:E178"/>
    <mergeCell ref="C179:E179"/>
    <mergeCell ref="C185:E185"/>
    <mergeCell ref="C180:E180"/>
    <mergeCell ref="C181:E181"/>
    <mergeCell ref="C197:E197"/>
    <mergeCell ref="C177:E177"/>
    <mergeCell ref="C214:E214"/>
    <mergeCell ref="C215:E215"/>
    <mergeCell ref="C216:E216"/>
    <mergeCell ref="C217:E217"/>
    <mergeCell ref="C218:E218"/>
    <mergeCell ref="C219:E219"/>
    <mergeCell ref="C220:E220"/>
    <mergeCell ref="C221:E221"/>
    <mergeCell ref="A222:B222"/>
    <mergeCell ref="C222:E222"/>
    <mergeCell ref="A248:E248"/>
    <mergeCell ref="C249:E249"/>
    <mergeCell ref="C240:E240"/>
    <mergeCell ref="C241:E241"/>
    <mergeCell ref="C237:E237"/>
    <mergeCell ref="C235:E235"/>
    <mergeCell ref="C245:E245"/>
    <mergeCell ref="A246:B246"/>
    <mergeCell ref="C246:E246"/>
    <mergeCell ref="C243:E243"/>
    <mergeCell ref="C250:E250"/>
    <mergeCell ref="C251:E251"/>
    <mergeCell ref="C252:E252"/>
    <mergeCell ref="C253:E253"/>
    <mergeCell ref="C254:E254"/>
    <mergeCell ref="C255:E255"/>
    <mergeCell ref="C256:E256"/>
    <mergeCell ref="C257:E257"/>
    <mergeCell ref="C258:E258"/>
    <mergeCell ref="C259:E259"/>
    <mergeCell ref="C260:E260"/>
    <mergeCell ref="C261:E261"/>
    <mergeCell ref="C268:E268"/>
    <mergeCell ref="C269:E269"/>
    <mergeCell ref="A270:B270"/>
    <mergeCell ref="C270:E270"/>
    <mergeCell ref="C262:E262"/>
    <mergeCell ref="C263:E263"/>
    <mergeCell ref="C264:E264"/>
    <mergeCell ref="C265:E265"/>
    <mergeCell ref="C266:E266"/>
    <mergeCell ref="C267:E267"/>
  </mergeCells>
  <conditionalFormatting sqref="A34 S31:S34 S62 S90 S118 S146 S174 R14:S14 S15 L14:L33 N14:O33 R15:R33 B14:I33 C34:R34">
    <cfRule type="cellIs" priority="592" dxfId="28" operator="equal" stopIfTrue="1">
      <formula>0</formula>
    </cfRule>
  </conditionalFormatting>
  <conditionalFormatting sqref="A34 S31:S34 S62 S90 S118 S146 S174 R14:S14 S15 L14:L33 N14:O33 R15:R33 B14:I33 C34:R34">
    <cfRule type="cellIs" priority="591" dxfId="0" operator="equal">
      <formula>0</formula>
    </cfRule>
  </conditionalFormatting>
  <conditionalFormatting sqref="A14:A33">
    <cfRule type="cellIs" priority="589" dxfId="0" operator="equal">
      <formula>0</formula>
    </cfRule>
    <cfRule type="cellIs" priority="590" dxfId="111" operator="equal">
      <formula>0</formula>
    </cfRule>
  </conditionalFormatting>
  <conditionalFormatting sqref="S56:S59 S61 S42:S43 F42:H61 C62:R62">
    <cfRule type="cellIs" priority="558" dxfId="28" operator="equal" stopIfTrue="1">
      <formula>0</formula>
    </cfRule>
  </conditionalFormatting>
  <conditionalFormatting sqref="S56:S59 S61 S42:S43 F42:H61 C62:R62">
    <cfRule type="cellIs" priority="557" dxfId="0" operator="equal">
      <formula>0</formula>
    </cfRule>
  </conditionalFormatting>
  <conditionalFormatting sqref="S89 S70:S72 F70:H89 C90:R90">
    <cfRule type="cellIs" priority="536" dxfId="28" operator="equal" stopIfTrue="1">
      <formula>0</formula>
    </cfRule>
  </conditionalFormatting>
  <conditionalFormatting sqref="S89 S70:S72 F70:H89 C90:R90">
    <cfRule type="cellIs" priority="535" dxfId="0" operator="equal">
      <formula>0</formula>
    </cfRule>
  </conditionalFormatting>
  <conditionalFormatting sqref="S98:S103 F98:H117 C118:R118">
    <cfRule type="cellIs" priority="514" dxfId="28" operator="equal" stopIfTrue="1">
      <formula>0</formula>
    </cfRule>
  </conditionalFormatting>
  <conditionalFormatting sqref="S98:S103 F98:H117 C118:R118">
    <cfRule type="cellIs" priority="513" dxfId="0" operator="equal">
      <formula>0</formula>
    </cfRule>
  </conditionalFormatting>
  <conditionalFormatting sqref="A42:A59 A61">
    <cfRule type="cellIs" priority="467" dxfId="0" operator="equal">
      <formula>0</formula>
    </cfRule>
    <cfRule type="cellIs" priority="468" dxfId="111" operator="equal">
      <formula>0</formula>
    </cfRule>
  </conditionalFormatting>
  <conditionalFormatting sqref="C98:C117 E98:E117">
    <cfRule type="cellIs" priority="476" dxfId="28" operator="equal" stopIfTrue="1">
      <formula>0</formula>
    </cfRule>
  </conditionalFormatting>
  <conditionalFormatting sqref="C98:C117 E98:E117">
    <cfRule type="cellIs" priority="475" dxfId="0" operator="equal">
      <formula>0</formula>
    </cfRule>
  </conditionalFormatting>
  <conditionalFormatting sqref="C42:E61">
    <cfRule type="cellIs" priority="480" dxfId="28" operator="equal" stopIfTrue="1">
      <formula>0</formula>
    </cfRule>
  </conditionalFormatting>
  <conditionalFormatting sqref="C42:E61">
    <cfRule type="cellIs" priority="479" dxfId="0" operator="equal">
      <formula>0</formula>
    </cfRule>
  </conditionalFormatting>
  <conditionalFormatting sqref="C70:C89 E70:E89">
    <cfRule type="cellIs" priority="478" dxfId="28" operator="equal" stopIfTrue="1">
      <formula>0</formula>
    </cfRule>
  </conditionalFormatting>
  <conditionalFormatting sqref="C70:C89 E70:E89">
    <cfRule type="cellIs" priority="477" dxfId="0" operator="equal">
      <formula>0</formula>
    </cfRule>
  </conditionalFormatting>
  <conditionalFormatting sqref="A62 B42:B61">
    <cfRule type="cellIs" priority="470" dxfId="28" operator="equal" stopIfTrue="1">
      <formula>0</formula>
    </cfRule>
  </conditionalFormatting>
  <conditionalFormatting sqref="A62 B42:B61">
    <cfRule type="cellIs" priority="469" dxfId="0" operator="equal">
      <formula>0</formula>
    </cfRule>
  </conditionalFormatting>
  <conditionalFormatting sqref="A90 B70:B89">
    <cfRule type="cellIs" priority="462" dxfId="28" operator="equal" stopIfTrue="1">
      <formula>0</formula>
    </cfRule>
  </conditionalFormatting>
  <conditionalFormatting sqref="A90 B70:B89">
    <cfRule type="cellIs" priority="461" dxfId="0" operator="equal">
      <formula>0</formula>
    </cfRule>
  </conditionalFormatting>
  <conditionalFormatting sqref="A70:A89">
    <cfRule type="cellIs" priority="459" dxfId="0" operator="equal">
      <formula>0</formula>
    </cfRule>
    <cfRule type="cellIs" priority="460" dxfId="111" operator="equal">
      <formula>0</formula>
    </cfRule>
  </conditionalFormatting>
  <conditionalFormatting sqref="A118 B98:B117">
    <cfRule type="cellIs" priority="454" dxfId="28" operator="equal" stopIfTrue="1">
      <formula>0</formula>
    </cfRule>
  </conditionalFormatting>
  <conditionalFormatting sqref="A118 B98:B117">
    <cfRule type="cellIs" priority="453" dxfId="0" operator="equal">
      <formula>0</formula>
    </cfRule>
  </conditionalFormatting>
  <conditionalFormatting sqref="A98:A117">
    <cfRule type="cellIs" priority="451" dxfId="0" operator="equal">
      <formula>0</formula>
    </cfRule>
    <cfRule type="cellIs" priority="452" dxfId="111" operator="equal">
      <formula>0</formula>
    </cfRule>
  </conditionalFormatting>
  <conditionalFormatting sqref="S16:S20">
    <cfRule type="cellIs" priority="446" dxfId="28" operator="equal" stopIfTrue="1">
      <formula>0</formula>
    </cfRule>
  </conditionalFormatting>
  <conditionalFormatting sqref="S16:S20">
    <cfRule type="cellIs" priority="445" dxfId="0" operator="equal">
      <formula>0</formula>
    </cfRule>
  </conditionalFormatting>
  <conditionalFormatting sqref="S21:S24 S30">
    <cfRule type="cellIs" priority="440" dxfId="28" operator="equal" stopIfTrue="1">
      <formula>0</formula>
    </cfRule>
  </conditionalFormatting>
  <conditionalFormatting sqref="S21:S24 S30">
    <cfRule type="cellIs" priority="439" dxfId="0" operator="equal">
      <formula>0</formula>
    </cfRule>
  </conditionalFormatting>
  <conditionalFormatting sqref="S26:S29">
    <cfRule type="cellIs" priority="434" dxfId="28" operator="equal" stopIfTrue="1">
      <formula>0</formula>
    </cfRule>
  </conditionalFormatting>
  <conditionalFormatting sqref="S26:S29">
    <cfRule type="cellIs" priority="433" dxfId="0" operator="equal">
      <formula>0</formula>
    </cfRule>
  </conditionalFormatting>
  <conditionalFormatting sqref="S25">
    <cfRule type="cellIs" priority="428" dxfId="28" operator="equal" stopIfTrue="1">
      <formula>0</formula>
    </cfRule>
  </conditionalFormatting>
  <conditionalFormatting sqref="S25">
    <cfRule type="cellIs" priority="427" dxfId="0" operator="equal">
      <formula>0</formula>
    </cfRule>
  </conditionalFormatting>
  <conditionalFormatting sqref="S52:S55">
    <cfRule type="cellIs" priority="424" dxfId="28" operator="equal" stopIfTrue="1">
      <formula>0</formula>
    </cfRule>
  </conditionalFormatting>
  <conditionalFormatting sqref="S52:S55">
    <cfRule type="cellIs" priority="423" dxfId="0" operator="equal">
      <formula>0</formula>
    </cfRule>
  </conditionalFormatting>
  <conditionalFormatting sqref="A60">
    <cfRule type="cellIs" priority="385" dxfId="0" operator="equal">
      <formula>0</formula>
    </cfRule>
    <cfRule type="cellIs" priority="386" dxfId="111" operator="equal">
      <formula>0</formula>
    </cfRule>
  </conditionalFormatting>
  <conditionalFormatting sqref="S48:S51">
    <cfRule type="cellIs" priority="414" dxfId="28" operator="equal" stopIfTrue="1">
      <formula>0</formula>
    </cfRule>
  </conditionalFormatting>
  <conditionalFormatting sqref="S48:S51">
    <cfRule type="cellIs" priority="413" dxfId="0" operator="equal">
      <formula>0</formula>
    </cfRule>
  </conditionalFormatting>
  <conditionalFormatting sqref="S44:S47">
    <cfRule type="cellIs" priority="404" dxfId="28" operator="equal" stopIfTrue="1">
      <formula>0</formula>
    </cfRule>
  </conditionalFormatting>
  <conditionalFormatting sqref="S44:S47">
    <cfRule type="cellIs" priority="403" dxfId="0" operator="equal">
      <formula>0</formula>
    </cfRule>
  </conditionalFormatting>
  <conditionalFormatting sqref="S60">
    <cfRule type="cellIs" priority="394" dxfId="28" operator="equal" stopIfTrue="1">
      <formula>0</formula>
    </cfRule>
  </conditionalFormatting>
  <conditionalFormatting sqref="S60">
    <cfRule type="cellIs" priority="393" dxfId="0" operator="equal">
      <formula>0</formula>
    </cfRule>
  </conditionalFormatting>
  <conditionalFormatting sqref="S85:S88">
    <cfRule type="cellIs" priority="384" dxfId="28" operator="equal" stopIfTrue="1">
      <formula>0</formula>
    </cfRule>
  </conditionalFormatting>
  <conditionalFormatting sqref="S85:S88">
    <cfRule type="cellIs" priority="383" dxfId="0" operator="equal">
      <formula>0</formula>
    </cfRule>
  </conditionalFormatting>
  <conditionalFormatting sqref="S81:S84">
    <cfRule type="cellIs" priority="374" dxfId="28" operator="equal" stopIfTrue="1">
      <formula>0</formula>
    </cfRule>
  </conditionalFormatting>
  <conditionalFormatting sqref="S81:S84">
    <cfRule type="cellIs" priority="373" dxfId="0" operator="equal">
      <formula>0</formula>
    </cfRule>
  </conditionalFormatting>
  <conditionalFormatting sqref="S77:S80">
    <cfRule type="cellIs" priority="364" dxfId="28" operator="equal" stopIfTrue="1">
      <formula>0</formula>
    </cfRule>
  </conditionalFormatting>
  <conditionalFormatting sqref="S77:S80">
    <cfRule type="cellIs" priority="363" dxfId="0" operator="equal">
      <formula>0</formula>
    </cfRule>
  </conditionalFormatting>
  <conditionalFormatting sqref="S73:S76">
    <cfRule type="cellIs" priority="354" dxfId="28" operator="equal" stopIfTrue="1">
      <formula>0</formula>
    </cfRule>
  </conditionalFormatting>
  <conditionalFormatting sqref="S73:S76">
    <cfRule type="cellIs" priority="353" dxfId="0" operator="equal">
      <formula>0</formula>
    </cfRule>
  </conditionalFormatting>
  <conditionalFormatting sqref="S104:S108">
    <cfRule type="cellIs" priority="344" dxfId="28" operator="equal" stopIfTrue="1">
      <formula>0</formula>
    </cfRule>
  </conditionalFormatting>
  <conditionalFormatting sqref="S104:S108">
    <cfRule type="cellIs" priority="343" dxfId="0" operator="equal">
      <formula>0</formula>
    </cfRule>
  </conditionalFormatting>
  <conditionalFormatting sqref="S114:S117">
    <cfRule type="cellIs" priority="334" dxfId="28" operator="equal" stopIfTrue="1">
      <formula>0</formula>
    </cfRule>
  </conditionalFormatting>
  <conditionalFormatting sqref="S114:S117">
    <cfRule type="cellIs" priority="333" dxfId="0" operator="equal">
      <formula>0</formula>
    </cfRule>
  </conditionalFormatting>
  <conditionalFormatting sqref="S109:S113">
    <cfRule type="cellIs" priority="324" dxfId="28" operator="equal" stopIfTrue="1">
      <formula>0</formula>
    </cfRule>
  </conditionalFormatting>
  <conditionalFormatting sqref="S109:S113">
    <cfRule type="cellIs" priority="323" dxfId="0" operator="equal">
      <formula>0</formula>
    </cfRule>
  </conditionalFormatting>
  <conditionalFormatting sqref="S126:S131 F126:H145 C146:R146">
    <cfRule type="cellIs" priority="308" dxfId="28" operator="equal" stopIfTrue="1">
      <formula>0</formula>
    </cfRule>
  </conditionalFormatting>
  <conditionalFormatting sqref="S126:S131 F126:H145 C146:R146">
    <cfRule type="cellIs" priority="307" dxfId="0" operator="equal">
      <formula>0</formula>
    </cfRule>
  </conditionalFormatting>
  <conditionalFormatting sqref="C126:C145 E126:E145">
    <cfRule type="cellIs" priority="304" dxfId="28" operator="equal" stopIfTrue="1">
      <formula>0</formula>
    </cfRule>
  </conditionalFormatting>
  <conditionalFormatting sqref="C126:C145 E126:E145">
    <cfRule type="cellIs" priority="303" dxfId="0" operator="equal">
      <formula>0</formula>
    </cfRule>
  </conditionalFormatting>
  <conditionalFormatting sqref="A146 B126:B145">
    <cfRule type="cellIs" priority="302" dxfId="28" operator="equal" stopIfTrue="1">
      <formula>0</formula>
    </cfRule>
  </conditionalFormatting>
  <conditionalFormatting sqref="A146 B126:B145">
    <cfRule type="cellIs" priority="301" dxfId="0" operator="equal">
      <formula>0</formula>
    </cfRule>
  </conditionalFormatting>
  <conditionalFormatting sqref="A126:A145">
    <cfRule type="cellIs" priority="299" dxfId="0" operator="equal">
      <formula>0</formula>
    </cfRule>
    <cfRule type="cellIs" priority="300" dxfId="111" operator="equal">
      <formula>0</formula>
    </cfRule>
  </conditionalFormatting>
  <conditionalFormatting sqref="S132:S136">
    <cfRule type="cellIs" priority="298" dxfId="28" operator="equal" stopIfTrue="1">
      <formula>0</formula>
    </cfRule>
  </conditionalFormatting>
  <conditionalFormatting sqref="S132:S136">
    <cfRule type="cellIs" priority="297" dxfId="0" operator="equal">
      <formula>0</formula>
    </cfRule>
  </conditionalFormatting>
  <conditionalFormatting sqref="S142:S145">
    <cfRule type="cellIs" priority="294" dxfId="28" operator="equal" stopIfTrue="1">
      <formula>0</formula>
    </cfRule>
  </conditionalFormatting>
  <conditionalFormatting sqref="S142:S145">
    <cfRule type="cellIs" priority="293" dxfId="0" operator="equal">
      <formula>0</formula>
    </cfRule>
  </conditionalFormatting>
  <conditionalFormatting sqref="S137:S141">
    <cfRule type="cellIs" priority="290" dxfId="28" operator="equal" stopIfTrue="1">
      <formula>0</formula>
    </cfRule>
  </conditionalFormatting>
  <conditionalFormatting sqref="S137:S141">
    <cfRule type="cellIs" priority="289" dxfId="0" operator="equal">
      <formula>0</formula>
    </cfRule>
  </conditionalFormatting>
  <conditionalFormatting sqref="S154:S159 F154:H173 C174:R174">
    <cfRule type="cellIs" priority="284" dxfId="28" operator="equal" stopIfTrue="1">
      <formula>0</formula>
    </cfRule>
  </conditionalFormatting>
  <conditionalFormatting sqref="S154:S159 F154:H173 C174:R174">
    <cfRule type="cellIs" priority="283" dxfId="0" operator="equal">
      <formula>0</formula>
    </cfRule>
  </conditionalFormatting>
  <conditionalFormatting sqref="C154:C173 E154:E173">
    <cfRule type="cellIs" priority="280" dxfId="28" operator="equal" stopIfTrue="1">
      <formula>0</formula>
    </cfRule>
  </conditionalFormatting>
  <conditionalFormatting sqref="C154:C173 E154:E173">
    <cfRule type="cellIs" priority="279" dxfId="0" operator="equal">
      <formula>0</formula>
    </cfRule>
  </conditionalFormatting>
  <conditionalFormatting sqref="A174 B154:B173">
    <cfRule type="cellIs" priority="278" dxfId="28" operator="equal" stopIfTrue="1">
      <formula>0</formula>
    </cfRule>
  </conditionalFormatting>
  <conditionalFormatting sqref="A174 B154:B173">
    <cfRule type="cellIs" priority="277" dxfId="0" operator="equal">
      <formula>0</formula>
    </cfRule>
  </conditionalFormatting>
  <conditionalFormatting sqref="A154:A173">
    <cfRule type="cellIs" priority="275" dxfId="0" operator="equal">
      <formula>0</formula>
    </cfRule>
    <cfRule type="cellIs" priority="276" dxfId="111" operator="equal">
      <formula>0</formula>
    </cfRule>
  </conditionalFormatting>
  <conditionalFormatting sqref="S160:S164">
    <cfRule type="cellIs" priority="274" dxfId="28" operator="equal" stopIfTrue="1">
      <formula>0</formula>
    </cfRule>
  </conditionalFormatting>
  <conditionalFormatting sqref="S160:S164">
    <cfRule type="cellIs" priority="273" dxfId="0" operator="equal">
      <formula>0</formula>
    </cfRule>
  </conditionalFormatting>
  <conditionalFormatting sqref="S170:S173">
    <cfRule type="cellIs" priority="270" dxfId="28" operator="equal" stopIfTrue="1">
      <formula>0</formula>
    </cfRule>
  </conditionalFormatting>
  <conditionalFormatting sqref="S170:S173">
    <cfRule type="cellIs" priority="269" dxfId="0" operator="equal">
      <formula>0</formula>
    </cfRule>
  </conditionalFormatting>
  <conditionalFormatting sqref="S165:S169">
    <cfRule type="cellIs" priority="266" dxfId="28" operator="equal" stopIfTrue="1">
      <formula>0</formula>
    </cfRule>
  </conditionalFormatting>
  <conditionalFormatting sqref="S165:S169">
    <cfRule type="cellIs" priority="265" dxfId="0" operator="equal">
      <formula>0</formula>
    </cfRule>
  </conditionalFormatting>
  <conditionalFormatting sqref="J14:J33">
    <cfRule type="cellIs" priority="260" dxfId="28" operator="equal" stopIfTrue="1">
      <formula>0</formula>
    </cfRule>
  </conditionalFormatting>
  <conditionalFormatting sqref="J14:J33">
    <cfRule type="cellIs" priority="259" dxfId="0" operator="equal">
      <formula>0</formula>
    </cfRule>
  </conditionalFormatting>
  <conditionalFormatting sqref="M14:M33">
    <cfRule type="cellIs" priority="246" dxfId="28" operator="equal" stopIfTrue="1">
      <formula>0</formula>
    </cfRule>
  </conditionalFormatting>
  <conditionalFormatting sqref="M14:M33">
    <cfRule type="cellIs" priority="245" dxfId="0" operator="equal">
      <formula>0</formula>
    </cfRule>
  </conditionalFormatting>
  <conditionalFormatting sqref="K14:K33">
    <cfRule type="cellIs" priority="224" dxfId="28" operator="equal" stopIfTrue="1">
      <formula>0</formula>
    </cfRule>
  </conditionalFormatting>
  <conditionalFormatting sqref="K14:K33">
    <cfRule type="cellIs" priority="223" dxfId="0" operator="equal">
      <formula>0</formula>
    </cfRule>
  </conditionalFormatting>
  <conditionalFormatting sqref="P14:P33">
    <cfRule type="cellIs" priority="172" dxfId="28" operator="equal" stopIfTrue="1">
      <formula>0</formula>
    </cfRule>
  </conditionalFormatting>
  <conditionalFormatting sqref="P14:P33">
    <cfRule type="cellIs" priority="171" dxfId="0" operator="equal">
      <formula>0</formula>
    </cfRule>
  </conditionalFormatting>
  <conditionalFormatting sqref="P42:P61">
    <cfRule type="cellIs" priority="64" dxfId="28" operator="equal" stopIfTrue="1">
      <formula>0</formula>
    </cfRule>
  </conditionalFormatting>
  <conditionalFormatting sqref="P42:P61">
    <cfRule type="cellIs" priority="63" dxfId="0" operator="equal">
      <formula>0</formula>
    </cfRule>
  </conditionalFormatting>
  <conditionalFormatting sqref="Q42:Q61">
    <cfRule type="cellIs" priority="62" dxfId="28" operator="equal" stopIfTrue="1">
      <formula>0</formula>
    </cfRule>
  </conditionalFormatting>
  <conditionalFormatting sqref="Q42:Q61">
    <cfRule type="cellIs" priority="61" dxfId="0" operator="equal">
      <formula>0</formula>
    </cfRule>
  </conditionalFormatting>
  <conditionalFormatting sqref="I70:I89 L70:L89 R70:R89 N70:O89">
    <cfRule type="cellIs" priority="60" dxfId="28" operator="equal" stopIfTrue="1">
      <formula>0</formula>
    </cfRule>
  </conditionalFormatting>
  <conditionalFormatting sqref="I70:I89 L70:L89 R70:R89 N70:O89">
    <cfRule type="cellIs" priority="59" dxfId="0" operator="equal">
      <formula>0</formula>
    </cfRule>
  </conditionalFormatting>
  <conditionalFormatting sqref="J70:J89">
    <cfRule type="cellIs" priority="58" dxfId="28" operator="equal" stopIfTrue="1">
      <formula>0</formula>
    </cfRule>
  </conditionalFormatting>
  <conditionalFormatting sqref="J70:J89">
    <cfRule type="cellIs" priority="57" dxfId="0" operator="equal">
      <formula>0</formula>
    </cfRule>
  </conditionalFormatting>
  <conditionalFormatting sqref="M70:M89">
    <cfRule type="cellIs" priority="56" dxfId="28" operator="equal" stopIfTrue="1">
      <formula>0</formula>
    </cfRule>
  </conditionalFormatting>
  <conditionalFormatting sqref="M70:M89">
    <cfRule type="cellIs" priority="55" dxfId="0" operator="equal">
      <formula>0</formula>
    </cfRule>
  </conditionalFormatting>
  <conditionalFormatting sqref="K42:K61">
    <cfRule type="cellIs" priority="66" dxfId="28" operator="equal" stopIfTrue="1">
      <formula>0</formula>
    </cfRule>
  </conditionalFormatting>
  <conditionalFormatting sqref="K42:K61">
    <cfRule type="cellIs" priority="65" dxfId="0" operator="equal">
      <formula>0</formula>
    </cfRule>
  </conditionalFormatting>
  <conditionalFormatting sqref="M42:M61">
    <cfRule type="cellIs" priority="68" dxfId="28" operator="equal" stopIfTrue="1">
      <formula>0</formula>
    </cfRule>
  </conditionalFormatting>
  <conditionalFormatting sqref="M42:M61">
    <cfRule type="cellIs" priority="67" dxfId="0" operator="equal">
      <formula>0</formula>
    </cfRule>
  </conditionalFormatting>
  <conditionalFormatting sqref="J42:J61">
    <cfRule type="cellIs" priority="70" dxfId="28" operator="equal" stopIfTrue="1">
      <formula>0</formula>
    </cfRule>
  </conditionalFormatting>
  <conditionalFormatting sqref="J42:J61">
    <cfRule type="cellIs" priority="69" dxfId="0" operator="equal">
      <formula>0</formula>
    </cfRule>
  </conditionalFormatting>
  <conditionalFormatting sqref="I42:I61 L42:L61 R42:R61 N42:O61">
    <cfRule type="cellIs" priority="72" dxfId="28" operator="equal" stopIfTrue="1">
      <formula>0</formula>
    </cfRule>
  </conditionalFormatting>
  <conditionalFormatting sqref="I42:I61 L42:L61 R42:R61 N42:O61">
    <cfRule type="cellIs" priority="71" dxfId="0" operator="equal">
      <formula>0</formula>
    </cfRule>
  </conditionalFormatting>
  <conditionalFormatting sqref="Q70:Q89">
    <cfRule type="cellIs" priority="50" dxfId="28" operator="equal" stopIfTrue="1">
      <formula>0</formula>
    </cfRule>
  </conditionalFormatting>
  <conditionalFormatting sqref="Q70:Q89">
    <cfRule type="cellIs" priority="49" dxfId="0" operator="equal">
      <formula>0</formula>
    </cfRule>
  </conditionalFormatting>
  <conditionalFormatting sqref="Q14:Q33">
    <cfRule type="cellIs" priority="74" dxfId="28" operator="equal" stopIfTrue="1">
      <formula>0</formula>
    </cfRule>
  </conditionalFormatting>
  <conditionalFormatting sqref="Q14:Q33">
    <cfRule type="cellIs" priority="73" dxfId="0" operator="equal">
      <formula>0</formula>
    </cfRule>
  </conditionalFormatting>
  <conditionalFormatting sqref="K70:K89">
    <cfRule type="cellIs" priority="54" dxfId="28" operator="equal" stopIfTrue="1">
      <formula>0</formula>
    </cfRule>
  </conditionalFormatting>
  <conditionalFormatting sqref="K70:K89">
    <cfRule type="cellIs" priority="53" dxfId="0" operator="equal">
      <formula>0</formula>
    </cfRule>
  </conditionalFormatting>
  <conditionalFormatting sqref="P70:P89">
    <cfRule type="cellIs" priority="52" dxfId="28" operator="equal" stopIfTrue="1">
      <formula>0</formula>
    </cfRule>
  </conditionalFormatting>
  <conditionalFormatting sqref="P70:P89">
    <cfRule type="cellIs" priority="51" dxfId="0" operator="equal">
      <formula>0</formula>
    </cfRule>
  </conditionalFormatting>
  <conditionalFormatting sqref="I98:I117 L98:L117 R98:R117 N98:O117">
    <cfRule type="cellIs" priority="48" dxfId="28" operator="equal" stopIfTrue="1">
      <formula>0</formula>
    </cfRule>
  </conditionalFormatting>
  <conditionalFormatting sqref="I98:I117 L98:L117 R98:R117 N98:O117">
    <cfRule type="cellIs" priority="47" dxfId="0" operator="equal">
      <formula>0</formula>
    </cfRule>
  </conditionalFormatting>
  <conditionalFormatting sqref="J98:J117">
    <cfRule type="cellIs" priority="46" dxfId="28" operator="equal" stopIfTrue="1">
      <formula>0</formula>
    </cfRule>
  </conditionalFormatting>
  <conditionalFormatting sqref="J98:J117">
    <cfRule type="cellIs" priority="45" dxfId="0" operator="equal">
      <formula>0</formula>
    </cfRule>
  </conditionalFormatting>
  <conditionalFormatting sqref="M98:M117">
    <cfRule type="cellIs" priority="44" dxfId="28" operator="equal" stopIfTrue="1">
      <formula>0</formula>
    </cfRule>
  </conditionalFormatting>
  <conditionalFormatting sqref="M98:M117">
    <cfRule type="cellIs" priority="43" dxfId="0" operator="equal">
      <formula>0</formula>
    </cfRule>
  </conditionalFormatting>
  <conditionalFormatting sqref="K98:K117">
    <cfRule type="cellIs" priority="42" dxfId="28" operator="equal" stopIfTrue="1">
      <formula>0</formula>
    </cfRule>
  </conditionalFormatting>
  <conditionalFormatting sqref="K98:K117">
    <cfRule type="cellIs" priority="41" dxfId="0" operator="equal">
      <formula>0</formula>
    </cfRule>
  </conditionalFormatting>
  <conditionalFormatting sqref="P98:P117">
    <cfRule type="cellIs" priority="40" dxfId="28" operator="equal" stopIfTrue="1">
      <formula>0</formula>
    </cfRule>
  </conditionalFormatting>
  <conditionalFormatting sqref="P98:P117">
    <cfRule type="cellIs" priority="39" dxfId="0" operator="equal">
      <formula>0</formula>
    </cfRule>
  </conditionalFormatting>
  <conditionalFormatting sqref="Q98:Q117">
    <cfRule type="cellIs" priority="38" dxfId="28" operator="equal" stopIfTrue="1">
      <formula>0</formula>
    </cfRule>
  </conditionalFormatting>
  <conditionalFormatting sqref="Q98:Q117">
    <cfRule type="cellIs" priority="37" dxfId="0" operator="equal">
      <formula>0</formula>
    </cfRule>
  </conditionalFormatting>
  <conditionalFormatting sqref="I126:I145 L126:L145 R126:R145 N126:O145">
    <cfRule type="cellIs" priority="36" dxfId="28" operator="equal" stopIfTrue="1">
      <formula>0</formula>
    </cfRule>
  </conditionalFormatting>
  <conditionalFormatting sqref="I126:I145 L126:L145 R126:R145 N126:O145">
    <cfRule type="cellIs" priority="35" dxfId="0" operator="equal">
      <formula>0</formula>
    </cfRule>
  </conditionalFormatting>
  <conditionalFormatting sqref="J126:J145">
    <cfRule type="cellIs" priority="34" dxfId="28" operator="equal" stopIfTrue="1">
      <formula>0</formula>
    </cfRule>
  </conditionalFormatting>
  <conditionalFormatting sqref="J126:J145">
    <cfRule type="cellIs" priority="33" dxfId="0" operator="equal">
      <formula>0</formula>
    </cfRule>
  </conditionalFormatting>
  <conditionalFormatting sqref="M126:M145">
    <cfRule type="cellIs" priority="32" dxfId="28" operator="equal" stopIfTrue="1">
      <formula>0</formula>
    </cfRule>
  </conditionalFormatting>
  <conditionalFormatting sqref="M126:M145">
    <cfRule type="cellIs" priority="31" dxfId="0" operator="equal">
      <formula>0</formula>
    </cfRule>
  </conditionalFormatting>
  <conditionalFormatting sqref="K126:K145">
    <cfRule type="cellIs" priority="30" dxfId="28" operator="equal" stopIfTrue="1">
      <formula>0</formula>
    </cfRule>
  </conditionalFormatting>
  <conditionalFormatting sqref="K126:K145">
    <cfRule type="cellIs" priority="29" dxfId="0" operator="equal">
      <formula>0</formula>
    </cfRule>
  </conditionalFormatting>
  <conditionalFormatting sqref="P126:P145">
    <cfRule type="cellIs" priority="28" dxfId="28" operator="equal" stopIfTrue="1">
      <formula>0</formula>
    </cfRule>
  </conditionalFormatting>
  <conditionalFormatting sqref="P126:P145">
    <cfRule type="cellIs" priority="27" dxfId="0" operator="equal">
      <formula>0</formula>
    </cfRule>
  </conditionalFormatting>
  <conditionalFormatting sqref="J154:J173">
    <cfRule type="cellIs" priority="22" dxfId="28" operator="equal" stopIfTrue="1">
      <formula>0</formula>
    </cfRule>
  </conditionalFormatting>
  <conditionalFormatting sqref="J154:J173">
    <cfRule type="cellIs" priority="21" dxfId="0" operator="equal">
      <formula>0</formula>
    </cfRule>
  </conditionalFormatting>
  <conditionalFormatting sqref="I154:I173 L154:L173 R154:R173 N154:O173">
    <cfRule type="cellIs" priority="24" dxfId="28" operator="equal" stopIfTrue="1">
      <formula>0</formula>
    </cfRule>
  </conditionalFormatting>
  <conditionalFormatting sqref="I154:I173 L154:L173 R154:R173 N154:O173">
    <cfRule type="cellIs" priority="23" dxfId="0" operator="equal">
      <formula>0</formula>
    </cfRule>
  </conditionalFormatting>
  <conditionalFormatting sqref="M154:M173">
    <cfRule type="cellIs" priority="20" dxfId="28" operator="equal" stopIfTrue="1">
      <formula>0</formula>
    </cfRule>
  </conditionalFormatting>
  <conditionalFormatting sqref="M154:M173">
    <cfRule type="cellIs" priority="19" dxfId="0" operator="equal">
      <formula>0</formula>
    </cfRule>
  </conditionalFormatting>
  <conditionalFormatting sqref="K154:K173">
    <cfRule type="cellIs" priority="18" dxfId="28" operator="equal" stopIfTrue="1">
      <formula>0</formula>
    </cfRule>
  </conditionalFormatting>
  <conditionalFormatting sqref="K154:K173">
    <cfRule type="cellIs" priority="17" dxfId="0" operator="equal">
      <formula>0</formula>
    </cfRule>
  </conditionalFormatting>
  <conditionalFormatting sqref="P154:P173">
    <cfRule type="cellIs" priority="16" dxfId="28" operator="equal" stopIfTrue="1">
      <formula>0</formula>
    </cfRule>
  </conditionalFormatting>
  <conditionalFormatting sqref="P154:P173">
    <cfRule type="cellIs" priority="15" dxfId="0" operator="equal">
      <formula>0</formula>
    </cfRule>
  </conditionalFormatting>
  <conditionalFormatting sqref="Q126:Q145">
    <cfRule type="cellIs" priority="12" dxfId="28" operator="equal" stopIfTrue="1">
      <formula>0</formula>
    </cfRule>
  </conditionalFormatting>
  <conditionalFormatting sqref="Q126:Q145">
    <cfRule type="cellIs" priority="11" dxfId="0" operator="equal">
      <formula>0</formula>
    </cfRule>
  </conditionalFormatting>
  <conditionalFormatting sqref="Q154:Q173">
    <cfRule type="cellIs" priority="10" dxfId="28" operator="equal" stopIfTrue="1">
      <formula>0</formula>
    </cfRule>
  </conditionalFormatting>
  <conditionalFormatting sqref="Q154:Q173">
    <cfRule type="cellIs" priority="9" dxfId="0" operator="equal">
      <formula>0</formula>
    </cfRule>
  </conditionalFormatting>
  <conditionalFormatting sqref="D70:D89">
    <cfRule type="cellIs" priority="8" dxfId="28" operator="equal" stopIfTrue="1">
      <formula>0</formula>
    </cfRule>
  </conditionalFormatting>
  <conditionalFormatting sqref="D70:D89">
    <cfRule type="cellIs" priority="7" dxfId="0" operator="equal">
      <formula>0</formula>
    </cfRule>
  </conditionalFormatting>
  <conditionalFormatting sqref="D98:D117">
    <cfRule type="cellIs" priority="6" dxfId="28" operator="equal" stopIfTrue="1">
      <formula>0</formula>
    </cfRule>
  </conditionalFormatting>
  <conditionalFormatting sqref="D98:D117">
    <cfRule type="cellIs" priority="5" dxfId="0" operator="equal">
      <formula>0</formula>
    </cfRule>
  </conditionalFormatting>
  <conditionalFormatting sqref="D126:D145">
    <cfRule type="cellIs" priority="4" dxfId="28" operator="equal" stopIfTrue="1">
      <formula>0</formula>
    </cfRule>
  </conditionalFormatting>
  <conditionalFormatting sqref="D126:D145">
    <cfRule type="cellIs" priority="3" dxfId="0" operator="equal">
      <formula>0</formula>
    </cfRule>
  </conditionalFormatting>
  <conditionalFormatting sqref="D154:D173">
    <cfRule type="cellIs" priority="2" dxfId="28" operator="equal" stopIfTrue="1">
      <formula>0</formula>
    </cfRule>
  </conditionalFormatting>
  <conditionalFormatting sqref="D154:D173">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0" fitToWidth="1" horizontalDpi="600" verticalDpi="600" orientation="landscape" paperSize="9" scale="27" r:id="rId2"/>
  <drawing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H448"/>
  <sheetViews>
    <sheetView view="pageBreakPreview" zoomScale="25" zoomScaleNormal="25" zoomScaleSheetLayoutView="25" zoomScalePageLayoutView="0" workbookViewId="0" topLeftCell="A2">
      <selection activeCell="C17" sqref="C17"/>
    </sheetView>
  </sheetViews>
  <sheetFormatPr defaultColWidth="9.140625" defaultRowHeight="12.75"/>
  <cols>
    <col min="1" max="1" width="10.57421875" style="457" bestFit="1" customWidth="1"/>
    <col min="2" max="2" width="25.421875" style="344" customWidth="1"/>
    <col min="3" max="4" width="30.7109375" style="344" customWidth="1"/>
    <col min="5" max="9" width="45.7109375" style="344" customWidth="1"/>
    <col min="10" max="13" width="35.7109375" style="344" customWidth="1"/>
    <col min="14" max="14" width="45.7109375" style="344" customWidth="1"/>
    <col min="15" max="18" width="35.7109375" style="344" customWidth="1"/>
    <col min="19" max="19" width="68.140625" style="344" bestFit="1" customWidth="1"/>
    <col min="20" max="20" width="9.140625" style="454" customWidth="1"/>
    <col min="21" max="21" width="15.7109375" style="454" customWidth="1"/>
    <col min="22" max="33" width="20.7109375" style="454" customWidth="1"/>
    <col min="34" max="34" width="30.421875" style="454" bestFit="1" customWidth="1"/>
    <col min="35" max="16384" width="9.140625" style="454" customWidth="1"/>
  </cols>
  <sheetData>
    <row r="1" spans="1:19" ht="39.75" customHeight="1">
      <c r="A1" s="453"/>
      <c r="B1" s="340"/>
      <c r="C1" s="340"/>
      <c r="D1" s="340"/>
      <c r="E1" s="340"/>
      <c r="F1" s="340"/>
      <c r="G1" s="340"/>
      <c r="H1" s="340"/>
      <c r="I1" s="340"/>
      <c r="J1" s="340"/>
      <c r="K1" s="340"/>
      <c r="L1" s="340"/>
      <c r="M1" s="340"/>
      <c r="N1" s="340"/>
      <c r="O1" s="340"/>
      <c r="P1" s="340"/>
      <c r="Q1" s="340"/>
      <c r="R1" s="340"/>
      <c r="S1" s="340"/>
    </row>
    <row r="2" spans="1:19" ht="39.75" customHeight="1">
      <c r="A2" s="675" t="s">
        <v>20</v>
      </c>
      <c r="B2" s="676"/>
      <c r="C2" s="676"/>
      <c r="D2" s="676"/>
      <c r="E2" s="676"/>
      <c r="F2" s="676"/>
      <c r="G2" s="676"/>
      <c r="H2" s="676"/>
      <c r="I2" s="676"/>
      <c r="J2" s="676"/>
      <c r="K2" s="676"/>
      <c r="L2" s="676"/>
      <c r="M2" s="676"/>
      <c r="N2" s="676"/>
      <c r="O2" s="676"/>
      <c r="P2" s="676"/>
      <c r="Q2" s="676"/>
      <c r="R2" s="676"/>
      <c r="S2" s="676"/>
    </row>
    <row r="3" spans="1:19" ht="39.75" customHeight="1">
      <c r="A3" s="677" t="s">
        <v>199</v>
      </c>
      <c r="B3" s="678"/>
      <c r="C3" s="678"/>
      <c r="D3" s="678"/>
      <c r="E3" s="678"/>
      <c r="F3" s="678"/>
      <c r="G3" s="678"/>
      <c r="H3" s="678"/>
      <c r="I3" s="678"/>
      <c r="J3" s="678"/>
      <c r="K3" s="678"/>
      <c r="L3" s="678"/>
      <c r="M3" s="678"/>
      <c r="N3" s="678"/>
      <c r="O3" s="678"/>
      <c r="P3" s="678"/>
      <c r="Q3" s="678"/>
      <c r="R3" s="678"/>
      <c r="S3" s="678"/>
    </row>
    <row r="4" spans="1:19" ht="39.75" customHeight="1">
      <c r="A4" s="677" t="s">
        <v>19</v>
      </c>
      <c r="B4" s="678"/>
      <c r="C4" s="678"/>
      <c r="D4" s="678"/>
      <c r="E4" s="678"/>
      <c r="F4" s="678"/>
      <c r="G4" s="678"/>
      <c r="H4" s="678"/>
      <c r="I4" s="678"/>
      <c r="J4" s="678"/>
      <c r="K4" s="678"/>
      <c r="L4" s="678"/>
      <c r="M4" s="678"/>
      <c r="N4" s="678"/>
      <c r="O4" s="678"/>
      <c r="P4" s="678"/>
      <c r="Q4" s="678"/>
      <c r="R4" s="678"/>
      <c r="S4" s="678"/>
    </row>
    <row r="5" spans="1:19" ht="39.75" customHeight="1" thickBot="1">
      <c r="A5" s="455"/>
      <c r="B5" s="387"/>
      <c r="C5" s="387"/>
      <c r="D5" s="387"/>
      <c r="E5" s="387"/>
      <c r="F5" s="387"/>
      <c r="G5" s="387"/>
      <c r="H5" s="387"/>
      <c r="I5" s="387"/>
      <c r="J5" s="387"/>
      <c r="K5" s="387"/>
      <c r="L5" s="387"/>
      <c r="M5" s="387"/>
      <c r="N5" s="387"/>
      <c r="O5" s="387"/>
      <c r="P5" s="387"/>
      <c r="Q5" s="387"/>
      <c r="R5" s="387"/>
      <c r="S5" s="387"/>
    </row>
    <row r="6" spans="1:19" s="456" customFormat="1" ht="54.75" customHeight="1" thickBot="1" thickTop="1">
      <c r="A6" s="679" t="s">
        <v>435</v>
      </c>
      <c r="B6" s="680"/>
      <c r="C6" s="680"/>
      <c r="D6" s="680"/>
      <c r="E6" s="680"/>
      <c r="F6" s="680"/>
      <c r="G6" s="680"/>
      <c r="H6" s="680"/>
      <c r="I6" s="680"/>
      <c r="J6" s="680"/>
      <c r="K6" s="680"/>
      <c r="L6" s="680"/>
      <c r="M6" s="680"/>
      <c r="N6" s="680"/>
      <c r="O6" s="680"/>
      <c r="P6" s="680"/>
      <c r="Q6" s="680"/>
      <c r="R6" s="680"/>
      <c r="S6" s="680"/>
    </row>
    <row r="7" spans="1:19" ht="54.75" customHeight="1" thickBot="1" thickTop="1">
      <c r="A7" s="681" t="str">
        <f>'ORÇAMENTO GERAL'!C7</f>
        <v>EXECUÇÃO DOS SERVIÇOS DE DRENAGEM SUPERFICIAL E PROFUNDA NA RUA DO PORTO E RUA DO PORTO 2 - DISTRITO INDUSTRIAL - NO MUNICÍPIO DE ANANINDEUA - PA.</v>
      </c>
      <c r="B7" s="682"/>
      <c r="C7" s="682"/>
      <c r="D7" s="682"/>
      <c r="E7" s="682"/>
      <c r="F7" s="682"/>
      <c r="G7" s="682"/>
      <c r="H7" s="682"/>
      <c r="I7" s="682"/>
      <c r="J7" s="682"/>
      <c r="K7" s="682"/>
      <c r="L7" s="682"/>
      <c r="M7" s="682"/>
      <c r="N7" s="682"/>
      <c r="O7" s="682"/>
      <c r="P7" s="682"/>
      <c r="Q7" s="682"/>
      <c r="R7" s="682"/>
      <c r="S7" s="682"/>
    </row>
    <row r="8" spans="1:19" ht="39.75" customHeight="1">
      <c r="A8" s="683" t="s">
        <v>415</v>
      </c>
      <c r="B8" s="684"/>
      <c r="C8" s="687" t="s">
        <v>425</v>
      </c>
      <c r="D8" s="690" t="s">
        <v>423</v>
      </c>
      <c r="E8" s="693" t="s">
        <v>416</v>
      </c>
      <c r="F8" s="693"/>
      <c r="G8" s="693"/>
      <c r="H8" s="693"/>
      <c r="I8" s="693"/>
      <c r="J8" s="693" t="s">
        <v>417</v>
      </c>
      <c r="K8" s="693"/>
      <c r="L8" s="693"/>
      <c r="M8" s="693"/>
      <c r="N8" s="693"/>
      <c r="O8" s="693"/>
      <c r="P8" s="693"/>
      <c r="Q8" s="693"/>
      <c r="R8" s="693"/>
      <c r="S8" s="698"/>
    </row>
    <row r="9" spans="1:19" ht="39.75" customHeight="1">
      <c r="A9" s="685"/>
      <c r="B9" s="686"/>
      <c r="C9" s="688"/>
      <c r="D9" s="691"/>
      <c r="E9" s="694"/>
      <c r="F9" s="694"/>
      <c r="G9" s="694"/>
      <c r="H9" s="694"/>
      <c r="I9" s="694"/>
      <c r="J9" s="694" t="s">
        <v>647</v>
      </c>
      <c r="K9" s="694"/>
      <c r="L9" s="694"/>
      <c r="M9" s="694"/>
      <c r="N9" s="694"/>
      <c r="O9" s="694" t="s">
        <v>522</v>
      </c>
      <c r="P9" s="694"/>
      <c r="Q9" s="694"/>
      <c r="R9" s="694"/>
      <c r="S9" s="695"/>
    </row>
    <row r="10" spans="1:34" ht="52.5">
      <c r="A10" s="685"/>
      <c r="B10" s="686"/>
      <c r="C10" s="688"/>
      <c r="D10" s="691"/>
      <c r="E10" s="346" t="s">
        <v>431</v>
      </c>
      <c r="F10" s="346" t="s">
        <v>509</v>
      </c>
      <c r="G10" s="346" t="s">
        <v>432</v>
      </c>
      <c r="H10" s="346" t="s">
        <v>508</v>
      </c>
      <c r="I10" s="346" t="s">
        <v>419</v>
      </c>
      <c r="J10" s="346" t="s">
        <v>422</v>
      </c>
      <c r="K10" s="346" t="s">
        <v>594</v>
      </c>
      <c r="L10" s="346" t="s">
        <v>586</v>
      </c>
      <c r="M10" s="346" t="s">
        <v>585</v>
      </c>
      <c r="N10" s="346" t="s">
        <v>587</v>
      </c>
      <c r="O10" s="346" t="s">
        <v>422</v>
      </c>
      <c r="P10" s="346" t="s">
        <v>594</v>
      </c>
      <c r="Q10" s="346" t="s">
        <v>586</v>
      </c>
      <c r="R10" s="346" t="s">
        <v>585</v>
      </c>
      <c r="S10" s="346" t="s">
        <v>587</v>
      </c>
      <c r="V10" s="391"/>
      <c r="W10" s="391"/>
      <c r="X10" s="391"/>
      <c r="Y10" s="391"/>
      <c r="Z10" s="391"/>
      <c r="AA10" s="391"/>
      <c r="AB10" s="391"/>
      <c r="AC10" s="391"/>
      <c r="AD10" s="391"/>
      <c r="AE10" s="391"/>
      <c r="AF10" s="391"/>
      <c r="AG10" s="391"/>
      <c r="AH10" s="457"/>
    </row>
    <row r="11" spans="1:34" ht="39.75" customHeight="1">
      <c r="A11" s="699" t="s">
        <v>7</v>
      </c>
      <c r="B11" s="701" t="s">
        <v>421</v>
      </c>
      <c r="C11" s="689"/>
      <c r="D11" s="692"/>
      <c r="E11" s="348"/>
      <c r="F11" s="348"/>
      <c r="G11" s="349"/>
      <c r="H11" s="349"/>
      <c r="I11" s="349">
        <v>10</v>
      </c>
      <c r="J11" s="348"/>
      <c r="K11" s="349"/>
      <c r="L11" s="349"/>
      <c r="M11" s="349"/>
      <c r="N11" s="349">
        <v>10</v>
      </c>
      <c r="O11" s="348"/>
      <c r="P11" s="348"/>
      <c r="Q11" s="348"/>
      <c r="R11" s="348"/>
      <c r="S11" s="350">
        <v>10</v>
      </c>
      <c r="V11" s="457"/>
      <c r="W11" s="457"/>
      <c r="X11" s="457"/>
      <c r="Y11" s="457"/>
      <c r="Z11" s="457"/>
      <c r="AA11" s="457"/>
      <c r="AB11" s="457"/>
      <c r="AC11" s="457"/>
      <c r="AD11" s="457"/>
      <c r="AE11" s="457"/>
      <c r="AF11" s="457"/>
      <c r="AG11" s="457"/>
      <c r="AH11" s="457"/>
    </row>
    <row r="12" spans="1:34" ht="39.75" customHeight="1" thickBot="1">
      <c r="A12" s="700"/>
      <c r="B12" s="702"/>
      <c r="C12" s="459" t="s">
        <v>53</v>
      </c>
      <c r="D12" s="460" t="s">
        <v>56</v>
      </c>
      <c r="E12" s="461" t="s">
        <v>565</v>
      </c>
      <c r="F12" s="461" t="s">
        <v>9</v>
      </c>
      <c r="G12" s="461" t="s">
        <v>583</v>
      </c>
      <c r="H12" s="461" t="s">
        <v>531</v>
      </c>
      <c r="I12" s="461" t="s">
        <v>584</v>
      </c>
      <c r="J12" s="461" t="s">
        <v>254</v>
      </c>
      <c r="K12" s="461" t="s">
        <v>588</v>
      </c>
      <c r="L12" s="461" t="s">
        <v>590</v>
      </c>
      <c r="M12" s="461" t="s">
        <v>591</v>
      </c>
      <c r="N12" s="461" t="s">
        <v>592</v>
      </c>
      <c r="O12" s="461" t="s">
        <v>589</v>
      </c>
      <c r="P12" s="459" t="s">
        <v>595</v>
      </c>
      <c r="Q12" s="459" t="s">
        <v>596</v>
      </c>
      <c r="R12" s="459" t="s">
        <v>648</v>
      </c>
      <c r="S12" s="461" t="s">
        <v>649</v>
      </c>
      <c r="V12" s="392" t="s">
        <v>436</v>
      </c>
      <c r="W12" s="392" t="s">
        <v>436</v>
      </c>
      <c r="X12" s="392" t="s">
        <v>436</v>
      </c>
      <c r="Y12" s="392" t="s">
        <v>436</v>
      </c>
      <c r="Z12" s="392" t="s">
        <v>436</v>
      </c>
      <c r="AA12" s="392" t="s">
        <v>436</v>
      </c>
      <c r="AB12" s="392" t="s">
        <v>436</v>
      </c>
      <c r="AC12" s="392" t="s">
        <v>436</v>
      </c>
      <c r="AD12" s="392" t="s">
        <v>436</v>
      </c>
      <c r="AE12" s="392" t="s">
        <v>436</v>
      </c>
      <c r="AF12" s="392" t="s">
        <v>436</v>
      </c>
      <c r="AG12" s="392" t="s">
        <v>436</v>
      </c>
      <c r="AH12" s="458"/>
    </row>
    <row r="13" spans="1:34" ht="73.5" customHeight="1" thickBot="1">
      <c r="A13" s="388"/>
      <c r="B13" s="389"/>
      <c r="C13" s="389"/>
      <c r="D13" s="389"/>
      <c r="E13" s="389"/>
      <c r="F13" s="389"/>
      <c r="G13" s="389"/>
      <c r="H13" s="389"/>
      <c r="I13" s="389"/>
      <c r="J13" s="389"/>
      <c r="K13" s="389"/>
      <c r="L13" s="389"/>
      <c r="M13" s="389"/>
      <c r="N13" s="389"/>
      <c r="O13" s="389"/>
      <c r="P13" s="389"/>
      <c r="Q13" s="389"/>
      <c r="R13" s="389"/>
      <c r="S13" s="389"/>
      <c r="U13" s="360"/>
      <c r="V13" s="346" t="s">
        <v>431</v>
      </c>
      <c r="W13" s="346" t="s">
        <v>432</v>
      </c>
      <c r="X13" s="346" t="s">
        <v>508</v>
      </c>
      <c r="Y13" s="346" t="s">
        <v>419</v>
      </c>
      <c r="Z13" s="346" t="s">
        <v>594</v>
      </c>
      <c r="AA13" s="346" t="s">
        <v>586</v>
      </c>
      <c r="AB13" s="346" t="s">
        <v>585</v>
      </c>
      <c r="AC13" s="346" t="s">
        <v>587</v>
      </c>
      <c r="AD13" s="346" t="s">
        <v>594</v>
      </c>
      <c r="AE13" s="346" t="s">
        <v>586</v>
      </c>
      <c r="AF13" s="346" t="s">
        <v>585</v>
      </c>
      <c r="AG13" s="346" t="s">
        <v>587</v>
      </c>
      <c r="AH13" s="392" t="s">
        <v>408</v>
      </c>
    </row>
    <row r="14" spans="1:34" ht="54.75" customHeight="1" thickTop="1">
      <c r="A14" s="352">
        <f>DADOS!A9</f>
        <v>1</v>
      </c>
      <c r="B14" s="353" t="str">
        <f>DADOS!B9</f>
        <v>TV. SÃO SEBASTIÃO</v>
      </c>
      <c r="C14" s="354">
        <f>DADOS!E9*0</f>
        <v>0</v>
      </c>
      <c r="D14" s="345">
        <f>DADOS!F9</f>
        <v>0</v>
      </c>
      <c r="E14" s="345">
        <f>C14*(D14+1)</f>
        <v>0</v>
      </c>
      <c r="F14" s="345">
        <v>0.2</v>
      </c>
      <c r="G14" s="345">
        <f>E14*F14</f>
        <v>0</v>
      </c>
      <c r="H14" s="345">
        <f>G14</f>
        <v>0</v>
      </c>
      <c r="I14" s="345">
        <f>G14*1.3*$I$11</f>
        <v>0</v>
      </c>
      <c r="J14" s="345">
        <v>0.1</v>
      </c>
      <c r="K14" s="345">
        <f>E14*J14</f>
        <v>0</v>
      </c>
      <c r="L14" s="345">
        <f>K14</f>
        <v>0</v>
      </c>
      <c r="M14" s="345">
        <f>K14</f>
        <v>0</v>
      </c>
      <c r="N14" s="345">
        <f>K14*1.3*$N$11</f>
        <v>0</v>
      </c>
      <c r="O14" s="345">
        <v>0.1</v>
      </c>
      <c r="P14" s="345">
        <f>E14*O14</f>
        <v>0</v>
      </c>
      <c r="Q14" s="345">
        <f>P14</f>
        <v>0</v>
      </c>
      <c r="R14" s="345">
        <f>P14</f>
        <v>0</v>
      </c>
      <c r="S14" s="345">
        <f>P14*1.3*$S$11</f>
        <v>0</v>
      </c>
      <c r="U14" s="390">
        <f aca="true" t="shared" si="0" ref="U14:U33">A14</f>
        <v>1</v>
      </c>
      <c r="V14" s="394">
        <f>'ORÇAMENTO GERAL'!$J$100</f>
        <v>2.61</v>
      </c>
      <c r="W14" s="394">
        <f>'ORÇAMENTO GERAL'!$J$101</f>
        <v>2.82</v>
      </c>
      <c r="X14" s="394">
        <f>'ORÇAMENTO GERAL'!$J$102</f>
        <v>8.25</v>
      </c>
      <c r="Y14" s="394">
        <f>'ORÇAMENTO GERAL'!$J$103</f>
        <v>3.62</v>
      </c>
      <c r="Z14" s="394">
        <f>'ORÇAMENTO GERAL'!$J$106</f>
        <v>210.84</v>
      </c>
      <c r="AA14" s="394">
        <f>'ORÇAMENTO GERAL'!$J$107</f>
        <v>8.25</v>
      </c>
      <c r="AB14" s="394">
        <f>'ORÇAMENTO GERAL'!$J$108</f>
        <v>1.81</v>
      </c>
      <c r="AC14" s="394">
        <f>'ORÇAMENTO GERAL'!$J$109</f>
        <v>2.29</v>
      </c>
      <c r="AD14" s="394">
        <f>'ORÇAMENTO GERAL'!$J$110</f>
        <v>106.68</v>
      </c>
      <c r="AE14" s="394">
        <f>'ORÇAMENTO GERAL'!$J$111</f>
        <v>8.25</v>
      </c>
      <c r="AF14" s="394">
        <f>'ORÇAMENTO GERAL'!$J$112</f>
        <v>1.81</v>
      </c>
      <c r="AG14" s="394">
        <f>'ORÇAMENTO GERAL'!$J$113</f>
        <v>2.47</v>
      </c>
      <c r="AH14" s="393">
        <f aca="true" t="shared" si="1" ref="AH14:AH33">(E14*V14)+(G14*W14)+(H14*X14)+(I14*Y14)+(K14*Z14)+(L14*AA14)+(M14*AB14)+(N14*AC14)+(P14*AD14)+(Q14*AE14)+(R14*AF14)+(S14*AG14)</f>
        <v>0</v>
      </c>
    </row>
    <row r="15" spans="1:34" s="343" customFormat="1" ht="54.75" customHeight="1">
      <c r="A15" s="341">
        <v>2</v>
      </c>
      <c r="B15" s="353" t="str">
        <f>DADOS!B10</f>
        <v>RUA DO PORTO</v>
      </c>
      <c r="C15" s="354">
        <f>DADOS!E10*0</f>
        <v>0</v>
      </c>
      <c r="D15" s="345">
        <f>DADOS!F10</f>
        <v>5</v>
      </c>
      <c r="E15" s="345">
        <f aca="true" t="shared" si="2" ref="E15:E33">C15*(D15+1)</f>
        <v>0</v>
      </c>
      <c r="F15" s="345">
        <v>0.2</v>
      </c>
      <c r="G15" s="345">
        <f aca="true" t="shared" si="3" ref="G15:G33">E15*F15</f>
        <v>0</v>
      </c>
      <c r="H15" s="345">
        <f aca="true" t="shared" si="4" ref="H15:H33">G15</f>
        <v>0</v>
      </c>
      <c r="I15" s="345">
        <f aca="true" t="shared" si="5" ref="I15:I33">G15*1.3*$I$11</f>
        <v>0</v>
      </c>
      <c r="J15" s="345">
        <v>0.1</v>
      </c>
      <c r="K15" s="345">
        <f aca="true" t="shared" si="6" ref="K15:K33">E15*J15</f>
        <v>0</v>
      </c>
      <c r="L15" s="345">
        <f aca="true" t="shared" si="7" ref="L15:L33">K15</f>
        <v>0</v>
      </c>
      <c r="M15" s="345">
        <f aca="true" t="shared" si="8" ref="M15:M33">K15</f>
        <v>0</v>
      </c>
      <c r="N15" s="345">
        <f aca="true" t="shared" si="9" ref="N15:N33">K15*1.3*$N$11</f>
        <v>0</v>
      </c>
      <c r="O15" s="345">
        <v>0.1</v>
      </c>
      <c r="P15" s="345">
        <f aca="true" t="shared" si="10" ref="P15:P33">E15*O15</f>
        <v>0</v>
      </c>
      <c r="Q15" s="345">
        <f aca="true" t="shared" si="11" ref="Q15:Q33">P15</f>
        <v>0</v>
      </c>
      <c r="R15" s="345">
        <f aca="true" t="shared" si="12" ref="R15:R33">P15</f>
        <v>0</v>
      </c>
      <c r="S15" s="345">
        <f aca="true" t="shared" si="13" ref="S15:S33">P15*1.3*$S$11</f>
        <v>0</v>
      </c>
      <c r="U15" s="390">
        <f t="shared" si="0"/>
        <v>2</v>
      </c>
      <c r="V15" s="394">
        <f>'ORÇAMENTO GERAL'!$J$100</f>
        <v>2.61</v>
      </c>
      <c r="W15" s="394">
        <f>'ORÇAMENTO GERAL'!$J$101</f>
        <v>2.82</v>
      </c>
      <c r="X15" s="394">
        <f>'ORÇAMENTO GERAL'!$J$102</f>
        <v>8.25</v>
      </c>
      <c r="Y15" s="394">
        <f>'ORÇAMENTO GERAL'!$J$103</f>
        <v>3.62</v>
      </c>
      <c r="Z15" s="394">
        <f>'ORÇAMENTO GERAL'!$J$106</f>
        <v>210.84</v>
      </c>
      <c r="AA15" s="394">
        <f>'ORÇAMENTO GERAL'!$J$107</f>
        <v>8.25</v>
      </c>
      <c r="AB15" s="394">
        <f>'ORÇAMENTO GERAL'!$J$108</f>
        <v>1.81</v>
      </c>
      <c r="AC15" s="394">
        <f>'ORÇAMENTO GERAL'!$J$109</f>
        <v>2.29</v>
      </c>
      <c r="AD15" s="394">
        <f>'ORÇAMENTO GERAL'!$J$110</f>
        <v>106.68</v>
      </c>
      <c r="AE15" s="394">
        <f>'ORÇAMENTO GERAL'!$J$111</f>
        <v>8.25</v>
      </c>
      <c r="AF15" s="394">
        <f>'ORÇAMENTO GERAL'!$J$112</f>
        <v>1.81</v>
      </c>
      <c r="AG15" s="394">
        <f>'ORÇAMENTO GERAL'!$J$113</f>
        <v>2.47</v>
      </c>
      <c r="AH15" s="393">
        <f t="shared" si="1"/>
        <v>0</v>
      </c>
    </row>
    <row r="16" spans="1:34" s="343" customFormat="1" ht="54.75" customHeight="1">
      <c r="A16" s="352">
        <v>3</v>
      </c>
      <c r="B16" s="353" t="str">
        <f>DADOS!B11</f>
        <v>RUA DO PORTO 2</v>
      </c>
      <c r="C16" s="354">
        <f>DADOS!E11*0</f>
        <v>0</v>
      </c>
      <c r="D16" s="345">
        <f>DADOS!F11</f>
        <v>5</v>
      </c>
      <c r="E16" s="345">
        <f t="shared" si="2"/>
        <v>0</v>
      </c>
      <c r="F16" s="345">
        <v>0.2</v>
      </c>
      <c r="G16" s="345">
        <f t="shared" si="3"/>
        <v>0</v>
      </c>
      <c r="H16" s="345">
        <f t="shared" si="4"/>
        <v>0</v>
      </c>
      <c r="I16" s="345">
        <f t="shared" si="5"/>
        <v>0</v>
      </c>
      <c r="J16" s="345">
        <v>0.1</v>
      </c>
      <c r="K16" s="345">
        <f t="shared" si="6"/>
        <v>0</v>
      </c>
      <c r="L16" s="345">
        <f t="shared" si="7"/>
        <v>0</v>
      </c>
      <c r="M16" s="345">
        <f t="shared" si="8"/>
        <v>0</v>
      </c>
      <c r="N16" s="345">
        <f t="shared" si="9"/>
        <v>0</v>
      </c>
      <c r="O16" s="345">
        <v>0.1</v>
      </c>
      <c r="P16" s="345">
        <f t="shared" si="10"/>
        <v>0</v>
      </c>
      <c r="Q16" s="345">
        <f t="shared" si="11"/>
        <v>0</v>
      </c>
      <c r="R16" s="345">
        <f t="shared" si="12"/>
        <v>0</v>
      </c>
      <c r="S16" s="345">
        <f t="shared" si="13"/>
        <v>0</v>
      </c>
      <c r="U16" s="390">
        <f t="shared" si="0"/>
        <v>3</v>
      </c>
      <c r="V16" s="394">
        <f>'ORÇAMENTO GERAL'!$J$100</f>
        <v>2.61</v>
      </c>
      <c r="W16" s="394">
        <f>'ORÇAMENTO GERAL'!$J$101</f>
        <v>2.82</v>
      </c>
      <c r="X16" s="394">
        <f>'ORÇAMENTO GERAL'!$J$102</f>
        <v>8.25</v>
      </c>
      <c r="Y16" s="394">
        <f>'ORÇAMENTO GERAL'!$J$103</f>
        <v>3.62</v>
      </c>
      <c r="Z16" s="394">
        <f>'ORÇAMENTO GERAL'!$J$106</f>
        <v>210.84</v>
      </c>
      <c r="AA16" s="394">
        <f>'ORÇAMENTO GERAL'!$J$107</f>
        <v>8.25</v>
      </c>
      <c r="AB16" s="394">
        <f>'ORÇAMENTO GERAL'!$J$108</f>
        <v>1.81</v>
      </c>
      <c r="AC16" s="394">
        <f>'ORÇAMENTO GERAL'!$J$109</f>
        <v>2.29</v>
      </c>
      <c r="AD16" s="394">
        <f>'ORÇAMENTO GERAL'!$J$110</f>
        <v>106.68</v>
      </c>
      <c r="AE16" s="394">
        <f>'ORÇAMENTO GERAL'!$J$111</f>
        <v>8.25</v>
      </c>
      <c r="AF16" s="394">
        <f>'ORÇAMENTO GERAL'!$J$112</f>
        <v>1.81</v>
      </c>
      <c r="AG16" s="394">
        <f>'ORÇAMENTO GERAL'!$J$113</f>
        <v>2.47</v>
      </c>
      <c r="AH16" s="393">
        <f t="shared" si="1"/>
        <v>0</v>
      </c>
    </row>
    <row r="17" spans="1:34" s="343" customFormat="1" ht="54.75" customHeight="1">
      <c r="A17" s="341">
        <v>4</v>
      </c>
      <c r="B17" s="353">
        <f>DADOS!B12</f>
        <v>0</v>
      </c>
      <c r="C17" s="354">
        <f>DADOS!E12</f>
        <v>0</v>
      </c>
      <c r="D17" s="345">
        <f>DADOS!F12</f>
        <v>0</v>
      </c>
      <c r="E17" s="345">
        <f t="shared" si="2"/>
        <v>0</v>
      </c>
      <c r="F17" s="345">
        <v>0.2</v>
      </c>
      <c r="G17" s="345">
        <f t="shared" si="3"/>
        <v>0</v>
      </c>
      <c r="H17" s="345">
        <f t="shared" si="4"/>
        <v>0</v>
      </c>
      <c r="I17" s="345">
        <f t="shared" si="5"/>
        <v>0</v>
      </c>
      <c r="J17" s="345">
        <v>0.1</v>
      </c>
      <c r="K17" s="345">
        <f t="shared" si="6"/>
        <v>0</v>
      </c>
      <c r="L17" s="345">
        <f t="shared" si="7"/>
        <v>0</v>
      </c>
      <c r="M17" s="345">
        <f t="shared" si="8"/>
        <v>0</v>
      </c>
      <c r="N17" s="345">
        <f t="shared" si="9"/>
        <v>0</v>
      </c>
      <c r="O17" s="345">
        <v>0.1</v>
      </c>
      <c r="P17" s="345">
        <f t="shared" si="10"/>
        <v>0</v>
      </c>
      <c r="Q17" s="345">
        <f t="shared" si="11"/>
        <v>0</v>
      </c>
      <c r="R17" s="345">
        <f t="shared" si="12"/>
        <v>0</v>
      </c>
      <c r="S17" s="345">
        <f t="shared" si="13"/>
        <v>0</v>
      </c>
      <c r="U17" s="390">
        <f t="shared" si="0"/>
        <v>4</v>
      </c>
      <c r="V17" s="394">
        <f>'ORÇAMENTO GERAL'!$J$100</f>
        <v>2.61</v>
      </c>
      <c r="W17" s="394">
        <f>'ORÇAMENTO GERAL'!$J$101</f>
        <v>2.82</v>
      </c>
      <c r="X17" s="394">
        <f>'ORÇAMENTO GERAL'!$J$102</f>
        <v>8.25</v>
      </c>
      <c r="Y17" s="394">
        <f>'ORÇAMENTO GERAL'!$J$103</f>
        <v>3.62</v>
      </c>
      <c r="Z17" s="394">
        <f>'ORÇAMENTO GERAL'!$J$106</f>
        <v>210.84</v>
      </c>
      <c r="AA17" s="394">
        <f>'ORÇAMENTO GERAL'!$J$107</f>
        <v>8.25</v>
      </c>
      <c r="AB17" s="394">
        <f>'ORÇAMENTO GERAL'!$J$108</f>
        <v>1.81</v>
      </c>
      <c r="AC17" s="394">
        <f>'ORÇAMENTO GERAL'!$J$109</f>
        <v>2.29</v>
      </c>
      <c r="AD17" s="394">
        <f>'ORÇAMENTO GERAL'!$J$110</f>
        <v>106.68</v>
      </c>
      <c r="AE17" s="394">
        <f>'ORÇAMENTO GERAL'!$J$111</f>
        <v>8.25</v>
      </c>
      <c r="AF17" s="394">
        <f>'ORÇAMENTO GERAL'!$J$112</f>
        <v>1.81</v>
      </c>
      <c r="AG17" s="394">
        <f>'ORÇAMENTO GERAL'!$J$113</f>
        <v>2.47</v>
      </c>
      <c r="AH17" s="393">
        <f t="shared" si="1"/>
        <v>0</v>
      </c>
    </row>
    <row r="18" spans="1:34" s="343" customFormat="1" ht="54.75" customHeight="1">
      <c r="A18" s="352">
        <v>5</v>
      </c>
      <c r="B18" s="353">
        <f>DADOS!B13</f>
        <v>0</v>
      </c>
      <c r="C18" s="354">
        <f>DADOS!E13</f>
        <v>0</v>
      </c>
      <c r="D18" s="345">
        <f>DADOS!F13</f>
        <v>0</v>
      </c>
      <c r="E18" s="345">
        <f t="shared" si="2"/>
        <v>0</v>
      </c>
      <c r="F18" s="345">
        <v>0.2</v>
      </c>
      <c r="G18" s="345">
        <f t="shared" si="3"/>
        <v>0</v>
      </c>
      <c r="H18" s="345">
        <f t="shared" si="4"/>
        <v>0</v>
      </c>
      <c r="I18" s="345">
        <f t="shared" si="5"/>
        <v>0</v>
      </c>
      <c r="J18" s="345">
        <v>0.1</v>
      </c>
      <c r="K18" s="345">
        <f t="shared" si="6"/>
        <v>0</v>
      </c>
      <c r="L18" s="345">
        <f t="shared" si="7"/>
        <v>0</v>
      </c>
      <c r="M18" s="345">
        <f t="shared" si="8"/>
        <v>0</v>
      </c>
      <c r="N18" s="345">
        <f t="shared" si="9"/>
        <v>0</v>
      </c>
      <c r="O18" s="345">
        <v>0.1</v>
      </c>
      <c r="P18" s="345">
        <f t="shared" si="10"/>
        <v>0</v>
      </c>
      <c r="Q18" s="345">
        <f t="shared" si="11"/>
        <v>0</v>
      </c>
      <c r="R18" s="345">
        <f t="shared" si="12"/>
        <v>0</v>
      </c>
      <c r="S18" s="345">
        <f t="shared" si="13"/>
        <v>0</v>
      </c>
      <c r="U18" s="390">
        <f t="shared" si="0"/>
        <v>5</v>
      </c>
      <c r="V18" s="394">
        <f>'ORÇAMENTO GERAL'!$J$100</f>
        <v>2.61</v>
      </c>
      <c r="W18" s="394">
        <f>'ORÇAMENTO GERAL'!$J$101</f>
        <v>2.82</v>
      </c>
      <c r="X18" s="394">
        <f>'ORÇAMENTO GERAL'!$J$102</f>
        <v>8.25</v>
      </c>
      <c r="Y18" s="394">
        <f>'ORÇAMENTO GERAL'!$J$103</f>
        <v>3.62</v>
      </c>
      <c r="Z18" s="394">
        <f>'ORÇAMENTO GERAL'!$J$106</f>
        <v>210.84</v>
      </c>
      <c r="AA18" s="394">
        <f>'ORÇAMENTO GERAL'!$J$107</f>
        <v>8.25</v>
      </c>
      <c r="AB18" s="394">
        <f>'ORÇAMENTO GERAL'!$J$108</f>
        <v>1.81</v>
      </c>
      <c r="AC18" s="394">
        <f>'ORÇAMENTO GERAL'!$J$109</f>
        <v>2.29</v>
      </c>
      <c r="AD18" s="394">
        <f>'ORÇAMENTO GERAL'!$J$110</f>
        <v>106.68</v>
      </c>
      <c r="AE18" s="394">
        <f>'ORÇAMENTO GERAL'!$J$111</f>
        <v>8.25</v>
      </c>
      <c r="AF18" s="394">
        <f>'ORÇAMENTO GERAL'!$J$112</f>
        <v>1.81</v>
      </c>
      <c r="AG18" s="394">
        <f>'ORÇAMENTO GERAL'!$J$113</f>
        <v>2.47</v>
      </c>
      <c r="AH18" s="393">
        <f t="shared" si="1"/>
        <v>0</v>
      </c>
    </row>
    <row r="19" spans="1:34" s="343" customFormat="1" ht="54.75" customHeight="1">
      <c r="A19" s="341">
        <v>6</v>
      </c>
      <c r="B19" s="353">
        <f>DADOS!B14</f>
        <v>0</v>
      </c>
      <c r="C19" s="354">
        <f>DADOS!E14</f>
        <v>0</v>
      </c>
      <c r="D19" s="345">
        <f>DADOS!F14</f>
        <v>0</v>
      </c>
      <c r="E19" s="345">
        <f t="shared" si="2"/>
        <v>0</v>
      </c>
      <c r="F19" s="345">
        <v>0.2</v>
      </c>
      <c r="G19" s="345">
        <f t="shared" si="3"/>
        <v>0</v>
      </c>
      <c r="H19" s="345">
        <f t="shared" si="4"/>
        <v>0</v>
      </c>
      <c r="I19" s="345">
        <f t="shared" si="5"/>
        <v>0</v>
      </c>
      <c r="J19" s="345">
        <v>0.1</v>
      </c>
      <c r="K19" s="345">
        <f t="shared" si="6"/>
        <v>0</v>
      </c>
      <c r="L19" s="345">
        <f t="shared" si="7"/>
        <v>0</v>
      </c>
      <c r="M19" s="345">
        <f t="shared" si="8"/>
        <v>0</v>
      </c>
      <c r="N19" s="345">
        <f t="shared" si="9"/>
        <v>0</v>
      </c>
      <c r="O19" s="345">
        <v>0.1</v>
      </c>
      <c r="P19" s="345">
        <f t="shared" si="10"/>
        <v>0</v>
      </c>
      <c r="Q19" s="345">
        <f t="shared" si="11"/>
        <v>0</v>
      </c>
      <c r="R19" s="345">
        <f t="shared" si="12"/>
        <v>0</v>
      </c>
      <c r="S19" s="345">
        <f t="shared" si="13"/>
        <v>0</v>
      </c>
      <c r="U19" s="390">
        <f t="shared" si="0"/>
        <v>6</v>
      </c>
      <c r="V19" s="394">
        <f>'ORÇAMENTO GERAL'!$J$100</f>
        <v>2.61</v>
      </c>
      <c r="W19" s="394">
        <f>'ORÇAMENTO GERAL'!$J$101</f>
        <v>2.82</v>
      </c>
      <c r="X19" s="394">
        <f>'ORÇAMENTO GERAL'!$J$102</f>
        <v>8.25</v>
      </c>
      <c r="Y19" s="394">
        <f>'ORÇAMENTO GERAL'!$J$103</f>
        <v>3.62</v>
      </c>
      <c r="Z19" s="394">
        <f>'ORÇAMENTO GERAL'!$J$106</f>
        <v>210.84</v>
      </c>
      <c r="AA19" s="394">
        <f>'ORÇAMENTO GERAL'!$J$107</f>
        <v>8.25</v>
      </c>
      <c r="AB19" s="394">
        <f>'ORÇAMENTO GERAL'!$J$108</f>
        <v>1.81</v>
      </c>
      <c r="AC19" s="394">
        <f>'ORÇAMENTO GERAL'!$J$109</f>
        <v>2.29</v>
      </c>
      <c r="AD19" s="394">
        <f>'ORÇAMENTO GERAL'!$J$110</f>
        <v>106.68</v>
      </c>
      <c r="AE19" s="394">
        <f>'ORÇAMENTO GERAL'!$J$111</f>
        <v>8.25</v>
      </c>
      <c r="AF19" s="394">
        <f>'ORÇAMENTO GERAL'!$J$112</f>
        <v>1.81</v>
      </c>
      <c r="AG19" s="394">
        <f>'ORÇAMENTO GERAL'!$J$113</f>
        <v>2.47</v>
      </c>
      <c r="AH19" s="393">
        <f t="shared" si="1"/>
        <v>0</v>
      </c>
    </row>
    <row r="20" spans="1:34" s="343" customFormat="1" ht="54.75" customHeight="1">
      <c r="A20" s="352">
        <v>7</v>
      </c>
      <c r="B20" s="353">
        <f>DADOS!B15</f>
        <v>0</v>
      </c>
      <c r="C20" s="354">
        <f>DADOS!E15</f>
        <v>0</v>
      </c>
      <c r="D20" s="345">
        <f>DADOS!F15</f>
        <v>0</v>
      </c>
      <c r="E20" s="345">
        <f t="shared" si="2"/>
        <v>0</v>
      </c>
      <c r="F20" s="345">
        <v>0.2</v>
      </c>
      <c r="G20" s="345">
        <f t="shared" si="3"/>
        <v>0</v>
      </c>
      <c r="H20" s="345">
        <f t="shared" si="4"/>
        <v>0</v>
      </c>
      <c r="I20" s="345">
        <f t="shared" si="5"/>
        <v>0</v>
      </c>
      <c r="J20" s="345">
        <v>0.1</v>
      </c>
      <c r="K20" s="345">
        <f t="shared" si="6"/>
        <v>0</v>
      </c>
      <c r="L20" s="345">
        <f t="shared" si="7"/>
        <v>0</v>
      </c>
      <c r="M20" s="345">
        <f t="shared" si="8"/>
        <v>0</v>
      </c>
      <c r="N20" s="345">
        <f t="shared" si="9"/>
        <v>0</v>
      </c>
      <c r="O20" s="345">
        <v>0.1</v>
      </c>
      <c r="P20" s="345">
        <f t="shared" si="10"/>
        <v>0</v>
      </c>
      <c r="Q20" s="345">
        <f t="shared" si="11"/>
        <v>0</v>
      </c>
      <c r="R20" s="345">
        <f t="shared" si="12"/>
        <v>0</v>
      </c>
      <c r="S20" s="345">
        <f t="shared" si="13"/>
        <v>0</v>
      </c>
      <c r="U20" s="390">
        <f t="shared" si="0"/>
        <v>7</v>
      </c>
      <c r="V20" s="394">
        <f>'ORÇAMENTO GERAL'!$J$100</f>
        <v>2.61</v>
      </c>
      <c r="W20" s="394">
        <f>'ORÇAMENTO GERAL'!$J$101</f>
        <v>2.82</v>
      </c>
      <c r="X20" s="394">
        <f>'ORÇAMENTO GERAL'!$J$102</f>
        <v>8.25</v>
      </c>
      <c r="Y20" s="394">
        <f>'ORÇAMENTO GERAL'!$J$103</f>
        <v>3.62</v>
      </c>
      <c r="Z20" s="394">
        <f>'ORÇAMENTO GERAL'!$J$106</f>
        <v>210.84</v>
      </c>
      <c r="AA20" s="394">
        <f>'ORÇAMENTO GERAL'!$J$107</f>
        <v>8.25</v>
      </c>
      <c r="AB20" s="394">
        <f>'ORÇAMENTO GERAL'!$J$108</f>
        <v>1.81</v>
      </c>
      <c r="AC20" s="394">
        <f>'ORÇAMENTO GERAL'!$J$109</f>
        <v>2.29</v>
      </c>
      <c r="AD20" s="394">
        <f>'ORÇAMENTO GERAL'!$J$110</f>
        <v>106.68</v>
      </c>
      <c r="AE20" s="394">
        <f>'ORÇAMENTO GERAL'!$J$111</f>
        <v>8.25</v>
      </c>
      <c r="AF20" s="394">
        <f>'ORÇAMENTO GERAL'!$J$112</f>
        <v>1.81</v>
      </c>
      <c r="AG20" s="394">
        <f>'ORÇAMENTO GERAL'!$J$113</f>
        <v>2.47</v>
      </c>
      <c r="AH20" s="393">
        <f t="shared" si="1"/>
        <v>0</v>
      </c>
    </row>
    <row r="21" spans="1:34" ht="54.75" customHeight="1">
      <c r="A21" s="341">
        <v>8</v>
      </c>
      <c r="B21" s="353">
        <f>DADOS!B16</f>
        <v>0</v>
      </c>
      <c r="C21" s="354">
        <f>DADOS!E16</f>
        <v>0</v>
      </c>
      <c r="D21" s="345">
        <f>DADOS!F16</f>
        <v>0</v>
      </c>
      <c r="E21" s="345">
        <f t="shared" si="2"/>
        <v>0</v>
      </c>
      <c r="F21" s="345">
        <v>0.2</v>
      </c>
      <c r="G21" s="345">
        <f t="shared" si="3"/>
        <v>0</v>
      </c>
      <c r="H21" s="345">
        <f t="shared" si="4"/>
        <v>0</v>
      </c>
      <c r="I21" s="345">
        <f t="shared" si="5"/>
        <v>0</v>
      </c>
      <c r="J21" s="345">
        <v>0.1</v>
      </c>
      <c r="K21" s="345">
        <f t="shared" si="6"/>
        <v>0</v>
      </c>
      <c r="L21" s="345">
        <f t="shared" si="7"/>
        <v>0</v>
      </c>
      <c r="M21" s="345">
        <f t="shared" si="8"/>
        <v>0</v>
      </c>
      <c r="N21" s="345">
        <f t="shared" si="9"/>
        <v>0</v>
      </c>
      <c r="O21" s="345">
        <v>0.1</v>
      </c>
      <c r="P21" s="345">
        <f t="shared" si="10"/>
        <v>0</v>
      </c>
      <c r="Q21" s="345">
        <f t="shared" si="11"/>
        <v>0</v>
      </c>
      <c r="R21" s="345">
        <f t="shared" si="12"/>
        <v>0</v>
      </c>
      <c r="S21" s="345">
        <f t="shared" si="13"/>
        <v>0</v>
      </c>
      <c r="U21" s="390">
        <f t="shared" si="0"/>
        <v>8</v>
      </c>
      <c r="V21" s="394">
        <f>'ORÇAMENTO GERAL'!$J$100</f>
        <v>2.61</v>
      </c>
      <c r="W21" s="394">
        <f>'ORÇAMENTO GERAL'!$J$101</f>
        <v>2.82</v>
      </c>
      <c r="X21" s="394">
        <f>'ORÇAMENTO GERAL'!$J$102</f>
        <v>8.25</v>
      </c>
      <c r="Y21" s="394">
        <f>'ORÇAMENTO GERAL'!$J$103</f>
        <v>3.62</v>
      </c>
      <c r="Z21" s="394">
        <f>'ORÇAMENTO GERAL'!$J$106</f>
        <v>210.84</v>
      </c>
      <c r="AA21" s="394">
        <f>'ORÇAMENTO GERAL'!$J$107</f>
        <v>8.25</v>
      </c>
      <c r="AB21" s="394">
        <f>'ORÇAMENTO GERAL'!$J$108</f>
        <v>1.81</v>
      </c>
      <c r="AC21" s="394">
        <f>'ORÇAMENTO GERAL'!$J$109</f>
        <v>2.29</v>
      </c>
      <c r="AD21" s="394">
        <f>'ORÇAMENTO GERAL'!$J$110</f>
        <v>106.68</v>
      </c>
      <c r="AE21" s="394">
        <f>'ORÇAMENTO GERAL'!$J$111</f>
        <v>8.25</v>
      </c>
      <c r="AF21" s="394">
        <f>'ORÇAMENTO GERAL'!$J$112</f>
        <v>1.81</v>
      </c>
      <c r="AG21" s="394">
        <f>'ORÇAMENTO GERAL'!$J$113</f>
        <v>2.47</v>
      </c>
      <c r="AH21" s="393">
        <f t="shared" si="1"/>
        <v>0</v>
      </c>
    </row>
    <row r="22" spans="1:34" ht="54.75" customHeight="1">
      <c r="A22" s="352">
        <v>9</v>
      </c>
      <c r="B22" s="353">
        <f>DADOS!B17</f>
        <v>0</v>
      </c>
      <c r="C22" s="354">
        <f>DADOS!E17</f>
        <v>0</v>
      </c>
      <c r="D22" s="345">
        <f>DADOS!F17</f>
        <v>0</v>
      </c>
      <c r="E22" s="345">
        <f t="shared" si="2"/>
        <v>0</v>
      </c>
      <c r="F22" s="345">
        <v>0.2</v>
      </c>
      <c r="G22" s="345">
        <f t="shared" si="3"/>
        <v>0</v>
      </c>
      <c r="H22" s="345">
        <f t="shared" si="4"/>
        <v>0</v>
      </c>
      <c r="I22" s="345">
        <f t="shared" si="5"/>
        <v>0</v>
      </c>
      <c r="J22" s="345">
        <v>0.1</v>
      </c>
      <c r="K22" s="345">
        <f t="shared" si="6"/>
        <v>0</v>
      </c>
      <c r="L22" s="345">
        <f t="shared" si="7"/>
        <v>0</v>
      </c>
      <c r="M22" s="345">
        <f t="shared" si="8"/>
        <v>0</v>
      </c>
      <c r="N22" s="345">
        <f t="shared" si="9"/>
        <v>0</v>
      </c>
      <c r="O22" s="345">
        <v>0.1</v>
      </c>
      <c r="P22" s="345">
        <f t="shared" si="10"/>
        <v>0</v>
      </c>
      <c r="Q22" s="345">
        <f t="shared" si="11"/>
        <v>0</v>
      </c>
      <c r="R22" s="345">
        <f t="shared" si="12"/>
        <v>0</v>
      </c>
      <c r="S22" s="345">
        <f t="shared" si="13"/>
        <v>0</v>
      </c>
      <c r="U22" s="390">
        <f t="shared" si="0"/>
        <v>9</v>
      </c>
      <c r="V22" s="394">
        <f>'ORÇAMENTO GERAL'!$J$100</f>
        <v>2.61</v>
      </c>
      <c r="W22" s="394">
        <f>'ORÇAMENTO GERAL'!$J$101</f>
        <v>2.82</v>
      </c>
      <c r="X22" s="394">
        <f>'ORÇAMENTO GERAL'!$J$102</f>
        <v>8.25</v>
      </c>
      <c r="Y22" s="394">
        <f>'ORÇAMENTO GERAL'!$J$103</f>
        <v>3.62</v>
      </c>
      <c r="Z22" s="394">
        <f>'ORÇAMENTO GERAL'!$J$106</f>
        <v>210.84</v>
      </c>
      <c r="AA22" s="394">
        <f>'ORÇAMENTO GERAL'!$J$107</f>
        <v>8.25</v>
      </c>
      <c r="AB22" s="394">
        <f>'ORÇAMENTO GERAL'!$J$108</f>
        <v>1.81</v>
      </c>
      <c r="AC22" s="394">
        <f>'ORÇAMENTO GERAL'!$J$109</f>
        <v>2.29</v>
      </c>
      <c r="AD22" s="394">
        <f>'ORÇAMENTO GERAL'!$J$110</f>
        <v>106.68</v>
      </c>
      <c r="AE22" s="394">
        <f>'ORÇAMENTO GERAL'!$J$111</f>
        <v>8.25</v>
      </c>
      <c r="AF22" s="394">
        <f>'ORÇAMENTO GERAL'!$J$112</f>
        <v>1.81</v>
      </c>
      <c r="AG22" s="394">
        <f>'ORÇAMENTO GERAL'!$J$113</f>
        <v>2.47</v>
      </c>
      <c r="AH22" s="393">
        <f t="shared" si="1"/>
        <v>0</v>
      </c>
    </row>
    <row r="23" spans="1:34" ht="54.75" customHeight="1">
      <c r="A23" s="341">
        <v>10</v>
      </c>
      <c r="B23" s="353">
        <f>DADOS!B18</f>
        <v>0</v>
      </c>
      <c r="C23" s="354">
        <f>DADOS!E18</f>
        <v>0</v>
      </c>
      <c r="D23" s="345">
        <f>DADOS!F18</f>
        <v>0</v>
      </c>
      <c r="E23" s="345">
        <f t="shared" si="2"/>
        <v>0</v>
      </c>
      <c r="F23" s="345">
        <v>0.2</v>
      </c>
      <c r="G23" s="345">
        <f t="shared" si="3"/>
        <v>0</v>
      </c>
      <c r="H23" s="345">
        <f t="shared" si="4"/>
        <v>0</v>
      </c>
      <c r="I23" s="345">
        <f t="shared" si="5"/>
        <v>0</v>
      </c>
      <c r="J23" s="345">
        <v>0.1</v>
      </c>
      <c r="K23" s="345">
        <f t="shared" si="6"/>
        <v>0</v>
      </c>
      <c r="L23" s="345">
        <f t="shared" si="7"/>
        <v>0</v>
      </c>
      <c r="M23" s="345">
        <f t="shared" si="8"/>
        <v>0</v>
      </c>
      <c r="N23" s="345">
        <f t="shared" si="9"/>
        <v>0</v>
      </c>
      <c r="O23" s="345">
        <v>0.1</v>
      </c>
      <c r="P23" s="345">
        <f t="shared" si="10"/>
        <v>0</v>
      </c>
      <c r="Q23" s="345">
        <f t="shared" si="11"/>
        <v>0</v>
      </c>
      <c r="R23" s="345">
        <f t="shared" si="12"/>
        <v>0</v>
      </c>
      <c r="S23" s="345">
        <f t="shared" si="13"/>
        <v>0</v>
      </c>
      <c r="U23" s="390">
        <f t="shared" si="0"/>
        <v>10</v>
      </c>
      <c r="V23" s="394">
        <f>'ORÇAMENTO GERAL'!$J$100</f>
        <v>2.61</v>
      </c>
      <c r="W23" s="394">
        <f>'ORÇAMENTO GERAL'!$J$101</f>
        <v>2.82</v>
      </c>
      <c r="X23" s="394">
        <f>'ORÇAMENTO GERAL'!$J$102</f>
        <v>8.25</v>
      </c>
      <c r="Y23" s="394">
        <f>'ORÇAMENTO GERAL'!$J$103</f>
        <v>3.62</v>
      </c>
      <c r="Z23" s="394">
        <f>'ORÇAMENTO GERAL'!$J$106</f>
        <v>210.84</v>
      </c>
      <c r="AA23" s="394">
        <f>'ORÇAMENTO GERAL'!$J$107</f>
        <v>8.25</v>
      </c>
      <c r="AB23" s="394">
        <f>'ORÇAMENTO GERAL'!$J$108</f>
        <v>1.81</v>
      </c>
      <c r="AC23" s="394">
        <f>'ORÇAMENTO GERAL'!$J$109</f>
        <v>2.29</v>
      </c>
      <c r="AD23" s="394">
        <f>'ORÇAMENTO GERAL'!$J$110</f>
        <v>106.68</v>
      </c>
      <c r="AE23" s="394">
        <f>'ORÇAMENTO GERAL'!$J$111</f>
        <v>8.25</v>
      </c>
      <c r="AF23" s="394">
        <f>'ORÇAMENTO GERAL'!$J$112</f>
        <v>1.81</v>
      </c>
      <c r="AG23" s="394">
        <f>'ORÇAMENTO GERAL'!$J$113</f>
        <v>2.47</v>
      </c>
      <c r="AH23" s="393">
        <f t="shared" si="1"/>
        <v>0</v>
      </c>
    </row>
    <row r="24" spans="1:34" ht="54.75" customHeight="1">
      <c r="A24" s="352">
        <v>11</v>
      </c>
      <c r="B24" s="353">
        <f>DADOS!B19</f>
        <v>0</v>
      </c>
      <c r="C24" s="354">
        <f>DADOS!E19</f>
        <v>0</v>
      </c>
      <c r="D24" s="345">
        <f>DADOS!F19</f>
        <v>0</v>
      </c>
      <c r="E24" s="345">
        <f t="shared" si="2"/>
        <v>0</v>
      </c>
      <c r="F24" s="345">
        <v>0.2</v>
      </c>
      <c r="G24" s="345">
        <f t="shared" si="3"/>
        <v>0</v>
      </c>
      <c r="H24" s="345">
        <f t="shared" si="4"/>
        <v>0</v>
      </c>
      <c r="I24" s="345">
        <f t="shared" si="5"/>
        <v>0</v>
      </c>
      <c r="J24" s="345">
        <v>0.1</v>
      </c>
      <c r="K24" s="345">
        <f t="shared" si="6"/>
        <v>0</v>
      </c>
      <c r="L24" s="345">
        <f t="shared" si="7"/>
        <v>0</v>
      </c>
      <c r="M24" s="345">
        <f t="shared" si="8"/>
        <v>0</v>
      </c>
      <c r="N24" s="345">
        <f t="shared" si="9"/>
        <v>0</v>
      </c>
      <c r="O24" s="345">
        <v>0.1</v>
      </c>
      <c r="P24" s="345">
        <f t="shared" si="10"/>
        <v>0</v>
      </c>
      <c r="Q24" s="345">
        <f t="shared" si="11"/>
        <v>0</v>
      </c>
      <c r="R24" s="345">
        <f t="shared" si="12"/>
        <v>0</v>
      </c>
      <c r="S24" s="345">
        <f t="shared" si="13"/>
        <v>0</v>
      </c>
      <c r="U24" s="390">
        <f t="shared" si="0"/>
        <v>11</v>
      </c>
      <c r="V24" s="394">
        <f>'ORÇAMENTO GERAL'!$J$100</f>
        <v>2.61</v>
      </c>
      <c r="W24" s="394">
        <f>'ORÇAMENTO GERAL'!$J$101</f>
        <v>2.82</v>
      </c>
      <c r="X24" s="394">
        <f>'ORÇAMENTO GERAL'!$J$102</f>
        <v>8.25</v>
      </c>
      <c r="Y24" s="394">
        <f>'ORÇAMENTO GERAL'!$J$103</f>
        <v>3.62</v>
      </c>
      <c r="Z24" s="394">
        <f>'ORÇAMENTO GERAL'!$J$106</f>
        <v>210.84</v>
      </c>
      <c r="AA24" s="394">
        <f>'ORÇAMENTO GERAL'!$J$107</f>
        <v>8.25</v>
      </c>
      <c r="AB24" s="394">
        <f>'ORÇAMENTO GERAL'!$J$108</f>
        <v>1.81</v>
      </c>
      <c r="AC24" s="394">
        <f>'ORÇAMENTO GERAL'!$J$109</f>
        <v>2.29</v>
      </c>
      <c r="AD24" s="394">
        <f>'ORÇAMENTO GERAL'!$J$110</f>
        <v>106.68</v>
      </c>
      <c r="AE24" s="394">
        <f>'ORÇAMENTO GERAL'!$J$111</f>
        <v>8.25</v>
      </c>
      <c r="AF24" s="394">
        <f>'ORÇAMENTO GERAL'!$J$112</f>
        <v>1.81</v>
      </c>
      <c r="AG24" s="394">
        <f>'ORÇAMENTO GERAL'!$J$113</f>
        <v>2.47</v>
      </c>
      <c r="AH24" s="393">
        <f t="shared" si="1"/>
        <v>0</v>
      </c>
    </row>
    <row r="25" spans="1:34" s="343" customFormat="1" ht="54.75" customHeight="1">
      <c r="A25" s="341">
        <v>12</v>
      </c>
      <c r="B25" s="353">
        <f>DADOS!B20</f>
        <v>0</v>
      </c>
      <c r="C25" s="354">
        <f>DADOS!E20</f>
        <v>0</v>
      </c>
      <c r="D25" s="345">
        <f>DADOS!F20</f>
        <v>0</v>
      </c>
      <c r="E25" s="345">
        <f t="shared" si="2"/>
        <v>0</v>
      </c>
      <c r="F25" s="345">
        <v>0.2</v>
      </c>
      <c r="G25" s="345">
        <f t="shared" si="3"/>
        <v>0</v>
      </c>
      <c r="H25" s="345">
        <f t="shared" si="4"/>
        <v>0</v>
      </c>
      <c r="I25" s="345">
        <f t="shared" si="5"/>
        <v>0</v>
      </c>
      <c r="J25" s="345">
        <v>0.1</v>
      </c>
      <c r="K25" s="345">
        <f t="shared" si="6"/>
        <v>0</v>
      </c>
      <c r="L25" s="345">
        <f t="shared" si="7"/>
        <v>0</v>
      </c>
      <c r="M25" s="345">
        <f t="shared" si="8"/>
        <v>0</v>
      </c>
      <c r="N25" s="345">
        <f t="shared" si="9"/>
        <v>0</v>
      </c>
      <c r="O25" s="345">
        <v>0.1</v>
      </c>
      <c r="P25" s="345">
        <f t="shared" si="10"/>
        <v>0</v>
      </c>
      <c r="Q25" s="345">
        <f t="shared" si="11"/>
        <v>0</v>
      </c>
      <c r="R25" s="345">
        <f t="shared" si="12"/>
        <v>0</v>
      </c>
      <c r="S25" s="345">
        <f t="shared" si="13"/>
        <v>0</v>
      </c>
      <c r="U25" s="390">
        <f t="shared" si="0"/>
        <v>12</v>
      </c>
      <c r="V25" s="394">
        <f>'ORÇAMENTO GERAL'!$J$100</f>
        <v>2.61</v>
      </c>
      <c r="W25" s="394">
        <f>'ORÇAMENTO GERAL'!$J$101</f>
        <v>2.82</v>
      </c>
      <c r="X25" s="394">
        <f>'ORÇAMENTO GERAL'!$J$102</f>
        <v>8.25</v>
      </c>
      <c r="Y25" s="394">
        <f>'ORÇAMENTO GERAL'!$J$103</f>
        <v>3.62</v>
      </c>
      <c r="Z25" s="394">
        <f>'ORÇAMENTO GERAL'!$J$106</f>
        <v>210.84</v>
      </c>
      <c r="AA25" s="394">
        <f>'ORÇAMENTO GERAL'!$J$107</f>
        <v>8.25</v>
      </c>
      <c r="AB25" s="394">
        <f>'ORÇAMENTO GERAL'!$J$108</f>
        <v>1.81</v>
      </c>
      <c r="AC25" s="394">
        <f>'ORÇAMENTO GERAL'!$J$109</f>
        <v>2.29</v>
      </c>
      <c r="AD25" s="394">
        <f>'ORÇAMENTO GERAL'!$J$110</f>
        <v>106.68</v>
      </c>
      <c r="AE25" s="394">
        <f>'ORÇAMENTO GERAL'!$J$111</f>
        <v>8.25</v>
      </c>
      <c r="AF25" s="394">
        <f>'ORÇAMENTO GERAL'!$J$112</f>
        <v>1.81</v>
      </c>
      <c r="AG25" s="394">
        <f>'ORÇAMENTO GERAL'!$J$113</f>
        <v>2.47</v>
      </c>
      <c r="AH25" s="393">
        <f t="shared" si="1"/>
        <v>0</v>
      </c>
    </row>
    <row r="26" spans="1:34" s="343" customFormat="1" ht="54.75" customHeight="1">
      <c r="A26" s="352">
        <v>13</v>
      </c>
      <c r="B26" s="353">
        <f>DADOS!B21</f>
        <v>0</v>
      </c>
      <c r="C26" s="354">
        <f>DADOS!E21</f>
        <v>0</v>
      </c>
      <c r="D26" s="345">
        <f>DADOS!F21</f>
        <v>0</v>
      </c>
      <c r="E26" s="345">
        <f t="shared" si="2"/>
        <v>0</v>
      </c>
      <c r="F26" s="345">
        <v>0.2</v>
      </c>
      <c r="G26" s="345">
        <f t="shared" si="3"/>
        <v>0</v>
      </c>
      <c r="H26" s="345">
        <f t="shared" si="4"/>
        <v>0</v>
      </c>
      <c r="I26" s="345">
        <f t="shared" si="5"/>
        <v>0</v>
      </c>
      <c r="J26" s="345">
        <v>0.1</v>
      </c>
      <c r="K26" s="345">
        <f t="shared" si="6"/>
        <v>0</v>
      </c>
      <c r="L26" s="345">
        <f t="shared" si="7"/>
        <v>0</v>
      </c>
      <c r="M26" s="345">
        <f t="shared" si="8"/>
        <v>0</v>
      </c>
      <c r="N26" s="345">
        <f t="shared" si="9"/>
        <v>0</v>
      </c>
      <c r="O26" s="345">
        <v>0.1</v>
      </c>
      <c r="P26" s="345">
        <f t="shared" si="10"/>
        <v>0</v>
      </c>
      <c r="Q26" s="345">
        <f t="shared" si="11"/>
        <v>0</v>
      </c>
      <c r="R26" s="345">
        <f t="shared" si="12"/>
        <v>0</v>
      </c>
      <c r="S26" s="345">
        <f t="shared" si="13"/>
        <v>0</v>
      </c>
      <c r="U26" s="390">
        <f t="shared" si="0"/>
        <v>13</v>
      </c>
      <c r="V26" s="394">
        <f>'ORÇAMENTO GERAL'!$J$100</f>
        <v>2.61</v>
      </c>
      <c r="W26" s="394">
        <f>'ORÇAMENTO GERAL'!$J$101</f>
        <v>2.82</v>
      </c>
      <c r="X26" s="394">
        <f>'ORÇAMENTO GERAL'!$J$102</f>
        <v>8.25</v>
      </c>
      <c r="Y26" s="394">
        <f>'ORÇAMENTO GERAL'!$J$103</f>
        <v>3.62</v>
      </c>
      <c r="Z26" s="394">
        <f>'ORÇAMENTO GERAL'!$J$106</f>
        <v>210.84</v>
      </c>
      <c r="AA26" s="394">
        <f>'ORÇAMENTO GERAL'!$J$107</f>
        <v>8.25</v>
      </c>
      <c r="AB26" s="394">
        <f>'ORÇAMENTO GERAL'!$J$108</f>
        <v>1.81</v>
      </c>
      <c r="AC26" s="394">
        <f>'ORÇAMENTO GERAL'!$J$109</f>
        <v>2.29</v>
      </c>
      <c r="AD26" s="394">
        <f>'ORÇAMENTO GERAL'!$J$110</f>
        <v>106.68</v>
      </c>
      <c r="AE26" s="394">
        <f>'ORÇAMENTO GERAL'!$J$111</f>
        <v>8.25</v>
      </c>
      <c r="AF26" s="394">
        <f>'ORÇAMENTO GERAL'!$J$112</f>
        <v>1.81</v>
      </c>
      <c r="AG26" s="394">
        <f>'ORÇAMENTO GERAL'!$J$113</f>
        <v>2.47</v>
      </c>
      <c r="AH26" s="393">
        <f t="shared" si="1"/>
        <v>0</v>
      </c>
    </row>
    <row r="27" spans="1:34" s="343" customFormat="1" ht="54.75" customHeight="1">
      <c r="A27" s="341">
        <v>14</v>
      </c>
      <c r="B27" s="353">
        <f>DADOS!B22</f>
        <v>0</v>
      </c>
      <c r="C27" s="354">
        <f>DADOS!E22</f>
        <v>0</v>
      </c>
      <c r="D27" s="345">
        <f>DADOS!F22</f>
        <v>0</v>
      </c>
      <c r="E27" s="345">
        <f t="shared" si="2"/>
        <v>0</v>
      </c>
      <c r="F27" s="345">
        <v>0.2</v>
      </c>
      <c r="G27" s="345">
        <f t="shared" si="3"/>
        <v>0</v>
      </c>
      <c r="H27" s="345">
        <f t="shared" si="4"/>
        <v>0</v>
      </c>
      <c r="I27" s="345">
        <f t="shared" si="5"/>
        <v>0</v>
      </c>
      <c r="J27" s="345">
        <v>0.1</v>
      </c>
      <c r="K27" s="345">
        <f t="shared" si="6"/>
        <v>0</v>
      </c>
      <c r="L27" s="345">
        <f t="shared" si="7"/>
        <v>0</v>
      </c>
      <c r="M27" s="345">
        <f t="shared" si="8"/>
        <v>0</v>
      </c>
      <c r="N27" s="345">
        <f t="shared" si="9"/>
        <v>0</v>
      </c>
      <c r="O27" s="345">
        <v>0.1</v>
      </c>
      <c r="P27" s="345">
        <f t="shared" si="10"/>
        <v>0</v>
      </c>
      <c r="Q27" s="345">
        <f t="shared" si="11"/>
        <v>0</v>
      </c>
      <c r="R27" s="345">
        <f t="shared" si="12"/>
        <v>0</v>
      </c>
      <c r="S27" s="345">
        <f t="shared" si="13"/>
        <v>0</v>
      </c>
      <c r="U27" s="390">
        <f t="shared" si="0"/>
        <v>14</v>
      </c>
      <c r="V27" s="394">
        <f>'ORÇAMENTO GERAL'!$J$100</f>
        <v>2.61</v>
      </c>
      <c r="W27" s="394">
        <f>'ORÇAMENTO GERAL'!$J$101</f>
        <v>2.82</v>
      </c>
      <c r="X27" s="394">
        <f>'ORÇAMENTO GERAL'!$J$102</f>
        <v>8.25</v>
      </c>
      <c r="Y27" s="394">
        <f>'ORÇAMENTO GERAL'!$J$103</f>
        <v>3.62</v>
      </c>
      <c r="Z27" s="394">
        <f>'ORÇAMENTO GERAL'!$J$106</f>
        <v>210.84</v>
      </c>
      <c r="AA27" s="394">
        <f>'ORÇAMENTO GERAL'!$J$107</f>
        <v>8.25</v>
      </c>
      <c r="AB27" s="394">
        <f>'ORÇAMENTO GERAL'!$J$108</f>
        <v>1.81</v>
      </c>
      <c r="AC27" s="394">
        <f>'ORÇAMENTO GERAL'!$J$109</f>
        <v>2.29</v>
      </c>
      <c r="AD27" s="394">
        <f>'ORÇAMENTO GERAL'!$J$110</f>
        <v>106.68</v>
      </c>
      <c r="AE27" s="394">
        <f>'ORÇAMENTO GERAL'!$J$111</f>
        <v>8.25</v>
      </c>
      <c r="AF27" s="394">
        <f>'ORÇAMENTO GERAL'!$J$112</f>
        <v>1.81</v>
      </c>
      <c r="AG27" s="394">
        <f>'ORÇAMENTO GERAL'!$J$113</f>
        <v>2.47</v>
      </c>
      <c r="AH27" s="393">
        <f t="shared" si="1"/>
        <v>0</v>
      </c>
    </row>
    <row r="28" spans="1:34" s="343" customFormat="1" ht="54.75" customHeight="1">
      <c r="A28" s="352">
        <v>15</v>
      </c>
      <c r="B28" s="353">
        <f>DADOS!B23</f>
        <v>0</v>
      </c>
      <c r="C28" s="354">
        <f>DADOS!E23</f>
        <v>0</v>
      </c>
      <c r="D28" s="345">
        <f>DADOS!F23</f>
        <v>0</v>
      </c>
      <c r="E28" s="345">
        <f t="shared" si="2"/>
        <v>0</v>
      </c>
      <c r="F28" s="345">
        <v>0.2</v>
      </c>
      <c r="G28" s="345">
        <f t="shared" si="3"/>
        <v>0</v>
      </c>
      <c r="H28" s="345">
        <f t="shared" si="4"/>
        <v>0</v>
      </c>
      <c r="I28" s="345">
        <f t="shared" si="5"/>
        <v>0</v>
      </c>
      <c r="J28" s="345">
        <v>0.1</v>
      </c>
      <c r="K28" s="345">
        <f t="shared" si="6"/>
        <v>0</v>
      </c>
      <c r="L28" s="345">
        <f t="shared" si="7"/>
        <v>0</v>
      </c>
      <c r="M28" s="345">
        <f t="shared" si="8"/>
        <v>0</v>
      </c>
      <c r="N28" s="345">
        <f t="shared" si="9"/>
        <v>0</v>
      </c>
      <c r="O28" s="345">
        <v>0.1</v>
      </c>
      <c r="P28" s="345">
        <f t="shared" si="10"/>
        <v>0</v>
      </c>
      <c r="Q28" s="345">
        <f t="shared" si="11"/>
        <v>0</v>
      </c>
      <c r="R28" s="345">
        <f t="shared" si="12"/>
        <v>0</v>
      </c>
      <c r="S28" s="345">
        <f t="shared" si="13"/>
        <v>0</v>
      </c>
      <c r="U28" s="390">
        <f t="shared" si="0"/>
        <v>15</v>
      </c>
      <c r="V28" s="394">
        <f>'ORÇAMENTO GERAL'!$J$100</f>
        <v>2.61</v>
      </c>
      <c r="W28" s="394">
        <f>'ORÇAMENTO GERAL'!$J$101</f>
        <v>2.82</v>
      </c>
      <c r="X28" s="394">
        <f>'ORÇAMENTO GERAL'!$J$102</f>
        <v>8.25</v>
      </c>
      <c r="Y28" s="394">
        <f>'ORÇAMENTO GERAL'!$J$103</f>
        <v>3.62</v>
      </c>
      <c r="Z28" s="394">
        <f>'ORÇAMENTO GERAL'!$J$106</f>
        <v>210.84</v>
      </c>
      <c r="AA28" s="394">
        <f>'ORÇAMENTO GERAL'!$J$107</f>
        <v>8.25</v>
      </c>
      <c r="AB28" s="394">
        <f>'ORÇAMENTO GERAL'!$J$108</f>
        <v>1.81</v>
      </c>
      <c r="AC28" s="394">
        <f>'ORÇAMENTO GERAL'!$J$109</f>
        <v>2.29</v>
      </c>
      <c r="AD28" s="394">
        <f>'ORÇAMENTO GERAL'!$J$110</f>
        <v>106.68</v>
      </c>
      <c r="AE28" s="394">
        <f>'ORÇAMENTO GERAL'!$J$111</f>
        <v>8.25</v>
      </c>
      <c r="AF28" s="394">
        <f>'ORÇAMENTO GERAL'!$J$112</f>
        <v>1.81</v>
      </c>
      <c r="AG28" s="394">
        <f>'ORÇAMENTO GERAL'!$J$113</f>
        <v>2.47</v>
      </c>
      <c r="AH28" s="393">
        <f t="shared" si="1"/>
        <v>0</v>
      </c>
    </row>
    <row r="29" spans="1:34" s="343" customFormat="1" ht="54.75" customHeight="1">
      <c r="A29" s="341">
        <v>16</v>
      </c>
      <c r="B29" s="353">
        <f>DADOS!B24</f>
        <v>0</v>
      </c>
      <c r="C29" s="354">
        <f>DADOS!E24</f>
        <v>0</v>
      </c>
      <c r="D29" s="345">
        <f>DADOS!F24</f>
        <v>0</v>
      </c>
      <c r="E29" s="345">
        <f t="shared" si="2"/>
        <v>0</v>
      </c>
      <c r="F29" s="345">
        <v>0.2</v>
      </c>
      <c r="G29" s="345">
        <f t="shared" si="3"/>
        <v>0</v>
      </c>
      <c r="H29" s="345">
        <f t="shared" si="4"/>
        <v>0</v>
      </c>
      <c r="I29" s="345">
        <f t="shared" si="5"/>
        <v>0</v>
      </c>
      <c r="J29" s="345">
        <v>0.1</v>
      </c>
      <c r="K29" s="345">
        <f t="shared" si="6"/>
        <v>0</v>
      </c>
      <c r="L29" s="345">
        <f t="shared" si="7"/>
        <v>0</v>
      </c>
      <c r="M29" s="345">
        <f t="shared" si="8"/>
        <v>0</v>
      </c>
      <c r="N29" s="345">
        <f t="shared" si="9"/>
        <v>0</v>
      </c>
      <c r="O29" s="345">
        <v>0.1</v>
      </c>
      <c r="P29" s="345">
        <f t="shared" si="10"/>
        <v>0</v>
      </c>
      <c r="Q29" s="345">
        <f t="shared" si="11"/>
        <v>0</v>
      </c>
      <c r="R29" s="345">
        <f t="shared" si="12"/>
        <v>0</v>
      </c>
      <c r="S29" s="345">
        <f t="shared" si="13"/>
        <v>0</v>
      </c>
      <c r="U29" s="390">
        <f t="shared" si="0"/>
        <v>16</v>
      </c>
      <c r="V29" s="394">
        <f>'ORÇAMENTO GERAL'!$J$100</f>
        <v>2.61</v>
      </c>
      <c r="W29" s="394">
        <f>'ORÇAMENTO GERAL'!$J$101</f>
        <v>2.82</v>
      </c>
      <c r="X29" s="394">
        <f>'ORÇAMENTO GERAL'!$J$102</f>
        <v>8.25</v>
      </c>
      <c r="Y29" s="394">
        <f>'ORÇAMENTO GERAL'!$J$103</f>
        <v>3.62</v>
      </c>
      <c r="Z29" s="394">
        <f>'ORÇAMENTO GERAL'!$J$106</f>
        <v>210.84</v>
      </c>
      <c r="AA29" s="394">
        <f>'ORÇAMENTO GERAL'!$J$107</f>
        <v>8.25</v>
      </c>
      <c r="AB29" s="394">
        <f>'ORÇAMENTO GERAL'!$J$108</f>
        <v>1.81</v>
      </c>
      <c r="AC29" s="394">
        <f>'ORÇAMENTO GERAL'!$J$109</f>
        <v>2.29</v>
      </c>
      <c r="AD29" s="394">
        <f>'ORÇAMENTO GERAL'!$J$110</f>
        <v>106.68</v>
      </c>
      <c r="AE29" s="394">
        <f>'ORÇAMENTO GERAL'!$J$111</f>
        <v>8.25</v>
      </c>
      <c r="AF29" s="394">
        <f>'ORÇAMENTO GERAL'!$J$112</f>
        <v>1.81</v>
      </c>
      <c r="AG29" s="394">
        <f>'ORÇAMENTO GERAL'!$J$113</f>
        <v>2.47</v>
      </c>
      <c r="AH29" s="393">
        <f t="shared" si="1"/>
        <v>0</v>
      </c>
    </row>
    <row r="30" spans="1:34" ht="54.75" customHeight="1">
      <c r="A30" s="352">
        <v>17</v>
      </c>
      <c r="B30" s="353">
        <f>DADOS!B25</f>
        <v>0</v>
      </c>
      <c r="C30" s="354">
        <f>DADOS!E25</f>
        <v>0</v>
      </c>
      <c r="D30" s="345">
        <f>DADOS!F25</f>
        <v>0</v>
      </c>
      <c r="E30" s="345">
        <f t="shared" si="2"/>
        <v>0</v>
      </c>
      <c r="F30" s="345">
        <v>0.2</v>
      </c>
      <c r="G30" s="345">
        <f t="shared" si="3"/>
        <v>0</v>
      </c>
      <c r="H30" s="345">
        <f t="shared" si="4"/>
        <v>0</v>
      </c>
      <c r="I30" s="345">
        <f t="shared" si="5"/>
        <v>0</v>
      </c>
      <c r="J30" s="345">
        <v>0.1</v>
      </c>
      <c r="K30" s="345">
        <f t="shared" si="6"/>
        <v>0</v>
      </c>
      <c r="L30" s="345">
        <f t="shared" si="7"/>
        <v>0</v>
      </c>
      <c r="M30" s="345">
        <f t="shared" si="8"/>
        <v>0</v>
      </c>
      <c r="N30" s="345">
        <f t="shared" si="9"/>
        <v>0</v>
      </c>
      <c r="O30" s="345">
        <v>0.1</v>
      </c>
      <c r="P30" s="345">
        <f t="shared" si="10"/>
        <v>0</v>
      </c>
      <c r="Q30" s="345">
        <f t="shared" si="11"/>
        <v>0</v>
      </c>
      <c r="R30" s="345">
        <f t="shared" si="12"/>
        <v>0</v>
      </c>
      <c r="S30" s="345">
        <f t="shared" si="13"/>
        <v>0</v>
      </c>
      <c r="U30" s="390">
        <f t="shared" si="0"/>
        <v>17</v>
      </c>
      <c r="V30" s="394">
        <f>'ORÇAMENTO GERAL'!$J$100</f>
        <v>2.61</v>
      </c>
      <c r="W30" s="394">
        <f>'ORÇAMENTO GERAL'!$J$101</f>
        <v>2.82</v>
      </c>
      <c r="X30" s="394">
        <f>'ORÇAMENTO GERAL'!$J$102</f>
        <v>8.25</v>
      </c>
      <c r="Y30" s="394">
        <f>'ORÇAMENTO GERAL'!$J$103</f>
        <v>3.62</v>
      </c>
      <c r="Z30" s="394">
        <f>'ORÇAMENTO GERAL'!$J$106</f>
        <v>210.84</v>
      </c>
      <c r="AA30" s="394">
        <f>'ORÇAMENTO GERAL'!$J$107</f>
        <v>8.25</v>
      </c>
      <c r="AB30" s="394">
        <f>'ORÇAMENTO GERAL'!$J$108</f>
        <v>1.81</v>
      </c>
      <c r="AC30" s="394">
        <f>'ORÇAMENTO GERAL'!$J$109</f>
        <v>2.29</v>
      </c>
      <c r="AD30" s="394">
        <f>'ORÇAMENTO GERAL'!$J$110</f>
        <v>106.68</v>
      </c>
      <c r="AE30" s="394">
        <f>'ORÇAMENTO GERAL'!$J$111</f>
        <v>8.25</v>
      </c>
      <c r="AF30" s="394">
        <f>'ORÇAMENTO GERAL'!$J$112</f>
        <v>1.81</v>
      </c>
      <c r="AG30" s="394">
        <f>'ORÇAMENTO GERAL'!$J$113</f>
        <v>2.47</v>
      </c>
      <c r="AH30" s="393">
        <f t="shared" si="1"/>
        <v>0</v>
      </c>
    </row>
    <row r="31" spans="1:34" ht="54.75" customHeight="1">
      <c r="A31" s="341">
        <v>18</v>
      </c>
      <c r="B31" s="353">
        <f>DADOS!B26</f>
        <v>0</v>
      </c>
      <c r="C31" s="354">
        <f>DADOS!E26</f>
        <v>0</v>
      </c>
      <c r="D31" s="345">
        <f>DADOS!F26</f>
        <v>0</v>
      </c>
      <c r="E31" s="345">
        <f t="shared" si="2"/>
        <v>0</v>
      </c>
      <c r="F31" s="345">
        <v>0.2</v>
      </c>
      <c r="G31" s="345">
        <f t="shared" si="3"/>
        <v>0</v>
      </c>
      <c r="H31" s="345">
        <f t="shared" si="4"/>
        <v>0</v>
      </c>
      <c r="I31" s="345">
        <f t="shared" si="5"/>
        <v>0</v>
      </c>
      <c r="J31" s="345">
        <v>0.1</v>
      </c>
      <c r="K31" s="345">
        <f t="shared" si="6"/>
        <v>0</v>
      </c>
      <c r="L31" s="345">
        <f t="shared" si="7"/>
        <v>0</v>
      </c>
      <c r="M31" s="345">
        <f t="shared" si="8"/>
        <v>0</v>
      </c>
      <c r="N31" s="345">
        <f t="shared" si="9"/>
        <v>0</v>
      </c>
      <c r="O31" s="345">
        <v>0.1</v>
      </c>
      <c r="P31" s="345">
        <f t="shared" si="10"/>
        <v>0</v>
      </c>
      <c r="Q31" s="345">
        <f t="shared" si="11"/>
        <v>0</v>
      </c>
      <c r="R31" s="345">
        <f t="shared" si="12"/>
        <v>0</v>
      </c>
      <c r="S31" s="345">
        <f t="shared" si="13"/>
        <v>0</v>
      </c>
      <c r="U31" s="390">
        <f t="shared" si="0"/>
        <v>18</v>
      </c>
      <c r="V31" s="394">
        <f>'ORÇAMENTO GERAL'!$J$100</f>
        <v>2.61</v>
      </c>
      <c r="W31" s="394">
        <f>'ORÇAMENTO GERAL'!$J$101</f>
        <v>2.82</v>
      </c>
      <c r="X31" s="394">
        <f>'ORÇAMENTO GERAL'!$J$102</f>
        <v>8.25</v>
      </c>
      <c r="Y31" s="394">
        <f>'ORÇAMENTO GERAL'!$J$103</f>
        <v>3.62</v>
      </c>
      <c r="Z31" s="394">
        <f>'ORÇAMENTO GERAL'!$J$106</f>
        <v>210.84</v>
      </c>
      <c r="AA31" s="394">
        <f>'ORÇAMENTO GERAL'!$J$107</f>
        <v>8.25</v>
      </c>
      <c r="AB31" s="394">
        <f>'ORÇAMENTO GERAL'!$J$108</f>
        <v>1.81</v>
      </c>
      <c r="AC31" s="394">
        <f>'ORÇAMENTO GERAL'!$J$109</f>
        <v>2.29</v>
      </c>
      <c r="AD31" s="394">
        <f>'ORÇAMENTO GERAL'!$J$110</f>
        <v>106.68</v>
      </c>
      <c r="AE31" s="394">
        <f>'ORÇAMENTO GERAL'!$J$111</f>
        <v>8.25</v>
      </c>
      <c r="AF31" s="394">
        <f>'ORÇAMENTO GERAL'!$J$112</f>
        <v>1.81</v>
      </c>
      <c r="AG31" s="394">
        <f>'ORÇAMENTO GERAL'!$J$113</f>
        <v>2.47</v>
      </c>
      <c r="AH31" s="393">
        <f t="shared" si="1"/>
        <v>0</v>
      </c>
    </row>
    <row r="32" spans="1:34" ht="54.75" customHeight="1">
      <c r="A32" s="352">
        <v>19</v>
      </c>
      <c r="B32" s="353">
        <f>DADOS!B27</f>
        <v>0</v>
      </c>
      <c r="C32" s="354">
        <f>DADOS!E27</f>
        <v>0</v>
      </c>
      <c r="D32" s="345">
        <f>DADOS!F27</f>
        <v>0</v>
      </c>
      <c r="E32" s="345">
        <f t="shared" si="2"/>
        <v>0</v>
      </c>
      <c r="F32" s="345">
        <v>0.2</v>
      </c>
      <c r="G32" s="345">
        <f t="shared" si="3"/>
        <v>0</v>
      </c>
      <c r="H32" s="345">
        <f t="shared" si="4"/>
        <v>0</v>
      </c>
      <c r="I32" s="345">
        <f t="shared" si="5"/>
        <v>0</v>
      </c>
      <c r="J32" s="345">
        <v>0.1</v>
      </c>
      <c r="K32" s="345">
        <f t="shared" si="6"/>
        <v>0</v>
      </c>
      <c r="L32" s="345">
        <f t="shared" si="7"/>
        <v>0</v>
      </c>
      <c r="M32" s="345">
        <f t="shared" si="8"/>
        <v>0</v>
      </c>
      <c r="N32" s="345">
        <f t="shared" si="9"/>
        <v>0</v>
      </c>
      <c r="O32" s="345">
        <v>0.1</v>
      </c>
      <c r="P32" s="345">
        <f t="shared" si="10"/>
        <v>0</v>
      </c>
      <c r="Q32" s="345">
        <f t="shared" si="11"/>
        <v>0</v>
      </c>
      <c r="R32" s="345">
        <f t="shared" si="12"/>
        <v>0</v>
      </c>
      <c r="S32" s="345">
        <f t="shared" si="13"/>
        <v>0</v>
      </c>
      <c r="U32" s="390">
        <f t="shared" si="0"/>
        <v>19</v>
      </c>
      <c r="V32" s="394">
        <f>'ORÇAMENTO GERAL'!$J$100</f>
        <v>2.61</v>
      </c>
      <c r="W32" s="394">
        <f>'ORÇAMENTO GERAL'!$J$101</f>
        <v>2.82</v>
      </c>
      <c r="X32" s="394">
        <f>'ORÇAMENTO GERAL'!$J$102</f>
        <v>8.25</v>
      </c>
      <c r="Y32" s="394">
        <f>'ORÇAMENTO GERAL'!$J$103</f>
        <v>3.62</v>
      </c>
      <c r="Z32" s="394">
        <f>'ORÇAMENTO GERAL'!$J$106</f>
        <v>210.84</v>
      </c>
      <c r="AA32" s="394">
        <f>'ORÇAMENTO GERAL'!$J$107</f>
        <v>8.25</v>
      </c>
      <c r="AB32" s="394">
        <f>'ORÇAMENTO GERAL'!$J$108</f>
        <v>1.81</v>
      </c>
      <c r="AC32" s="394">
        <f>'ORÇAMENTO GERAL'!$J$109</f>
        <v>2.29</v>
      </c>
      <c r="AD32" s="394">
        <f>'ORÇAMENTO GERAL'!$J$110</f>
        <v>106.68</v>
      </c>
      <c r="AE32" s="394">
        <f>'ORÇAMENTO GERAL'!$J$111</f>
        <v>8.25</v>
      </c>
      <c r="AF32" s="394">
        <f>'ORÇAMENTO GERAL'!$J$112</f>
        <v>1.81</v>
      </c>
      <c r="AG32" s="394">
        <f>'ORÇAMENTO GERAL'!$J$113</f>
        <v>2.47</v>
      </c>
      <c r="AH32" s="393">
        <f t="shared" si="1"/>
        <v>0</v>
      </c>
    </row>
    <row r="33" spans="1:34" ht="54.75" customHeight="1" thickBot="1">
      <c r="A33" s="358">
        <v>20</v>
      </c>
      <c r="B33" s="353">
        <f>DADOS!B28</f>
        <v>0</v>
      </c>
      <c r="C33" s="354">
        <f>DADOS!E28</f>
        <v>0</v>
      </c>
      <c r="D33" s="345">
        <f>DADOS!F28</f>
        <v>0</v>
      </c>
      <c r="E33" s="345">
        <f t="shared" si="2"/>
        <v>0</v>
      </c>
      <c r="F33" s="345">
        <v>0.2</v>
      </c>
      <c r="G33" s="345">
        <f t="shared" si="3"/>
        <v>0</v>
      </c>
      <c r="H33" s="345">
        <f t="shared" si="4"/>
        <v>0</v>
      </c>
      <c r="I33" s="345">
        <f t="shared" si="5"/>
        <v>0</v>
      </c>
      <c r="J33" s="345">
        <v>0.1</v>
      </c>
      <c r="K33" s="345">
        <f t="shared" si="6"/>
        <v>0</v>
      </c>
      <c r="L33" s="345">
        <f t="shared" si="7"/>
        <v>0</v>
      </c>
      <c r="M33" s="345">
        <f t="shared" si="8"/>
        <v>0</v>
      </c>
      <c r="N33" s="345">
        <f t="shared" si="9"/>
        <v>0</v>
      </c>
      <c r="O33" s="345">
        <v>0.1</v>
      </c>
      <c r="P33" s="345">
        <f t="shared" si="10"/>
        <v>0</v>
      </c>
      <c r="Q33" s="345">
        <f t="shared" si="11"/>
        <v>0</v>
      </c>
      <c r="R33" s="345">
        <f t="shared" si="12"/>
        <v>0</v>
      </c>
      <c r="S33" s="345">
        <f t="shared" si="13"/>
        <v>0</v>
      </c>
      <c r="U33" s="390">
        <f t="shared" si="0"/>
        <v>20</v>
      </c>
      <c r="V33" s="394">
        <f>'ORÇAMENTO GERAL'!$J$100</f>
        <v>2.61</v>
      </c>
      <c r="W33" s="394">
        <f>'ORÇAMENTO GERAL'!$J$101</f>
        <v>2.82</v>
      </c>
      <c r="X33" s="394">
        <f>'ORÇAMENTO GERAL'!$J$102</f>
        <v>8.25</v>
      </c>
      <c r="Y33" s="394">
        <f>'ORÇAMENTO GERAL'!$J$103</f>
        <v>3.62</v>
      </c>
      <c r="Z33" s="394">
        <f>'ORÇAMENTO GERAL'!$J$106</f>
        <v>210.84</v>
      </c>
      <c r="AA33" s="394">
        <f>'ORÇAMENTO GERAL'!$J$107</f>
        <v>8.25</v>
      </c>
      <c r="AB33" s="394">
        <f>'ORÇAMENTO GERAL'!$J$108</f>
        <v>1.81</v>
      </c>
      <c r="AC33" s="394">
        <f>'ORÇAMENTO GERAL'!$J$109</f>
        <v>2.29</v>
      </c>
      <c r="AD33" s="394">
        <f>'ORÇAMENTO GERAL'!$J$110</f>
        <v>106.68</v>
      </c>
      <c r="AE33" s="394">
        <f>'ORÇAMENTO GERAL'!$J$111</f>
        <v>8.25</v>
      </c>
      <c r="AF33" s="394">
        <f>'ORÇAMENTO GERAL'!$J$112</f>
        <v>1.81</v>
      </c>
      <c r="AG33" s="394">
        <f>'ORÇAMENTO GERAL'!$J$113</f>
        <v>2.47</v>
      </c>
      <c r="AH33" s="393">
        <f t="shared" si="1"/>
        <v>0</v>
      </c>
    </row>
    <row r="34" spans="1:19" s="343" customFormat="1" ht="62.25" customHeight="1" thickBot="1">
      <c r="A34" s="696" t="s">
        <v>414</v>
      </c>
      <c r="B34" s="697"/>
      <c r="C34" s="359">
        <f aca="true" t="shared" si="14" ref="C34:N34">SUM(C14:C33)</f>
        <v>0</v>
      </c>
      <c r="D34" s="359"/>
      <c r="E34" s="359">
        <f t="shared" si="14"/>
        <v>0</v>
      </c>
      <c r="F34" s="359"/>
      <c r="G34" s="359">
        <f t="shared" si="14"/>
        <v>0</v>
      </c>
      <c r="H34" s="359">
        <f t="shared" si="14"/>
        <v>0</v>
      </c>
      <c r="I34" s="359">
        <f t="shared" si="14"/>
        <v>0</v>
      </c>
      <c r="J34" s="359"/>
      <c r="K34" s="359">
        <f t="shared" si="14"/>
        <v>0</v>
      </c>
      <c r="L34" s="359">
        <f t="shared" si="14"/>
        <v>0</v>
      </c>
      <c r="M34" s="359">
        <f t="shared" si="14"/>
        <v>0</v>
      </c>
      <c r="N34" s="359">
        <f t="shared" si="14"/>
        <v>0</v>
      </c>
      <c r="O34" s="359"/>
      <c r="P34" s="359">
        <f>SUM(P14:P33)</f>
        <v>0</v>
      </c>
      <c r="Q34" s="359">
        <f>SUM(Q14:Q33)</f>
        <v>0</v>
      </c>
      <c r="R34" s="359">
        <f>SUM(R14:R33)</f>
        <v>0</v>
      </c>
      <c r="S34" s="359">
        <f>SUM(S14:S33)</f>
        <v>0</v>
      </c>
    </row>
    <row r="35" spans="1:19" s="343" customFormat="1" ht="19.5" customHeight="1">
      <c r="A35" s="342"/>
      <c r="B35" s="344"/>
      <c r="C35" s="344"/>
      <c r="D35" s="344"/>
      <c r="E35" s="344"/>
      <c r="F35" s="344"/>
      <c r="G35" s="344"/>
      <c r="H35" s="344"/>
      <c r="I35" s="344"/>
      <c r="J35" s="344"/>
      <c r="K35" s="344"/>
      <c r="L35" s="344"/>
      <c r="M35" s="344"/>
      <c r="N35" s="344"/>
      <c r="O35" s="344"/>
      <c r="P35" s="344"/>
      <c r="Q35" s="344"/>
      <c r="R35" s="344"/>
      <c r="S35" s="344"/>
    </row>
    <row r="36" spans="1:19" s="343" customFormat="1" ht="19.5" customHeight="1">
      <c r="A36" s="342"/>
      <c r="B36" s="344"/>
      <c r="C36" s="344"/>
      <c r="D36" s="344"/>
      <c r="E36" s="344"/>
      <c r="F36" s="344"/>
      <c r="G36" s="344"/>
      <c r="H36" s="344"/>
      <c r="I36" s="344"/>
      <c r="J36" s="344"/>
      <c r="K36" s="344"/>
      <c r="L36" s="344"/>
      <c r="M36" s="344"/>
      <c r="N36" s="344"/>
      <c r="O36" s="344"/>
      <c r="P36" s="344"/>
      <c r="Q36" s="344"/>
      <c r="R36" s="344"/>
      <c r="S36" s="344"/>
    </row>
    <row r="37" spans="1:19" s="343" customFormat="1" ht="19.5" customHeight="1">
      <c r="A37" s="342"/>
      <c r="B37" s="344"/>
      <c r="C37" s="344"/>
      <c r="D37" s="344"/>
      <c r="E37" s="344"/>
      <c r="F37" s="344"/>
      <c r="G37" s="344"/>
      <c r="H37" s="344"/>
      <c r="I37" s="344"/>
      <c r="J37" s="344"/>
      <c r="K37" s="344"/>
      <c r="L37" s="344"/>
      <c r="M37" s="344"/>
      <c r="N37" s="344"/>
      <c r="O37" s="344"/>
      <c r="P37" s="344"/>
      <c r="Q37" s="344"/>
      <c r="R37" s="344"/>
      <c r="S37" s="344"/>
    </row>
    <row r="38" spans="1:19" s="343" customFormat="1" ht="19.5" customHeight="1">
      <c r="A38" s="342"/>
      <c r="B38" s="344"/>
      <c r="C38" s="344"/>
      <c r="D38" s="344"/>
      <c r="E38" s="344"/>
      <c r="F38" s="344"/>
      <c r="G38" s="344"/>
      <c r="H38" s="344"/>
      <c r="I38" s="344"/>
      <c r="J38" s="344"/>
      <c r="K38" s="344"/>
      <c r="L38" s="344"/>
      <c r="M38" s="344"/>
      <c r="N38" s="344"/>
      <c r="O38" s="344"/>
      <c r="P38" s="344"/>
      <c r="Q38" s="344"/>
      <c r="R38" s="344"/>
      <c r="S38" s="344"/>
    </row>
    <row r="39" spans="1:19" s="343" customFormat="1" ht="19.5" customHeight="1">
      <c r="A39" s="342"/>
      <c r="B39" s="344"/>
      <c r="C39" s="344"/>
      <c r="D39" s="344"/>
      <c r="E39" s="344"/>
      <c r="F39" s="344"/>
      <c r="G39" s="344"/>
      <c r="H39" s="344"/>
      <c r="I39" s="344"/>
      <c r="J39" s="344"/>
      <c r="K39" s="344"/>
      <c r="L39" s="344"/>
      <c r="M39" s="344"/>
      <c r="N39" s="344"/>
      <c r="O39" s="344"/>
      <c r="P39" s="344"/>
      <c r="Q39" s="344"/>
      <c r="R39" s="344"/>
      <c r="S39" s="344"/>
    </row>
    <row r="40" spans="1:19" s="343" customFormat="1" ht="19.5" customHeight="1">
      <c r="A40" s="342"/>
      <c r="B40" s="344"/>
      <c r="C40" s="344"/>
      <c r="D40" s="344"/>
      <c r="E40" s="344"/>
      <c r="F40" s="344"/>
      <c r="G40" s="344"/>
      <c r="H40" s="344"/>
      <c r="I40" s="344"/>
      <c r="J40" s="344"/>
      <c r="K40" s="344"/>
      <c r="L40" s="344"/>
      <c r="M40" s="344"/>
      <c r="N40" s="344"/>
      <c r="O40" s="344"/>
      <c r="P40" s="344"/>
      <c r="Q40" s="344"/>
      <c r="R40" s="344"/>
      <c r="S40" s="344"/>
    </row>
    <row r="41" spans="1:19" s="343" customFormat="1" ht="19.5" customHeight="1">
      <c r="A41" s="342"/>
      <c r="B41" s="344"/>
      <c r="C41" s="344"/>
      <c r="D41" s="344"/>
      <c r="E41" s="344"/>
      <c r="F41" s="344"/>
      <c r="G41" s="344"/>
      <c r="H41" s="344"/>
      <c r="I41" s="344"/>
      <c r="J41" s="344"/>
      <c r="K41" s="344"/>
      <c r="L41" s="344"/>
      <c r="M41" s="344"/>
      <c r="N41" s="344"/>
      <c r="O41" s="344"/>
      <c r="P41" s="344"/>
      <c r="Q41" s="344"/>
      <c r="R41" s="344"/>
      <c r="S41" s="344"/>
    </row>
    <row r="42" spans="1:19" s="343" customFormat="1" ht="19.5" customHeight="1">
      <c r="A42" s="342"/>
      <c r="B42" s="344"/>
      <c r="C42" s="344"/>
      <c r="D42" s="344"/>
      <c r="E42" s="344"/>
      <c r="F42" s="344"/>
      <c r="G42" s="344"/>
      <c r="H42" s="344"/>
      <c r="I42" s="344"/>
      <c r="J42" s="344"/>
      <c r="K42" s="344"/>
      <c r="L42" s="344"/>
      <c r="M42" s="344"/>
      <c r="N42" s="344"/>
      <c r="O42" s="344"/>
      <c r="P42" s="344"/>
      <c r="Q42" s="344"/>
      <c r="R42" s="344"/>
      <c r="S42" s="344"/>
    </row>
    <row r="43" spans="1:19" s="343" customFormat="1" ht="19.5" customHeight="1">
      <c r="A43" s="342"/>
      <c r="B43" s="344"/>
      <c r="C43" s="344"/>
      <c r="D43" s="344"/>
      <c r="E43" s="344"/>
      <c r="F43" s="344"/>
      <c r="G43" s="344"/>
      <c r="H43" s="344"/>
      <c r="I43" s="344"/>
      <c r="J43" s="344"/>
      <c r="K43" s="344"/>
      <c r="L43" s="344"/>
      <c r="M43" s="344"/>
      <c r="N43" s="344"/>
      <c r="O43" s="344"/>
      <c r="P43" s="344"/>
      <c r="Q43" s="344"/>
      <c r="R43" s="344"/>
      <c r="S43" s="344"/>
    </row>
    <row r="44" spans="1:19" s="343" customFormat="1" ht="19.5" customHeight="1">
      <c r="A44" s="342"/>
      <c r="B44" s="344"/>
      <c r="C44" s="344"/>
      <c r="D44" s="344"/>
      <c r="E44" s="344"/>
      <c r="F44" s="344"/>
      <c r="G44" s="344"/>
      <c r="H44" s="344"/>
      <c r="I44" s="344"/>
      <c r="J44" s="344"/>
      <c r="K44" s="344"/>
      <c r="L44" s="344"/>
      <c r="M44" s="344"/>
      <c r="N44" s="344"/>
      <c r="O44" s="344"/>
      <c r="P44" s="344"/>
      <c r="Q44" s="344"/>
      <c r="R44" s="344"/>
      <c r="S44" s="344"/>
    </row>
    <row r="45" spans="1:19" s="343" customFormat="1" ht="19.5" customHeight="1">
      <c r="A45" s="342"/>
      <c r="B45" s="344"/>
      <c r="C45" s="344"/>
      <c r="D45" s="344"/>
      <c r="E45" s="344"/>
      <c r="F45" s="344"/>
      <c r="G45" s="344"/>
      <c r="H45" s="344"/>
      <c r="I45" s="344"/>
      <c r="J45" s="344"/>
      <c r="K45" s="344"/>
      <c r="L45" s="344"/>
      <c r="M45" s="344"/>
      <c r="N45" s="344"/>
      <c r="O45" s="344"/>
      <c r="P45" s="344"/>
      <c r="Q45" s="344"/>
      <c r="R45" s="344"/>
      <c r="S45" s="344"/>
    </row>
    <row r="46" spans="1:19" s="343" customFormat="1" ht="19.5" customHeight="1">
      <c r="A46" s="342"/>
      <c r="B46" s="344"/>
      <c r="C46" s="344"/>
      <c r="D46" s="344"/>
      <c r="E46" s="344"/>
      <c r="F46" s="344"/>
      <c r="G46" s="344"/>
      <c r="H46" s="344"/>
      <c r="I46" s="344"/>
      <c r="J46" s="344"/>
      <c r="K46" s="344"/>
      <c r="L46" s="344"/>
      <c r="M46" s="344"/>
      <c r="N46" s="344"/>
      <c r="O46" s="344"/>
      <c r="P46" s="344"/>
      <c r="Q46" s="344"/>
      <c r="R46" s="344"/>
      <c r="S46" s="344"/>
    </row>
    <row r="47" spans="1:19" s="343" customFormat="1" ht="19.5" customHeight="1">
      <c r="A47" s="342"/>
      <c r="B47" s="344"/>
      <c r="C47" s="344"/>
      <c r="D47" s="344"/>
      <c r="E47" s="344"/>
      <c r="F47" s="344"/>
      <c r="G47" s="344"/>
      <c r="H47" s="344"/>
      <c r="I47" s="344"/>
      <c r="J47" s="344"/>
      <c r="K47" s="344"/>
      <c r="L47" s="344"/>
      <c r="M47" s="344"/>
      <c r="N47" s="344"/>
      <c r="O47" s="344"/>
      <c r="P47" s="344"/>
      <c r="Q47" s="344"/>
      <c r="R47" s="344"/>
      <c r="S47" s="344"/>
    </row>
    <row r="48" spans="1:19" s="343" customFormat="1" ht="19.5" customHeight="1">
      <c r="A48" s="342"/>
      <c r="B48" s="344"/>
      <c r="C48" s="344"/>
      <c r="D48" s="344"/>
      <c r="E48" s="344"/>
      <c r="F48" s="344"/>
      <c r="G48" s="344"/>
      <c r="H48" s="344"/>
      <c r="I48" s="344"/>
      <c r="J48" s="344"/>
      <c r="K48" s="344"/>
      <c r="L48" s="344"/>
      <c r="M48" s="344"/>
      <c r="N48" s="344"/>
      <c r="O48" s="344"/>
      <c r="P48" s="344"/>
      <c r="Q48" s="344"/>
      <c r="R48" s="344"/>
      <c r="S48" s="344"/>
    </row>
    <row r="49" spans="1:19" s="343" customFormat="1" ht="19.5" customHeight="1">
      <c r="A49" s="342"/>
      <c r="B49" s="344"/>
      <c r="C49" s="344"/>
      <c r="D49" s="344"/>
      <c r="E49" s="344"/>
      <c r="F49" s="344"/>
      <c r="G49" s="344"/>
      <c r="H49" s="344"/>
      <c r="I49" s="344"/>
      <c r="J49" s="344"/>
      <c r="K49" s="344"/>
      <c r="L49" s="344"/>
      <c r="M49" s="344"/>
      <c r="N49" s="344"/>
      <c r="O49" s="344"/>
      <c r="P49" s="344"/>
      <c r="Q49" s="344"/>
      <c r="R49" s="344"/>
      <c r="S49" s="344"/>
    </row>
    <row r="50" spans="1:19" s="343" customFormat="1" ht="19.5" customHeight="1">
      <c r="A50" s="342"/>
      <c r="B50" s="344"/>
      <c r="C50" s="344"/>
      <c r="D50" s="344"/>
      <c r="E50" s="344"/>
      <c r="F50" s="344"/>
      <c r="G50" s="344"/>
      <c r="H50" s="344"/>
      <c r="I50" s="344"/>
      <c r="J50" s="344"/>
      <c r="K50" s="344"/>
      <c r="L50" s="344"/>
      <c r="M50" s="344"/>
      <c r="N50" s="344"/>
      <c r="O50" s="344"/>
      <c r="P50" s="344"/>
      <c r="Q50" s="344"/>
      <c r="R50" s="344"/>
      <c r="S50" s="344"/>
    </row>
    <row r="51" spans="1:19" s="343" customFormat="1" ht="19.5" customHeight="1">
      <c r="A51" s="342"/>
      <c r="B51" s="344"/>
      <c r="C51" s="344"/>
      <c r="D51" s="344"/>
      <c r="E51" s="344"/>
      <c r="F51" s="344"/>
      <c r="G51" s="344"/>
      <c r="H51" s="344"/>
      <c r="I51" s="344"/>
      <c r="J51" s="344"/>
      <c r="K51" s="344"/>
      <c r="L51" s="344"/>
      <c r="M51" s="344"/>
      <c r="N51" s="344"/>
      <c r="O51" s="344"/>
      <c r="P51" s="344"/>
      <c r="Q51" s="344"/>
      <c r="R51" s="344"/>
      <c r="S51" s="344"/>
    </row>
    <row r="52" spans="1:19" s="343" customFormat="1" ht="19.5" customHeight="1">
      <c r="A52" s="342"/>
      <c r="B52" s="344"/>
      <c r="C52" s="344"/>
      <c r="D52" s="344"/>
      <c r="E52" s="344"/>
      <c r="F52" s="344"/>
      <c r="G52" s="344"/>
      <c r="H52" s="344"/>
      <c r="I52" s="344"/>
      <c r="J52" s="344"/>
      <c r="K52" s="344"/>
      <c r="L52" s="344"/>
      <c r="M52" s="344"/>
      <c r="N52" s="344"/>
      <c r="O52" s="344"/>
      <c r="P52" s="344"/>
      <c r="Q52" s="344"/>
      <c r="R52" s="344"/>
      <c r="S52" s="344"/>
    </row>
    <row r="53" spans="1:19" s="343" customFormat="1" ht="19.5" customHeight="1">
      <c r="A53" s="342"/>
      <c r="B53" s="344"/>
      <c r="C53" s="344"/>
      <c r="D53" s="344"/>
      <c r="E53" s="344"/>
      <c r="F53" s="344"/>
      <c r="G53" s="344"/>
      <c r="H53" s="344"/>
      <c r="I53" s="344"/>
      <c r="J53" s="344"/>
      <c r="K53" s="344"/>
      <c r="L53" s="344"/>
      <c r="M53" s="344"/>
      <c r="N53" s="344"/>
      <c r="O53" s="344"/>
      <c r="P53" s="344"/>
      <c r="Q53" s="344"/>
      <c r="R53" s="344"/>
      <c r="S53" s="344"/>
    </row>
    <row r="54" spans="1:19" s="343" customFormat="1" ht="19.5" customHeight="1">
      <c r="A54" s="342"/>
      <c r="B54" s="344"/>
      <c r="C54" s="344"/>
      <c r="D54" s="344"/>
      <c r="E54" s="344"/>
      <c r="F54" s="344"/>
      <c r="G54" s="344"/>
      <c r="H54" s="344"/>
      <c r="I54" s="344"/>
      <c r="J54" s="344"/>
      <c r="K54" s="344"/>
      <c r="L54" s="344"/>
      <c r="M54" s="344"/>
      <c r="N54" s="344"/>
      <c r="O54" s="344"/>
      <c r="P54" s="344"/>
      <c r="Q54" s="344"/>
      <c r="R54" s="344"/>
      <c r="S54" s="344"/>
    </row>
    <row r="55" spans="1:19" s="343" customFormat="1" ht="19.5" customHeight="1">
      <c r="A55" s="342"/>
      <c r="B55" s="344"/>
      <c r="C55" s="344"/>
      <c r="D55" s="344"/>
      <c r="E55" s="344"/>
      <c r="F55" s="344"/>
      <c r="G55" s="344"/>
      <c r="H55" s="344"/>
      <c r="I55" s="344"/>
      <c r="J55" s="344"/>
      <c r="K55" s="344"/>
      <c r="L55" s="344"/>
      <c r="M55" s="344"/>
      <c r="N55" s="344"/>
      <c r="O55" s="344"/>
      <c r="P55" s="344"/>
      <c r="Q55" s="344"/>
      <c r="R55" s="344"/>
      <c r="S55" s="344"/>
    </row>
    <row r="56" spans="1:19" s="343" customFormat="1" ht="19.5" customHeight="1">
      <c r="A56" s="342"/>
      <c r="B56" s="344"/>
      <c r="C56" s="344"/>
      <c r="D56" s="344"/>
      <c r="E56" s="344"/>
      <c r="F56" s="344"/>
      <c r="G56" s="344"/>
      <c r="H56" s="344"/>
      <c r="I56" s="344"/>
      <c r="J56" s="344"/>
      <c r="K56" s="344"/>
      <c r="L56" s="344"/>
      <c r="M56" s="344"/>
      <c r="N56" s="344"/>
      <c r="O56" s="344"/>
      <c r="P56" s="344"/>
      <c r="Q56" s="344"/>
      <c r="R56" s="344"/>
      <c r="S56" s="344"/>
    </row>
    <row r="57" spans="1:19" s="343" customFormat="1" ht="19.5" customHeight="1">
      <c r="A57" s="342"/>
      <c r="B57" s="344"/>
      <c r="C57" s="344"/>
      <c r="D57" s="344"/>
      <c r="E57" s="344"/>
      <c r="F57" s="344"/>
      <c r="G57" s="344"/>
      <c r="H57" s="344"/>
      <c r="I57" s="344"/>
      <c r="J57" s="344"/>
      <c r="K57" s="344"/>
      <c r="L57" s="344"/>
      <c r="M57" s="344"/>
      <c r="N57" s="344"/>
      <c r="O57" s="344"/>
      <c r="P57" s="344"/>
      <c r="Q57" s="344"/>
      <c r="R57" s="344"/>
      <c r="S57" s="344"/>
    </row>
    <row r="58" spans="1:19" s="343" customFormat="1" ht="19.5" customHeight="1">
      <c r="A58" s="342"/>
      <c r="B58" s="344"/>
      <c r="C58" s="344"/>
      <c r="D58" s="344"/>
      <c r="E58" s="344"/>
      <c r="F58" s="344"/>
      <c r="G58" s="344"/>
      <c r="H58" s="344"/>
      <c r="I58" s="344"/>
      <c r="J58" s="344"/>
      <c r="K58" s="344"/>
      <c r="L58" s="344"/>
      <c r="M58" s="344"/>
      <c r="N58" s="344"/>
      <c r="O58" s="344"/>
      <c r="P58" s="344"/>
      <c r="Q58" s="344"/>
      <c r="R58" s="344"/>
      <c r="S58" s="344"/>
    </row>
    <row r="59" spans="1:19" s="343" customFormat="1" ht="19.5" customHeight="1">
      <c r="A59" s="342"/>
      <c r="B59" s="344"/>
      <c r="C59" s="344"/>
      <c r="D59" s="344"/>
      <c r="E59" s="344"/>
      <c r="F59" s="344"/>
      <c r="G59" s="344"/>
      <c r="H59" s="344"/>
      <c r="I59" s="344"/>
      <c r="J59" s="344"/>
      <c r="K59" s="344"/>
      <c r="L59" s="344"/>
      <c r="M59" s="344"/>
      <c r="N59" s="344"/>
      <c r="O59" s="344"/>
      <c r="P59" s="344"/>
      <c r="Q59" s="344"/>
      <c r="R59" s="344"/>
      <c r="S59" s="344"/>
    </row>
    <row r="60" spans="1:19" s="343" customFormat="1" ht="19.5" customHeight="1">
      <c r="A60" s="342"/>
      <c r="B60" s="344"/>
      <c r="C60" s="344"/>
      <c r="D60" s="344"/>
      <c r="E60" s="344"/>
      <c r="F60" s="344"/>
      <c r="G60" s="344"/>
      <c r="H60" s="344"/>
      <c r="I60" s="344"/>
      <c r="J60" s="344"/>
      <c r="K60" s="344"/>
      <c r="L60" s="344"/>
      <c r="M60" s="344"/>
      <c r="N60" s="344"/>
      <c r="O60" s="344"/>
      <c r="P60" s="344"/>
      <c r="Q60" s="344"/>
      <c r="R60" s="344"/>
      <c r="S60" s="344"/>
    </row>
    <row r="61" spans="1:19" s="343" customFormat="1" ht="19.5" customHeight="1">
      <c r="A61" s="342"/>
      <c r="B61" s="344"/>
      <c r="C61" s="344"/>
      <c r="D61" s="344"/>
      <c r="E61" s="344"/>
      <c r="F61" s="344"/>
      <c r="G61" s="344"/>
      <c r="H61" s="344"/>
      <c r="I61" s="344"/>
      <c r="J61" s="344"/>
      <c r="K61" s="344"/>
      <c r="L61" s="344"/>
      <c r="M61" s="344"/>
      <c r="N61" s="344"/>
      <c r="O61" s="344"/>
      <c r="P61" s="344"/>
      <c r="Q61" s="344"/>
      <c r="R61" s="344"/>
      <c r="S61" s="344"/>
    </row>
    <row r="62" spans="1:19" s="343" customFormat="1" ht="19.5" customHeight="1">
      <c r="A62" s="342"/>
      <c r="B62" s="344"/>
      <c r="C62" s="344"/>
      <c r="D62" s="344"/>
      <c r="E62" s="344"/>
      <c r="F62" s="344"/>
      <c r="G62" s="344"/>
      <c r="H62" s="344"/>
      <c r="I62" s="344"/>
      <c r="J62" s="344"/>
      <c r="K62" s="344"/>
      <c r="L62" s="344"/>
      <c r="M62" s="344"/>
      <c r="N62" s="344"/>
      <c r="O62" s="344"/>
      <c r="P62" s="344"/>
      <c r="Q62" s="344"/>
      <c r="R62" s="344"/>
      <c r="S62" s="344"/>
    </row>
    <row r="63" spans="1:19" s="343" customFormat="1" ht="19.5" customHeight="1">
      <c r="A63" s="342"/>
      <c r="B63" s="344"/>
      <c r="C63" s="344"/>
      <c r="D63" s="344"/>
      <c r="E63" s="344"/>
      <c r="F63" s="344"/>
      <c r="G63" s="344"/>
      <c r="H63" s="344"/>
      <c r="I63" s="344"/>
      <c r="J63" s="344"/>
      <c r="K63" s="344"/>
      <c r="L63" s="344"/>
      <c r="M63" s="344"/>
      <c r="N63" s="344"/>
      <c r="O63" s="344"/>
      <c r="P63" s="344"/>
      <c r="Q63" s="344"/>
      <c r="R63" s="344"/>
      <c r="S63" s="344"/>
    </row>
    <row r="64" spans="1:19" s="343" customFormat="1" ht="19.5" customHeight="1">
      <c r="A64" s="342"/>
      <c r="B64" s="344"/>
      <c r="C64" s="344"/>
      <c r="D64" s="344"/>
      <c r="E64" s="344"/>
      <c r="F64" s="344"/>
      <c r="G64" s="344"/>
      <c r="H64" s="344"/>
      <c r="I64" s="344"/>
      <c r="J64" s="344"/>
      <c r="K64" s="344"/>
      <c r="L64" s="344"/>
      <c r="M64" s="344"/>
      <c r="N64" s="344"/>
      <c r="O64" s="344"/>
      <c r="P64" s="344"/>
      <c r="Q64" s="344"/>
      <c r="R64" s="344"/>
      <c r="S64" s="344"/>
    </row>
    <row r="65" spans="1:19" s="343" customFormat="1" ht="19.5" customHeight="1">
      <c r="A65" s="342"/>
      <c r="B65" s="344"/>
      <c r="C65" s="344"/>
      <c r="D65" s="344"/>
      <c r="E65" s="344"/>
      <c r="F65" s="344"/>
      <c r="G65" s="344"/>
      <c r="H65" s="344"/>
      <c r="I65" s="344"/>
      <c r="J65" s="344"/>
      <c r="K65" s="344"/>
      <c r="L65" s="344"/>
      <c r="M65" s="344"/>
      <c r="N65" s="344"/>
      <c r="O65" s="344"/>
      <c r="P65" s="344"/>
      <c r="Q65" s="344"/>
      <c r="R65" s="344"/>
      <c r="S65" s="344"/>
    </row>
    <row r="66" spans="1:19" s="343" customFormat="1" ht="19.5" customHeight="1">
      <c r="A66" s="342"/>
      <c r="B66" s="344"/>
      <c r="C66" s="344"/>
      <c r="D66" s="344"/>
      <c r="E66" s="344"/>
      <c r="F66" s="344"/>
      <c r="G66" s="344"/>
      <c r="H66" s="344"/>
      <c r="I66" s="344"/>
      <c r="J66" s="344"/>
      <c r="K66" s="344"/>
      <c r="L66" s="344"/>
      <c r="M66" s="344"/>
      <c r="N66" s="344"/>
      <c r="O66" s="344"/>
      <c r="P66" s="344"/>
      <c r="Q66" s="344"/>
      <c r="R66" s="344"/>
      <c r="S66" s="344"/>
    </row>
    <row r="67" spans="1:19" s="343" customFormat="1" ht="19.5" customHeight="1">
      <c r="A67" s="342"/>
      <c r="B67" s="344"/>
      <c r="C67" s="344"/>
      <c r="D67" s="344"/>
      <c r="E67" s="344"/>
      <c r="F67" s="344"/>
      <c r="G67" s="344"/>
      <c r="H67" s="344"/>
      <c r="I67" s="344"/>
      <c r="J67" s="344"/>
      <c r="K67" s="344"/>
      <c r="L67" s="344"/>
      <c r="M67" s="344"/>
      <c r="N67" s="344"/>
      <c r="O67" s="344"/>
      <c r="P67" s="344"/>
      <c r="Q67" s="344"/>
      <c r="R67" s="344"/>
      <c r="S67" s="344"/>
    </row>
    <row r="68" spans="1:19" s="343" customFormat="1" ht="19.5" customHeight="1">
      <c r="A68" s="342"/>
      <c r="B68" s="344"/>
      <c r="C68" s="344"/>
      <c r="D68" s="344"/>
      <c r="E68" s="344"/>
      <c r="F68" s="344"/>
      <c r="G68" s="344"/>
      <c r="H68" s="344"/>
      <c r="I68" s="344"/>
      <c r="J68" s="344"/>
      <c r="K68" s="344"/>
      <c r="L68" s="344"/>
      <c r="M68" s="344"/>
      <c r="N68" s="344"/>
      <c r="O68" s="344"/>
      <c r="P68" s="344"/>
      <c r="Q68" s="344"/>
      <c r="R68" s="344"/>
      <c r="S68" s="344"/>
    </row>
    <row r="69" ht="19.5" customHeight="1"/>
    <row r="70" ht="9.75" customHeight="1"/>
    <row r="71" ht="19.5" customHeight="1"/>
    <row r="72" ht="19.5" customHeight="1"/>
    <row r="73" ht="19.5" customHeight="1"/>
    <row r="74" spans="1:19" s="343" customFormat="1" ht="19.5" customHeight="1">
      <c r="A74" s="342"/>
      <c r="B74" s="344"/>
      <c r="C74" s="344"/>
      <c r="D74" s="344"/>
      <c r="E74" s="344"/>
      <c r="F74" s="344"/>
      <c r="G74" s="344"/>
      <c r="H74" s="344"/>
      <c r="I74" s="344"/>
      <c r="J74" s="344"/>
      <c r="K74" s="344"/>
      <c r="L74" s="344"/>
      <c r="M74" s="344"/>
      <c r="N74" s="344"/>
      <c r="O74" s="344"/>
      <c r="P74" s="344"/>
      <c r="Q74" s="344"/>
      <c r="R74" s="344"/>
      <c r="S74" s="344"/>
    </row>
    <row r="75" spans="1:19" s="343" customFormat="1" ht="19.5" customHeight="1">
      <c r="A75" s="342"/>
      <c r="B75" s="344"/>
      <c r="C75" s="344"/>
      <c r="D75" s="344"/>
      <c r="E75" s="344"/>
      <c r="F75" s="344"/>
      <c r="G75" s="344"/>
      <c r="H75" s="344"/>
      <c r="I75" s="344"/>
      <c r="J75" s="344"/>
      <c r="K75" s="344"/>
      <c r="L75" s="344"/>
      <c r="M75" s="344"/>
      <c r="N75" s="344"/>
      <c r="O75" s="344"/>
      <c r="P75" s="344"/>
      <c r="Q75" s="344"/>
      <c r="R75" s="344"/>
      <c r="S75" s="344"/>
    </row>
    <row r="76" spans="1:19" s="343" customFormat="1" ht="19.5" customHeight="1">
      <c r="A76" s="342"/>
      <c r="B76" s="344"/>
      <c r="C76" s="344"/>
      <c r="D76" s="344"/>
      <c r="E76" s="344"/>
      <c r="F76" s="344"/>
      <c r="G76" s="344"/>
      <c r="H76" s="344"/>
      <c r="I76" s="344"/>
      <c r="J76" s="344"/>
      <c r="K76" s="344"/>
      <c r="L76" s="344"/>
      <c r="M76" s="344"/>
      <c r="N76" s="344"/>
      <c r="O76" s="344"/>
      <c r="P76" s="344"/>
      <c r="Q76" s="344"/>
      <c r="R76" s="344"/>
      <c r="S76" s="344"/>
    </row>
    <row r="77" spans="1:19" s="343" customFormat="1" ht="19.5" customHeight="1">
      <c r="A77" s="342"/>
      <c r="B77" s="344"/>
      <c r="C77" s="344"/>
      <c r="D77" s="344"/>
      <c r="E77" s="344"/>
      <c r="F77" s="344"/>
      <c r="G77" s="344"/>
      <c r="H77" s="344"/>
      <c r="I77" s="344"/>
      <c r="J77" s="344"/>
      <c r="K77" s="344"/>
      <c r="L77" s="344"/>
      <c r="M77" s="344"/>
      <c r="N77" s="344"/>
      <c r="O77" s="344"/>
      <c r="P77" s="344"/>
      <c r="Q77" s="344"/>
      <c r="R77" s="344"/>
      <c r="S77" s="344"/>
    </row>
    <row r="78" spans="1:19" s="343" customFormat="1" ht="19.5" customHeight="1">
      <c r="A78" s="342"/>
      <c r="B78" s="344"/>
      <c r="C78" s="344"/>
      <c r="D78" s="344"/>
      <c r="E78" s="344"/>
      <c r="F78" s="344"/>
      <c r="G78" s="344"/>
      <c r="H78" s="344"/>
      <c r="I78" s="344"/>
      <c r="J78" s="344"/>
      <c r="K78" s="344"/>
      <c r="L78" s="344"/>
      <c r="M78" s="344"/>
      <c r="N78" s="344"/>
      <c r="O78" s="344"/>
      <c r="P78" s="344"/>
      <c r="Q78" s="344"/>
      <c r="R78" s="344"/>
      <c r="S78" s="344"/>
    </row>
    <row r="79" spans="1:19" s="343" customFormat="1" ht="19.5" customHeight="1">
      <c r="A79" s="342"/>
      <c r="B79" s="344"/>
      <c r="C79" s="344"/>
      <c r="D79" s="344"/>
      <c r="E79" s="344"/>
      <c r="F79" s="344"/>
      <c r="G79" s="344"/>
      <c r="H79" s="344"/>
      <c r="I79" s="344"/>
      <c r="J79" s="344"/>
      <c r="K79" s="344"/>
      <c r="L79" s="344"/>
      <c r="M79" s="344"/>
      <c r="N79" s="344"/>
      <c r="O79" s="344"/>
      <c r="P79" s="344"/>
      <c r="Q79" s="344"/>
      <c r="R79" s="344"/>
      <c r="S79" s="344"/>
    </row>
    <row r="80" spans="1:19" s="343" customFormat="1" ht="19.5" customHeight="1">
      <c r="A80" s="342"/>
      <c r="B80" s="344"/>
      <c r="C80" s="344"/>
      <c r="D80" s="344"/>
      <c r="E80" s="344"/>
      <c r="F80" s="344"/>
      <c r="G80" s="344"/>
      <c r="H80" s="344"/>
      <c r="I80" s="344"/>
      <c r="J80" s="344"/>
      <c r="K80" s="344"/>
      <c r="L80" s="344"/>
      <c r="M80" s="344"/>
      <c r="N80" s="344"/>
      <c r="O80" s="344"/>
      <c r="P80" s="344"/>
      <c r="Q80" s="344"/>
      <c r="R80" s="344"/>
      <c r="S80" s="344"/>
    </row>
    <row r="81" spans="1:19" s="343" customFormat="1" ht="19.5" customHeight="1">
      <c r="A81" s="342"/>
      <c r="B81" s="344"/>
      <c r="C81" s="344"/>
      <c r="D81" s="344"/>
      <c r="E81" s="344"/>
      <c r="F81" s="344"/>
      <c r="G81" s="344"/>
      <c r="H81" s="344"/>
      <c r="I81" s="344"/>
      <c r="J81" s="344"/>
      <c r="K81" s="344"/>
      <c r="L81" s="344"/>
      <c r="M81" s="344"/>
      <c r="N81" s="344"/>
      <c r="O81" s="344"/>
      <c r="P81" s="344"/>
      <c r="Q81" s="344"/>
      <c r="R81" s="344"/>
      <c r="S81" s="344"/>
    </row>
    <row r="82" spans="1:19" s="343" customFormat="1" ht="19.5" customHeight="1">
      <c r="A82" s="342"/>
      <c r="B82" s="344"/>
      <c r="C82" s="344"/>
      <c r="D82" s="344"/>
      <c r="E82" s="344"/>
      <c r="F82" s="344"/>
      <c r="G82" s="344"/>
      <c r="H82" s="344"/>
      <c r="I82" s="344"/>
      <c r="J82" s="344"/>
      <c r="K82" s="344"/>
      <c r="L82" s="344"/>
      <c r="M82" s="344"/>
      <c r="N82" s="344"/>
      <c r="O82" s="344"/>
      <c r="P82" s="344"/>
      <c r="Q82" s="344"/>
      <c r="R82" s="344"/>
      <c r="S82" s="344"/>
    </row>
    <row r="83" spans="1:19" s="343" customFormat="1" ht="19.5" customHeight="1">
      <c r="A83" s="342"/>
      <c r="B83" s="344"/>
      <c r="C83" s="344"/>
      <c r="D83" s="344"/>
      <c r="E83" s="344"/>
      <c r="F83" s="344"/>
      <c r="G83" s="344"/>
      <c r="H83" s="344"/>
      <c r="I83" s="344"/>
      <c r="J83" s="344"/>
      <c r="K83" s="344"/>
      <c r="L83" s="344"/>
      <c r="M83" s="344"/>
      <c r="N83" s="344"/>
      <c r="O83" s="344"/>
      <c r="P83" s="344"/>
      <c r="Q83" s="344"/>
      <c r="R83" s="344"/>
      <c r="S83" s="344"/>
    </row>
    <row r="84" spans="1:19" s="343" customFormat="1" ht="19.5" customHeight="1">
      <c r="A84" s="342"/>
      <c r="B84" s="344"/>
      <c r="C84" s="344"/>
      <c r="D84" s="344"/>
      <c r="E84" s="344"/>
      <c r="F84" s="344"/>
      <c r="G84" s="344"/>
      <c r="H84" s="344"/>
      <c r="I84" s="344"/>
      <c r="J84" s="344"/>
      <c r="K84" s="344"/>
      <c r="L84" s="344"/>
      <c r="M84" s="344"/>
      <c r="N84" s="344"/>
      <c r="O84" s="344"/>
      <c r="P84" s="344"/>
      <c r="Q84" s="344"/>
      <c r="R84" s="344"/>
      <c r="S84" s="344"/>
    </row>
    <row r="85" spans="1:19" s="343" customFormat="1" ht="19.5" customHeight="1">
      <c r="A85" s="342"/>
      <c r="B85" s="344"/>
      <c r="C85" s="344"/>
      <c r="D85" s="344"/>
      <c r="E85" s="344"/>
      <c r="F85" s="344"/>
      <c r="G85" s="344"/>
      <c r="H85" s="344"/>
      <c r="I85" s="344"/>
      <c r="J85" s="344"/>
      <c r="K85" s="344"/>
      <c r="L85" s="344"/>
      <c r="M85" s="344"/>
      <c r="N85" s="344"/>
      <c r="O85" s="344"/>
      <c r="P85" s="344"/>
      <c r="Q85" s="344"/>
      <c r="R85" s="344"/>
      <c r="S85" s="344"/>
    </row>
    <row r="86" spans="1:19" s="343" customFormat="1" ht="19.5" customHeight="1">
      <c r="A86" s="342"/>
      <c r="B86" s="344"/>
      <c r="C86" s="344"/>
      <c r="D86" s="344"/>
      <c r="E86" s="344"/>
      <c r="F86" s="344"/>
      <c r="G86" s="344"/>
      <c r="H86" s="344"/>
      <c r="I86" s="344"/>
      <c r="J86" s="344"/>
      <c r="K86" s="344"/>
      <c r="L86" s="344"/>
      <c r="M86" s="344"/>
      <c r="N86" s="344"/>
      <c r="O86" s="344"/>
      <c r="P86" s="344"/>
      <c r="Q86" s="344"/>
      <c r="R86" s="344"/>
      <c r="S86" s="344"/>
    </row>
    <row r="87" spans="1:19" s="343" customFormat="1" ht="19.5" customHeight="1">
      <c r="A87" s="342"/>
      <c r="B87" s="344"/>
      <c r="C87" s="344"/>
      <c r="D87" s="344"/>
      <c r="E87" s="344"/>
      <c r="F87" s="344"/>
      <c r="G87" s="344"/>
      <c r="H87" s="344"/>
      <c r="I87" s="344"/>
      <c r="J87" s="344"/>
      <c r="K87" s="344"/>
      <c r="L87" s="344"/>
      <c r="M87" s="344"/>
      <c r="N87" s="344"/>
      <c r="O87" s="344"/>
      <c r="P87" s="344"/>
      <c r="Q87" s="344"/>
      <c r="R87" s="344"/>
      <c r="S87" s="344"/>
    </row>
    <row r="88" spans="1:19" s="343" customFormat="1" ht="19.5" customHeight="1">
      <c r="A88" s="342"/>
      <c r="B88" s="344"/>
      <c r="C88" s="344"/>
      <c r="D88" s="344"/>
      <c r="E88" s="344"/>
      <c r="F88" s="344"/>
      <c r="G88" s="344"/>
      <c r="H88" s="344"/>
      <c r="I88" s="344"/>
      <c r="J88" s="344"/>
      <c r="K88" s="344"/>
      <c r="L88" s="344"/>
      <c r="M88" s="344"/>
      <c r="N88" s="344"/>
      <c r="O88" s="344"/>
      <c r="P88" s="344"/>
      <c r="Q88" s="344"/>
      <c r="R88" s="344"/>
      <c r="S88" s="344"/>
    </row>
    <row r="89" spans="1:19" s="343" customFormat="1" ht="19.5" customHeight="1">
      <c r="A89" s="342"/>
      <c r="B89" s="344"/>
      <c r="C89" s="344"/>
      <c r="D89" s="344"/>
      <c r="E89" s="344"/>
      <c r="F89" s="344"/>
      <c r="G89" s="344"/>
      <c r="H89" s="344"/>
      <c r="I89" s="344"/>
      <c r="J89" s="344"/>
      <c r="K89" s="344"/>
      <c r="L89" s="344"/>
      <c r="M89" s="344"/>
      <c r="N89" s="344"/>
      <c r="O89" s="344"/>
      <c r="P89" s="344"/>
      <c r="Q89" s="344"/>
      <c r="R89" s="344"/>
      <c r="S89" s="344"/>
    </row>
    <row r="90" spans="1:19" s="343" customFormat="1" ht="19.5" customHeight="1">
      <c r="A90" s="342"/>
      <c r="B90" s="344"/>
      <c r="C90" s="344"/>
      <c r="D90" s="344"/>
      <c r="E90" s="344"/>
      <c r="F90" s="344"/>
      <c r="G90" s="344"/>
      <c r="H90" s="344"/>
      <c r="I90" s="344"/>
      <c r="J90" s="344"/>
      <c r="K90" s="344"/>
      <c r="L90" s="344"/>
      <c r="M90" s="344"/>
      <c r="N90" s="344"/>
      <c r="O90" s="344"/>
      <c r="P90" s="344"/>
      <c r="Q90" s="344"/>
      <c r="R90" s="344"/>
      <c r="S90" s="344"/>
    </row>
    <row r="91" spans="1:19" s="343" customFormat="1" ht="19.5" customHeight="1">
      <c r="A91" s="342"/>
      <c r="B91" s="344"/>
      <c r="C91" s="344"/>
      <c r="D91" s="344"/>
      <c r="E91" s="344"/>
      <c r="F91" s="344"/>
      <c r="G91" s="344"/>
      <c r="H91" s="344"/>
      <c r="I91" s="344"/>
      <c r="J91" s="344"/>
      <c r="K91" s="344"/>
      <c r="L91" s="344"/>
      <c r="M91" s="344"/>
      <c r="N91" s="344"/>
      <c r="O91" s="344"/>
      <c r="P91" s="344"/>
      <c r="Q91" s="344"/>
      <c r="R91" s="344"/>
      <c r="S91" s="344"/>
    </row>
    <row r="92" spans="1:19" s="343" customFormat="1" ht="19.5" customHeight="1">
      <c r="A92" s="342"/>
      <c r="B92" s="344"/>
      <c r="C92" s="344"/>
      <c r="D92" s="344"/>
      <c r="E92" s="344"/>
      <c r="F92" s="344"/>
      <c r="G92" s="344"/>
      <c r="H92" s="344"/>
      <c r="I92" s="344"/>
      <c r="J92" s="344"/>
      <c r="K92" s="344"/>
      <c r="L92" s="344"/>
      <c r="M92" s="344"/>
      <c r="N92" s="344"/>
      <c r="O92" s="344"/>
      <c r="P92" s="344"/>
      <c r="Q92" s="344"/>
      <c r="R92" s="344"/>
      <c r="S92" s="344"/>
    </row>
    <row r="93" spans="1:19" s="343" customFormat="1" ht="19.5" customHeight="1">
      <c r="A93" s="342"/>
      <c r="B93" s="344"/>
      <c r="C93" s="344"/>
      <c r="D93" s="344"/>
      <c r="E93" s="344"/>
      <c r="F93" s="344"/>
      <c r="G93" s="344"/>
      <c r="H93" s="344"/>
      <c r="I93" s="344"/>
      <c r="J93" s="344"/>
      <c r="K93" s="344"/>
      <c r="L93" s="344"/>
      <c r="M93" s="344"/>
      <c r="N93" s="344"/>
      <c r="O93" s="344"/>
      <c r="P93" s="344"/>
      <c r="Q93" s="344"/>
      <c r="R93" s="344"/>
      <c r="S93" s="344"/>
    </row>
    <row r="94" spans="1:19" s="343" customFormat="1" ht="19.5" customHeight="1">
      <c r="A94" s="342"/>
      <c r="B94" s="344"/>
      <c r="C94" s="344"/>
      <c r="D94" s="344"/>
      <c r="E94" s="344"/>
      <c r="F94" s="344"/>
      <c r="G94" s="344"/>
      <c r="H94" s="344"/>
      <c r="I94" s="344"/>
      <c r="J94" s="344"/>
      <c r="K94" s="344"/>
      <c r="L94" s="344"/>
      <c r="M94" s="344"/>
      <c r="N94" s="344"/>
      <c r="O94" s="344"/>
      <c r="P94" s="344"/>
      <c r="Q94" s="344"/>
      <c r="R94" s="344"/>
      <c r="S94" s="344"/>
    </row>
    <row r="95" spans="1:19" s="343" customFormat="1" ht="19.5" customHeight="1">
      <c r="A95" s="342"/>
      <c r="B95" s="344"/>
      <c r="C95" s="344"/>
      <c r="D95" s="344"/>
      <c r="E95" s="344"/>
      <c r="F95" s="344"/>
      <c r="G95" s="344"/>
      <c r="H95" s="344"/>
      <c r="I95" s="344"/>
      <c r="J95" s="344"/>
      <c r="K95" s="344"/>
      <c r="L95" s="344"/>
      <c r="M95" s="344"/>
      <c r="N95" s="344"/>
      <c r="O95" s="344"/>
      <c r="P95" s="344"/>
      <c r="Q95" s="344"/>
      <c r="R95" s="344"/>
      <c r="S95" s="344"/>
    </row>
    <row r="96" spans="1:19" s="343" customFormat="1" ht="19.5" customHeight="1">
      <c r="A96" s="342"/>
      <c r="B96" s="344"/>
      <c r="C96" s="344"/>
      <c r="D96" s="344"/>
      <c r="E96" s="344"/>
      <c r="F96" s="344"/>
      <c r="G96" s="344"/>
      <c r="H96" s="344"/>
      <c r="I96" s="344"/>
      <c r="J96" s="344"/>
      <c r="K96" s="344"/>
      <c r="L96" s="344"/>
      <c r="M96" s="344"/>
      <c r="N96" s="344"/>
      <c r="O96" s="344"/>
      <c r="P96" s="344"/>
      <c r="Q96" s="344"/>
      <c r="R96" s="344"/>
      <c r="S96" s="344"/>
    </row>
    <row r="97" spans="1:19" s="343" customFormat="1" ht="19.5" customHeight="1">
      <c r="A97" s="342"/>
      <c r="B97" s="344"/>
      <c r="C97" s="344"/>
      <c r="D97" s="344"/>
      <c r="E97" s="344"/>
      <c r="F97" s="344"/>
      <c r="G97" s="344"/>
      <c r="H97" s="344"/>
      <c r="I97" s="344"/>
      <c r="J97" s="344"/>
      <c r="K97" s="344"/>
      <c r="L97" s="344"/>
      <c r="M97" s="344"/>
      <c r="N97" s="344"/>
      <c r="O97" s="344"/>
      <c r="P97" s="344"/>
      <c r="Q97" s="344"/>
      <c r="R97" s="344"/>
      <c r="S97" s="344"/>
    </row>
    <row r="98" spans="1:19" s="343" customFormat="1" ht="19.5" customHeight="1">
      <c r="A98" s="342"/>
      <c r="B98" s="344"/>
      <c r="C98" s="344"/>
      <c r="D98" s="344"/>
      <c r="E98" s="344"/>
      <c r="F98" s="344"/>
      <c r="G98" s="344"/>
      <c r="H98" s="344"/>
      <c r="I98" s="344"/>
      <c r="J98" s="344"/>
      <c r="K98" s="344"/>
      <c r="L98" s="344"/>
      <c r="M98" s="344"/>
      <c r="N98" s="344"/>
      <c r="O98" s="344"/>
      <c r="P98" s="344"/>
      <c r="Q98" s="344"/>
      <c r="R98" s="344"/>
      <c r="S98" s="344"/>
    </row>
    <row r="99" spans="1:19" s="343" customFormat="1" ht="19.5" customHeight="1">
      <c r="A99" s="342"/>
      <c r="B99" s="344"/>
      <c r="C99" s="344"/>
      <c r="D99" s="344"/>
      <c r="E99" s="344"/>
      <c r="F99" s="344"/>
      <c r="G99" s="344"/>
      <c r="H99" s="344"/>
      <c r="I99" s="344"/>
      <c r="J99" s="344"/>
      <c r="K99" s="344"/>
      <c r="L99" s="344"/>
      <c r="M99" s="344"/>
      <c r="N99" s="344"/>
      <c r="O99" s="344"/>
      <c r="P99" s="344"/>
      <c r="Q99" s="344"/>
      <c r="R99" s="344"/>
      <c r="S99" s="344"/>
    </row>
    <row r="100" spans="1:19" s="343" customFormat="1" ht="19.5" customHeight="1">
      <c r="A100" s="342"/>
      <c r="B100" s="344"/>
      <c r="C100" s="344"/>
      <c r="D100" s="344"/>
      <c r="E100" s="344"/>
      <c r="F100" s="344"/>
      <c r="G100" s="344"/>
      <c r="H100" s="344"/>
      <c r="I100" s="344"/>
      <c r="J100" s="344"/>
      <c r="K100" s="344"/>
      <c r="L100" s="344"/>
      <c r="M100" s="344"/>
      <c r="N100" s="344"/>
      <c r="O100" s="344"/>
      <c r="P100" s="344"/>
      <c r="Q100" s="344"/>
      <c r="R100" s="344"/>
      <c r="S100" s="344"/>
    </row>
    <row r="101" spans="1:19" s="343" customFormat="1" ht="19.5" customHeight="1">
      <c r="A101" s="342"/>
      <c r="B101" s="344"/>
      <c r="C101" s="344"/>
      <c r="D101" s="344"/>
      <c r="E101" s="344"/>
      <c r="F101" s="344"/>
      <c r="G101" s="344"/>
      <c r="H101" s="344"/>
      <c r="I101" s="344"/>
      <c r="J101" s="344"/>
      <c r="K101" s="344"/>
      <c r="L101" s="344"/>
      <c r="M101" s="344"/>
      <c r="N101" s="344"/>
      <c r="O101" s="344"/>
      <c r="P101" s="344"/>
      <c r="Q101" s="344"/>
      <c r="R101" s="344"/>
      <c r="S101" s="344"/>
    </row>
    <row r="102" spans="1:19" s="343" customFormat="1" ht="19.5" customHeight="1">
      <c r="A102" s="342"/>
      <c r="B102" s="344"/>
      <c r="C102" s="344"/>
      <c r="D102" s="344"/>
      <c r="E102" s="344"/>
      <c r="F102" s="344"/>
      <c r="G102" s="344"/>
      <c r="H102" s="344"/>
      <c r="I102" s="344"/>
      <c r="J102" s="344"/>
      <c r="K102" s="344"/>
      <c r="L102" s="344"/>
      <c r="M102" s="344"/>
      <c r="N102" s="344"/>
      <c r="O102" s="344"/>
      <c r="P102" s="344"/>
      <c r="Q102" s="344"/>
      <c r="R102" s="344"/>
      <c r="S102" s="344"/>
    </row>
    <row r="103" spans="1:19" s="343" customFormat="1" ht="19.5" customHeight="1">
      <c r="A103" s="342"/>
      <c r="B103" s="344"/>
      <c r="C103" s="344"/>
      <c r="D103" s="344"/>
      <c r="E103" s="344"/>
      <c r="F103" s="344"/>
      <c r="G103" s="344"/>
      <c r="H103" s="344"/>
      <c r="I103" s="344"/>
      <c r="J103" s="344"/>
      <c r="K103" s="344"/>
      <c r="L103" s="344"/>
      <c r="M103" s="344"/>
      <c r="N103" s="344"/>
      <c r="O103" s="344"/>
      <c r="P103" s="344"/>
      <c r="Q103" s="344"/>
      <c r="R103" s="344"/>
      <c r="S103" s="344"/>
    </row>
    <row r="104" spans="1:19" s="343" customFormat="1" ht="19.5" customHeight="1">
      <c r="A104" s="342"/>
      <c r="B104" s="344"/>
      <c r="C104" s="344"/>
      <c r="D104" s="344"/>
      <c r="E104" s="344"/>
      <c r="F104" s="344"/>
      <c r="G104" s="344"/>
      <c r="H104" s="344"/>
      <c r="I104" s="344"/>
      <c r="J104" s="344"/>
      <c r="K104" s="344"/>
      <c r="L104" s="344"/>
      <c r="M104" s="344"/>
      <c r="N104" s="344"/>
      <c r="O104" s="344"/>
      <c r="P104" s="344"/>
      <c r="Q104" s="344"/>
      <c r="R104" s="344"/>
      <c r="S104" s="344"/>
    </row>
    <row r="105" spans="1:19" s="343" customFormat="1" ht="19.5" customHeight="1">
      <c r="A105" s="342"/>
      <c r="B105" s="344"/>
      <c r="C105" s="344"/>
      <c r="D105" s="344"/>
      <c r="E105" s="344"/>
      <c r="F105" s="344"/>
      <c r="G105" s="344"/>
      <c r="H105" s="344"/>
      <c r="I105" s="344"/>
      <c r="J105" s="344"/>
      <c r="K105" s="344"/>
      <c r="L105" s="344"/>
      <c r="M105" s="344"/>
      <c r="N105" s="344"/>
      <c r="O105" s="344"/>
      <c r="P105" s="344"/>
      <c r="Q105" s="344"/>
      <c r="R105" s="344"/>
      <c r="S105" s="344"/>
    </row>
    <row r="106" spans="1:19" s="343" customFormat="1" ht="19.5" customHeight="1">
      <c r="A106" s="342"/>
      <c r="B106" s="344"/>
      <c r="C106" s="344"/>
      <c r="D106" s="344"/>
      <c r="E106" s="344"/>
      <c r="F106" s="344"/>
      <c r="G106" s="344"/>
      <c r="H106" s="344"/>
      <c r="I106" s="344"/>
      <c r="J106" s="344"/>
      <c r="K106" s="344"/>
      <c r="L106" s="344"/>
      <c r="M106" s="344"/>
      <c r="N106" s="344"/>
      <c r="O106" s="344"/>
      <c r="P106" s="344"/>
      <c r="Q106" s="344"/>
      <c r="R106" s="344"/>
      <c r="S106" s="344"/>
    </row>
    <row r="107" spans="1:19" s="343" customFormat="1" ht="19.5" customHeight="1">
      <c r="A107" s="342"/>
      <c r="B107" s="344"/>
      <c r="C107" s="344"/>
      <c r="D107" s="344"/>
      <c r="E107" s="344"/>
      <c r="F107" s="344"/>
      <c r="G107" s="344"/>
      <c r="H107" s="344"/>
      <c r="I107" s="344"/>
      <c r="J107" s="344"/>
      <c r="K107" s="344"/>
      <c r="L107" s="344"/>
      <c r="M107" s="344"/>
      <c r="N107" s="344"/>
      <c r="O107" s="344"/>
      <c r="P107" s="344"/>
      <c r="Q107" s="344"/>
      <c r="R107" s="344"/>
      <c r="S107" s="344"/>
    </row>
    <row r="108" spans="1:19" s="343" customFormat="1" ht="19.5" customHeight="1">
      <c r="A108" s="342"/>
      <c r="B108" s="344"/>
      <c r="C108" s="344"/>
      <c r="D108" s="344"/>
      <c r="E108" s="344"/>
      <c r="F108" s="344"/>
      <c r="G108" s="344"/>
      <c r="H108" s="344"/>
      <c r="I108" s="344"/>
      <c r="J108" s="344"/>
      <c r="K108" s="344"/>
      <c r="L108" s="344"/>
      <c r="M108" s="344"/>
      <c r="N108" s="344"/>
      <c r="O108" s="344"/>
      <c r="P108" s="344"/>
      <c r="Q108" s="344"/>
      <c r="R108" s="344"/>
      <c r="S108" s="344"/>
    </row>
    <row r="109" spans="1:19" s="343" customFormat="1" ht="19.5" customHeight="1">
      <c r="A109" s="342"/>
      <c r="B109" s="344"/>
      <c r="C109" s="344"/>
      <c r="D109" s="344"/>
      <c r="E109" s="344"/>
      <c r="F109" s="344"/>
      <c r="G109" s="344"/>
      <c r="H109" s="344"/>
      <c r="I109" s="344"/>
      <c r="J109" s="344"/>
      <c r="K109" s="344"/>
      <c r="L109" s="344"/>
      <c r="M109" s="344"/>
      <c r="N109" s="344"/>
      <c r="O109" s="344"/>
      <c r="P109" s="344"/>
      <c r="Q109" s="344"/>
      <c r="R109" s="344"/>
      <c r="S109" s="344"/>
    </row>
    <row r="110" spans="1:19" s="343" customFormat="1" ht="19.5" customHeight="1">
      <c r="A110" s="342"/>
      <c r="B110" s="344"/>
      <c r="C110" s="344"/>
      <c r="D110" s="344"/>
      <c r="E110" s="344"/>
      <c r="F110" s="344"/>
      <c r="G110" s="344"/>
      <c r="H110" s="344"/>
      <c r="I110" s="344"/>
      <c r="J110" s="344"/>
      <c r="K110" s="344"/>
      <c r="L110" s="344"/>
      <c r="M110" s="344"/>
      <c r="N110" s="344"/>
      <c r="O110" s="344"/>
      <c r="P110" s="344"/>
      <c r="Q110" s="344"/>
      <c r="R110" s="344"/>
      <c r="S110" s="344"/>
    </row>
    <row r="111" ht="19.5" customHeight="1"/>
    <row r="112" ht="9.75" customHeight="1"/>
    <row r="113" ht="19.5" customHeight="1"/>
    <row r="114" ht="19.5" customHeight="1"/>
    <row r="115" ht="19.5" customHeight="1"/>
    <row r="116" ht="19.5" customHeight="1"/>
    <row r="117" spans="1:19" s="343" customFormat="1" ht="19.5" customHeight="1">
      <c r="A117" s="342"/>
      <c r="B117" s="344"/>
      <c r="C117" s="344"/>
      <c r="D117" s="344"/>
      <c r="E117" s="344"/>
      <c r="F117" s="344"/>
      <c r="G117" s="344"/>
      <c r="H117" s="344"/>
      <c r="I117" s="344"/>
      <c r="J117" s="344"/>
      <c r="K117" s="344"/>
      <c r="L117" s="344"/>
      <c r="M117" s="344"/>
      <c r="N117" s="344"/>
      <c r="O117" s="344"/>
      <c r="P117" s="344"/>
      <c r="Q117" s="344"/>
      <c r="R117" s="344"/>
      <c r="S117" s="344"/>
    </row>
    <row r="118" spans="1:19" s="343" customFormat="1" ht="19.5" customHeight="1">
      <c r="A118" s="342"/>
      <c r="B118" s="344"/>
      <c r="C118" s="344"/>
      <c r="D118" s="344"/>
      <c r="E118" s="344"/>
      <c r="F118" s="344"/>
      <c r="G118" s="344"/>
      <c r="H118" s="344"/>
      <c r="I118" s="344"/>
      <c r="J118" s="344"/>
      <c r="K118" s="344"/>
      <c r="L118" s="344"/>
      <c r="M118" s="344"/>
      <c r="N118" s="344"/>
      <c r="O118" s="344"/>
      <c r="P118" s="344"/>
      <c r="Q118" s="344"/>
      <c r="R118" s="344"/>
      <c r="S118" s="344"/>
    </row>
    <row r="119" spans="1:19" s="343" customFormat="1" ht="19.5" customHeight="1">
      <c r="A119" s="342"/>
      <c r="B119" s="344"/>
      <c r="C119" s="344"/>
      <c r="D119" s="344"/>
      <c r="E119" s="344"/>
      <c r="F119" s="344"/>
      <c r="G119" s="344"/>
      <c r="H119" s="344"/>
      <c r="I119" s="344"/>
      <c r="J119" s="344"/>
      <c r="K119" s="344"/>
      <c r="L119" s="344"/>
      <c r="M119" s="344"/>
      <c r="N119" s="344"/>
      <c r="O119" s="344"/>
      <c r="P119" s="344"/>
      <c r="Q119" s="344"/>
      <c r="R119" s="344"/>
      <c r="S119" s="344"/>
    </row>
    <row r="120" spans="1:19" s="343" customFormat="1" ht="19.5" customHeight="1">
      <c r="A120" s="342"/>
      <c r="B120" s="344"/>
      <c r="C120" s="344"/>
      <c r="D120" s="344"/>
      <c r="E120" s="344"/>
      <c r="F120" s="344"/>
      <c r="G120" s="344"/>
      <c r="H120" s="344"/>
      <c r="I120" s="344"/>
      <c r="J120" s="344"/>
      <c r="K120" s="344"/>
      <c r="L120" s="344"/>
      <c r="M120" s="344"/>
      <c r="N120" s="344"/>
      <c r="O120" s="344"/>
      <c r="P120" s="344"/>
      <c r="Q120" s="344"/>
      <c r="R120" s="344"/>
      <c r="S120" s="344"/>
    </row>
    <row r="121" spans="1:19" s="343" customFormat="1" ht="19.5" customHeight="1">
      <c r="A121" s="342"/>
      <c r="B121" s="344"/>
      <c r="C121" s="344"/>
      <c r="D121" s="344"/>
      <c r="E121" s="344"/>
      <c r="F121" s="344"/>
      <c r="G121" s="344"/>
      <c r="H121" s="344"/>
      <c r="I121" s="344"/>
      <c r="J121" s="344"/>
      <c r="K121" s="344"/>
      <c r="L121" s="344"/>
      <c r="M121" s="344"/>
      <c r="N121" s="344"/>
      <c r="O121" s="344"/>
      <c r="P121" s="344"/>
      <c r="Q121" s="344"/>
      <c r="R121" s="344"/>
      <c r="S121" s="344"/>
    </row>
    <row r="122" spans="1:19" s="343" customFormat="1" ht="19.5" customHeight="1">
      <c r="A122" s="342"/>
      <c r="B122" s="344"/>
      <c r="C122" s="344"/>
      <c r="D122" s="344"/>
      <c r="E122" s="344"/>
      <c r="F122" s="344"/>
      <c r="G122" s="344"/>
      <c r="H122" s="344"/>
      <c r="I122" s="344"/>
      <c r="J122" s="344"/>
      <c r="K122" s="344"/>
      <c r="L122" s="344"/>
      <c r="M122" s="344"/>
      <c r="N122" s="344"/>
      <c r="O122" s="344"/>
      <c r="P122" s="344"/>
      <c r="Q122" s="344"/>
      <c r="R122" s="344"/>
      <c r="S122" s="344"/>
    </row>
    <row r="123" spans="1:19" s="343" customFormat="1" ht="19.5" customHeight="1">
      <c r="A123" s="342"/>
      <c r="B123" s="344"/>
      <c r="C123" s="344"/>
      <c r="D123" s="344"/>
      <c r="E123" s="344"/>
      <c r="F123" s="344"/>
      <c r="G123" s="344"/>
      <c r="H123" s="344"/>
      <c r="I123" s="344"/>
      <c r="J123" s="344"/>
      <c r="K123" s="344"/>
      <c r="L123" s="344"/>
      <c r="M123" s="344"/>
      <c r="N123" s="344"/>
      <c r="O123" s="344"/>
      <c r="P123" s="344"/>
      <c r="Q123" s="344"/>
      <c r="R123" s="344"/>
      <c r="S123" s="344"/>
    </row>
    <row r="124" spans="1:19" s="343" customFormat="1" ht="19.5" customHeight="1">
      <c r="A124" s="342"/>
      <c r="B124" s="344"/>
      <c r="C124" s="344"/>
      <c r="D124" s="344"/>
      <c r="E124" s="344"/>
      <c r="F124" s="344"/>
      <c r="G124" s="344"/>
      <c r="H124" s="344"/>
      <c r="I124" s="344"/>
      <c r="J124" s="344"/>
      <c r="K124" s="344"/>
      <c r="L124" s="344"/>
      <c r="M124" s="344"/>
      <c r="N124" s="344"/>
      <c r="O124" s="344"/>
      <c r="P124" s="344"/>
      <c r="Q124" s="344"/>
      <c r="R124" s="344"/>
      <c r="S124" s="344"/>
    </row>
    <row r="125" spans="1:19" s="343" customFormat="1" ht="19.5" customHeight="1">
      <c r="A125" s="342"/>
      <c r="B125" s="344"/>
      <c r="C125" s="344"/>
      <c r="D125" s="344"/>
      <c r="E125" s="344"/>
      <c r="F125" s="344"/>
      <c r="G125" s="344"/>
      <c r="H125" s="344"/>
      <c r="I125" s="344"/>
      <c r="J125" s="344"/>
      <c r="K125" s="344"/>
      <c r="L125" s="344"/>
      <c r="M125" s="344"/>
      <c r="N125" s="344"/>
      <c r="O125" s="344"/>
      <c r="P125" s="344"/>
      <c r="Q125" s="344"/>
      <c r="R125" s="344"/>
      <c r="S125" s="344"/>
    </row>
    <row r="126" spans="1:19" s="343" customFormat="1" ht="19.5" customHeight="1">
      <c r="A126" s="342"/>
      <c r="B126" s="344"/>
      <c r="C126" s="344"/>
      <c r="D126" s="344"/>
      <c r="E126" s="344"/>
      <c r="F126" s="344"/>
      <c r="G126" s="344"/>
      <c r="H126" s="344"/>
      <c r="I126" s="344"/>
      <c r="J126" s="344"/>
      <c r="K126" s="344"/>
      <c r="L126" s="344"/>
      <c r="M126" s="344"/>
      <c r="N126" s="344"/>
      <c r="O126" s="344"/>
      <c r="P126" s="344"/>
      <c r="Q126" s="344"/>
      <c r="R126" s="344"/>
      <c r="S126" s="344"/>
    </row>
    <row r="127" spans="1:19" s="343" customFormat="1" ht="19.5" customHeight="1">
      <c r="A127" s="342"/>
      <c r="B127" s="344"/>
      <c r="C127" s="344"/>
      <c r="D127" s="344"/>
      <c r="E127" s="344"/>
      <c r="F127" s="344"/>
      <c r="G127" s="344"/>
      <c r="H127" s="344"/>
      <c r="I127" s="344"/>
      <c r="J127" s="344"/>
      <c r="K127" s="344"/>
      <c r="L127" s="344"/>
      <c r="M127" s="344"/>
      <c r="N127" s="344"/>
      <c r="O127" s="344"/>
      <c r="P127" s="344"/>
      <c r="Q127" s="344"/>
      <c r="R127" s="344"/>
      <c r="S127" s="344"/>
    </row>
    <row r="128" spans="1:19" s="343" customFormat="1" ht="19.5" customHeight="1">
      <c r="A128" s="342"/>
      <c r="B128" s="344"/>
      <c r="C128" s="344"/>
      <c r="D128" s="344"/>
      <c r="E128" s="344"/>
      <c r="F128" s="344"/>
      <c r="G128" s="344"/>
      <c r="H128" s="344"/>
      <c r="I128" s="344"/>
      <c r="J128" s="344"/>
      <c r="K128" s="344"/>
      <c r="L128" s="344"/>
      <c r="M128" s="344"/>
      <c r="N128" s="344"/>
      <c r="O128" s="344"/>
      <c r="P128" s="344"/>
      <c r="Q128" s="344"/>
      <c r="R128" s="344"/>
      <c r="S128" s="344"/>
    </row>
    <row r="129" spans="1:19" s="343" customFormat="1" ht="19.5" customHeight="1">
      <c r="A129" s="342"/>
      <c r="B129" s="344"/>
      <c r="C129" s="344"/>
      <c r="D129" s="344"/>
      <c r="E129" s="344"/>
      <c r="F129" s="344"/>
      <c r="G129" s="344"/>
      <c r="H129" s="344"/>
      <c r="I129" s="344"/>
      <c r="J129" s="344"/>
      <c r="K129" s="344"/>
      <c r="L129" s="344"/>
      <c r="M129" s="344"/>
      <c r="N129" s="344"/>
      <c r="O129" s="344"/>
      <c r="P129" s="344"/>
      <c r="Q129" s="344"/>
      <c r="R129" s="344"/>
      <c r="S129" s="344"/>
    </row>
    <row r="130" spans="1:19" s="343" customFormat="1" ht="19.5" customHeight="1">
      <c r="A130" s="342"/>
      <c r="B130" s="344"/>
      <c r="C130" s="344"/>
      <c r="D130" s="344"/>
      <c r="E130" s="344"/>
      <c r="F130" s="344"/>
      <c r="G130" s="344"/>
      <c r="H130" s="344"/>
      <c r="I130" s="344"/>
      <c r="J130" s="344"/>
      <c r="K130" s="344"/>
      <c r="L130" s="344"/>
      <c r="M130" s="344"/>
      <c r="N130" s="344"/>
      <c r="O130" s="344"/>
      <c r="P130" s="344"/>
      <c r="Q130" s="344"/>
      <c r="R130" s="344"/>
      <c r="S130" s="344"/>
    </row>
    <row r="131" spans="1:19" s="343" customFormat="1" ht="19.5" customHeight="1">
      <c r="A131" s="342"/>
      <c r="B131" s="344"/>
      <c r="C131" s="344"/>
      <c r="D131" s="344"/>
      <c r="E131" s="344"/>
      <c r="F131" s="344"/>
      <c r="G131" s="344"/>
      <c r="H131" s="344"/>
      <c r="I131" s="344"/>
      <c r="J131" s="344"/>
      <c r="K131" s="344"/>
      <c r="L131" s="344"/>
      <c r="M131" s="344"/>
      <c r="N131" s="344"/>
      <c r="O131" s="344"/>
      <c r="P131" s="344"/>
      <c r="Q131" s="344"/>
      <c r="R131" s="344"/>
      <c r="S131" s="344"/>
    </row>
    <row r="132" spans="1:19" s="343" customFormat="1" ht="19.5" customHeight="1">
      <c r="A132" s="342"/>
      <c r="B132" s="344"/>
      <c r="C132" s="344"/>
      <c r="D132" s="344"/>
      <c r="E132" s="344"/>
      <c r="F132" s="344"/>
      <c r="G132" s="344"/>
      <c r="H132" s="344"/>
      <c r="I132" s="344"/>
      <c r="J132" s="344"/>
      <c r="K132" s="344"/>
      <c r="L132" s="344"/>
      <c r="M132" s="344"/>
      <c r="N132" s="344"/>
      <c r="O132" s="344"/>
      <c r="P132" s="344"/>
      <c r="Q132" s="344"/>
      <c r="R132" s="344"/>
      <c r="S132" s="344"/>
    </row>
    <row r="133" spans="1:19" s="343" customFormat="1" ht="19.5" customHeight="1">
      <c r="A133" s="342"/>
      <c r="B133" s="344"/>
      <c r="C133" s="344"/>
      <c r="D133" s="344"/>
      <c r="E133" s="344"/>
      <c r="F133" s="344"/>
      <c r="G133" s="344"/>
      <c r="H133" s="344"/>
      <c r="I133" s="344"/>
      <c r="J133" s="344"/>
      <c r="K133" s="344"/>
      <c r="L133" s="344"/>
      <c r="M133" s="344"/>
      <c r="N133" s="344"/>
      <c r="O133" s="344"/>
      <c r="P133" s="344"/>
      <c r="Q133" s="344"/>
      <c r="R133" s="344"/>
      <c r="S133" s="344"/>
    </row>
    <row r="134" spans="1:19" s="343" customFormat="1" ht="19.5" customHeight="1">
      <c r="A134" s="342"/>
      <c r="B134" s="344"/>
      <c r="C134" s="344"/>
      <c r="D134" s="344"/>
      <c r="E134" s="344"/>
      <c r="F134" s="344"/>
      <c r="G134" s="344"/>
      <c r="H134" s="344"/>
      <c r="I134" s="344"/>
      <c r="J134" s="344"/>
      <c r="K134" s="344"/>
      <c r="L134" s="344"/>
      <c r="M134" s="344"/>
      <c r="N134" s="344"/>
      <c r="O134" s="344"/>
      <c r="P134" s="344"/>
      <c r="Q134" s="344"/>
      <c r="R134" s="344"/>
      <c r="S134" s="344"/>
    </row>
    <row r="135" spans="1:19" s="343" customFormat="1" ht="19.5" customHeight="1">
      <c r="A135" s="342"/>
      <c r="B135" s="344"/>
      <c r="C135" s="344"/>
      <c r="D135" s="344"/>
      <c r="E135" s="344"/>
      <c r="F135" s="344"/>
      <c r="G135" s="344"/>
      <c r="H135" s="344"/>
      <c r="I135" s="344"/>
      <c r="J135" s="344"/>
      <c r="K135" s="344"/>
      <c r="L135" s="344"/>
      <c r="M135" s="344"/>
      <c r="N135" s="344"/>
      <c r="O135" s="344"/>
      <c r="P135" s="344"/>
      <c r="Q135" s="344"/>
      <c r="R135" s="344"/>
      <c r="S135" s="344"/>
    </row>
    <row r="136" spans="1:19" s="343" customFormat="1" ht="19.5" customHeight="1">
      <c r="A136" s="342"/>
      <c r="B136" s="344"/>
      <c r="C136" s="344"/>
      <c r="D136" s="344"/>
      <c r="E136" s="344"/>
      <c r="F136" s="344"/>
      <c r="G136" s="344"/>
      <c r="H136" s="344"/>
      <c r="I136" s="344"/>
      <c r="J136" s="344"/>
      <c r="K136" s="344"/>
      <c r="L136" s="344"/>
      <c r="M136" s="344"/>
      <c r="N136" s="344"/>
      <c r="O136" s="344"/>
      <c r="P136" s="344"/>
      <c r="Q136" s="344"/>
      <c r="R136" s="344"/>
      <c r="S136" s="344"/>
    </row>
    <row r="137" spans="1:19" s="343" customFormat="1" ht="19.5" customHeight="1">
      <c r="A137" s="342"/>
      <c r="B137" s="344"/>
      <c r="C137" s="344"/>
      <c r="D137" s="344"/>
      <c r="E137" s="344"/>
      <c r="F137" s="344"/>
      <c r="G137" s="344"/>
      <c r="H137" s="344"/>
      <c r="I137" s="344"/>
      <c r="J137" s="344"/>
      <c r="K137" s="344"/>
      <c r="L137" s="344"/>
      <c r="M137" s="344"/>
      <c r="N137" s="344"/>
      <c r="O137" s="344"/>
      <c r="P137" s="344"/>
      <c r="Q137" s="344"/>
      <c r="R137" s="344"/>
      <c r="S137" s="344"/>
    </row>
    <row r="138" spans="1:19" s="343" customFormat="1" ht="19.5" customHeight="1">
      <c r="A138" s="342"/>
      <c r="B138" s="344"/>
      <c r="C138" s="344"/>
      <c r="D138" s="344"/>
      <c r="E138" s="344"/>
      <c r="F138" s="344"/>
      <c r="G138" s="344"/>
      <c r="H138" s="344"/>
      <c r="I138" s="344"/>
      <c r="J138" s="344"/>
      <c r="K138" s="344"/>
      <c r="L138" s="344"/>
      <c r="M138" s="344"/>
      <c r="N138" s="344"/>
      <c r="O138" s="344"/>
      <c r="P138" s="344"/>
      <c r="Q138" s="344"/>
      <c r="R138" s="344"/>
      <c r="S138" s="344"/>
    </row>
    <row r="139" spans="1:19" s="343" customFormat="1" ht="19.5" customHeight="1">
      <c r="A139" s="342"/>
      <c r="B139" s="344"/>
      <c r="C139" s="344"/>
      <c r="D139" s="344"/>
      <c r="E139" s="344"/>
      <c r="F139" s="344"/>
      <c r="G139" s="344"/>
      <c r="H139" s="344"/>
      <c r="I139" s="344"/>
      <c r="J139" s="344"/>
      <c r="K139" s="344"/>
      <c r="L139" s="344"/>
      <c r="M139" s="344"/>
      <c r="N139" s="344"/>
      <c r="O139" s="344"/>
      <c r="P139" s="344"/>
      <c r="Q139" s="344"/>
      <c r="R139" s="344"/>
      <c r="S139" s="344"/>
    </row>
    <row r="140" spans="1:19" s="343" customFormat="1" ht="19.5" customHeight="1">
      <c r="A140" s="342"/>
      <c r="B140" s="344"/>
      <c r="C140" s="344"/>
      <c r="D140" s="344"/>
      <c r="E140" s="344"/>
      <c r="F140" s="344"/>
      <c r="G140" s="344"/>
      <c r="H140" s="344"/>
      <c r="I140" s="344"/>
      <c r="J140" s="344"/>
      <c r="K140" s="344"/>
      <c r="L140" s="344"/>
      <c r="M140" s="344"/>
      <c r="N140" s="344"/>
      <c r="O140" s="344"/>
      <c r="P140" s="344"/>
      <c r="Q140" s="344"/>
      <c r="R140" s="344"/>
      <c r="S140" s="344"/>
    </row>
    <row r="141" spans="1:19" s="343" customFormat="1" ht="19.5" customHeight="1">
      <c r="A141" s="342"/>
      <c r="B141" s="344"/>
      <c r="C141" s="344"/>
      <c r="D141" s="344"/>
      <c r="E141" s="344"/>
      <c r="F141" s="344"/>
      <c r="G141" s="344"/>
      <c r="H141" s="344"/>
      <c r="I141" s="344"/>
      <c r="J141" s="344"/>
      <c r="K141" s="344"/>
      <c r="L141" s="344"/>
      <c r="M141" s="344"/>
      <c r="N141" s="344"/>
      <c r="O141" s="344"/>
      <c r="P141" s="344"/>
      <c r="Q141" s="344"/>
      <c r="R141" s="344"/>
      <c r="S141" s="344"/>
    </row>
    <row r="142" spans="1:19" s="343" customFormat="1" ht="19.5" customHeight="1">
      <c r="A142" s="342"/>
      <c r="B142" s="344"/>
      <c r="C142" s="344"/>
      <c r="D142" s="344"/>
      <c r="E142" s="344"/>
      <c r="F142" s="344"/>
      <c r="G142" s="344"/>
      <c r="H142" s="344"/>
      <c r="I142" s="344"/>
      <c r="J142" s="344"/>
      <c r="K142" s="344"/>
      <c r="L142" s="344"/>
      <c r="M142" s="344"/>
      <c r="N142" s="344"/>
      <c r="O142" s="344"/>
      <c r="P142" s="344"/>
      <c r="Q142" s="344"/>
      <c r="R142" s="344"/>
      <c r="S142" s="344"/>
    </row>
    <row r="143" spans="1:19" s="343" customFormat="1" ht="19.5" customHeight="1">
      <c r="A143" s="342"/>
      <c r="B143" s="344"/>
      <c r="C143" s="344"/>
      <c r="D143" s="344"/>
      <c r="E143" s="344"/>
      <c r="F143" s="344"/>
      <c r="G143" s="344"/>
      <c r="H143" s="344"/>
      <c r="I143" s="344"/>
      <c r="J143" s="344"/>
      <c r="K143" s="344"/>
      <c r="L143" s="344"/>
      <c r="M143" s="344"/>
      <c r="N143" s="344"/>
      <c r="O143" s="344"/>
      <c r="P143" s="344"/>
      <c r="Q143" s="344"/>
      <c r="R143" s="344"/>
      <c r="S143" s="344"/>
    </row>
    <row r="144" spans="1:19" s="343" customFormat="1" ht="19.5" customHeight="1">
      <c r="A144" s="342"/>
      <c r="B144" s="344"/>
      <c r="C144" s="344"/>
      <c r="D144" s="344"/>
      <c r="E144" s="344"/>
      <c r="F144" s="344"/>
      <c r="G144" s="344"/>
      <c r="H144" s="344"/>
      <c r="I144" s="344"/>
      <c r="J144" s="344"/>
      <c r="K144" s="344"/>
      <c r="L144" s="344"/>
      <c r="M144" s="344"/>
      <c r="N144" s="344"/>
      <c r="O144" s="344"/>
      <c r="P144" s="344"/>
      <c r="Q144" s="344"/>
      <c r="R144" s="344"/>
      <c r="S144" s="344"/>
    </row>
    <row r="145" spans="1:19" s="343" customFormat="1" ht="19.5" customHeight="1">
      <c r="A145" s="342"/>
      <c r="B145" s="344"/>
      <c r="C145" s="344"/>
      <c r="D145" s="344"/>
      <c r="E145" s="344"/>
      <c r="F145" s="344"/>
      <c r="G145" s="344"/>
      <c r="H145" s="344"/>
      <c r="I145" s="344"/>
      <c r="J145" s="344"/>
      <c r="K145" s="344"/>
      <c r="L145" s="344"/>
      <c r="M145" s="344"/>
      <c r="N145" s="344"/>
      <c r="O145" s="344"/>
      <c r="P145" s="344"/>
      <c r="Q145" s="344"/>
      <c r="R145" s="344"/>
      <c r="S145" s="344"/>
    </row>
    <row r="146" spans="1:19" s="343" customFormat="1" ht="19.5" customHeight="1">
      <c r="A146" s="342"/>
      <c r="B146" s="344"/>
      <c r="C146" s="344"/>
      <c r="D146" s="344"/>
      <c r="E146" s="344"/>
      <c r="F146" s="344"/>
      <c r="G146" s="344"/>
      <c r="H146" s="344"/>
      <c r="I146" s="344"/>
      <c r="J146" s="344"/>
      <c r="K146" s="344"/>
      <c r="L146" s="344"/>
      <c r="M146" s="344"/>
      <c r="N146" s="344"/>
      <c r="O146" s="344"/>
      <c r="P146" s="344"/>
      <c r="Q146" s="344"/>
      <c r="R146" s="344"/>
      <c r="S146" s="344"/>
    </row>
    <row r="147" spans="1:19" s="343" customFormat="1" ht="19.5" customHeight="1">
      <c r="A147" s="342"/>
      <c r="B147" s="344"/>
      <c r="C147" s="344"/>
      <c r="D147" s="344"/>
      <c r="E147" s="344"/>
      <c r="F147" s="344"/>
      <c r="G147" s="344"/>
      <c r="H147" s="344"/>
      <c r="I147" s="344"/>
      <c r="J147" s="344"/>
      <c r="K147" s="344"/>
      <c r="L147" s="344"/>
      <c r="M147" s="344"/>
      <c r="N147" s="344"/>
      <c r="O147" s="344"/>
      <c r="P147" s="344"/>
      <c r="Q147" s="344"/>
      <c r="R147" s="344"/>
      <c r="S147" s="344"/>
    </row>
    <row r="148" spans="1:19" s="343" customFormat="1" ht="19.5" customHeight="1">
      <c r="A148" s="342"/>
      <c r="B148" s="344"/>
      <c r="C148" s="344"/>
      <c r="D148" s="344"/>
      <c r="E148" s="344"/>
      <c r="F148" s="344"/>
      <c r="G148" s="344"/>
      <c r="H148" s="344"/>
      <c r="I148" s="344"/>
      <c r="J148" s="344"/>
      <c r="K148" s="344"/>
      <c r="L148" s="344"/>
      <c r="M148" s="344"/>
      <c r="N148" s="344"/>
      <c r="O148" s="344"/>
      <c r="P148" s="344"/>
      <c r="Q148" s="344"/>
      <c r="R148" s="344"/>
      <c r="S148" s="344"/>
    </row>
    <row r="149" spans="1:19" s="343" customFormat="1" ht="19.5" customHeight="1">
      <c r="A149" s="342"/>
      <c r="B149" s="344"/>
      <c r="C149" s="344"/>
      <c r="D149" s="344"/>
      <c r="E149" s="344"/>
      <c r="F149" s="344"/>
      <c r="G149" s="344"/>
      <c r="H149" s="344"/>
      <c r="I149" s="344"/>
      <c r="J149" s="344"/>
      <c r="K149" s="344"/>
      <c r="L149" s="344"/>
      <c r="M149" s="344"/>
      <c r="N149" s="344"/>
      <c r="O149" s="344"/>
      <c r="P149" s="344"/>
      <c r="Q149" s="344"/>
      <c r="R149" s="344"/>
      <c r="S149" s="344"/>
    </row>
    <row r="150" spans="1:19" s="343" customFormat="1" ht="19.5" customHeight="1">
      <c r="A150" s="342"/>
      <c r="B150" s="344"/>
      <c r="C150" s="344"/>
      <c r="D150" s="344"/>
      <c r="E150" s="344"/>
      <c r="F150" s="344"/>
      <c r="G150" s="344"/>
      <c r="H150" s="344"/>
      <c r="I150" s="344"/>
      <c r="J150" s="344"/>
      <c r="K150" s="344"/>
      <c r="L150" s="344"/>
      <c r="M150" s="344"/>
      <c r="N150" s="344"/>
      <c r="O150" s="344"/>
      <c r="P150" s="344"/>
      <c r="Q150" s="344"/>
      <c r="R150" s="344"/>
      <c r="S150" s="344"/>
    </row>
    <row r="151" spans="1:19" s="343" customFormat="1" ht="19.5" customHeight="1">
      <c r="A151" s="342"/>
      <c r="B151" s="344"/>
      <c r="C151" s="344"/>
      <c r="D151" s="344"/>
      <c r="E151" s="344"/>
      <c r="F151" s="344"/>
      <c r="G151" s="344"/>
      <c r="H151" s="344"/>
      <c r="I151" s="344"/>
      <c r="J151" s="344"/>
      <c r="K151" s="344"/>
      <c r="L151" s="344"/>
      <c r="M151" s="344"/>
      <c r="N151" s="344"/>
      <c r="O151" s="344"/>
      <c r="P151" s="344"/>
      <c r="Q151" s="344"/>
      <c r="R151" s="344"/>
      <c r="S151" s="344"/>
    </row>
    <row r="152" spans="1:19" s="343" customFormat="1" ht="19.5" customHeight="1">
      <c r="A152" s="342"/>
      <c r="B152" s="344"/>
      <c r="C152" s="344"/>
      <c r="D152" s="344"/>
      <c r="E152" s="344"/>
      <c r="F152" s="344"/>
      <c r="G152" s="344"/>
      <c r="H152" s="344"/>
      <c r="I152" s="344"/>
      <c r="J152" s="344"/>
      <c r="K152" s="344"/>
      <c r="L152" s="344"/>
      <c r="M152" s="344"/>
      <c r="N152" s="344"/>
      <c r="O152" s="344"/>
      <c r="P152" s="344"/>
      <c r="Q152" s="344"/>
      <c r="R152" s="344"/>
      <c r="S152" s="344"/>
    </row>
    <row r="153" spans="1:19" s="343" customFormat="1" ht="19.5" customHeight="1">
      <c r="A153" s="342"/>
      <c r="B153" s="344"/>
      <c r="C153" s="344"/>
      <c r="D153" s="344"/>
      <c r="E153" s="344"/>
      <c r="F153" s="344"/>
      <c r="G153" s="344"/>
      <c r="H153" s="344"/>
      <c r="I153" s="344"/>
      <c r="J153" s="344"/>
      <c r="K153" s="344"/>
      <c r="L153" s="344"/>
      <c r="M153" s="344"/>
      <c r="N153" s="344"/>
      <c r="O153" s="344"/>
      <c r="P153" s="344"/>
      <c r="Q153" s="344"/>
      <c r="R153" s="344"/>
      <c r="S153" s="344"/>
    </row>
    <row r="154" ht="19.5" customHeight="1"/>
    <row r="155" ht="9.75" customHeight="1"/>
    <row r="156" ht="19.5" customHeight="1"/>
    <row r="157" ht="19.5" customHeight="1"/>
    <row r="158" ht="19.5" customHeight="1"/>
    <row r="159" spans="1:19" s="343" customFormat="1" ht="19.5" customHeight="1">
      <c r="A159" s="342"/>
      <c r="B159" s="344"/>
      <c r="C159" s="344"/>
      <c r="D159" s="344"/>
      <c r="E159" s="344"/>
      <c r="F159" s="344"/>
      <c r="G159" s="344"/>
      <c r="H159" s="344"/>
      <c r="I159" s="344"/>
      <c r="J159" s="344"/>
      <c r="K159" s="344"/>
      <c r="L159" s="344"/>
      <c r="M159" s="344"/>
      <c r="N159" s="344"/>
      <c r="O159" s="344"/>
      <c r="P159" s="344"/>
      <c r="Q159" s="344"/>
      <c r="R159" s="344"/>
      <c r="S159" s="344"/>
    </row>
    <row r="160" spans="1:19" s="343" customFormat="1" ht="19.5" customHeight="1">
      <c r="A160" s="342"/>
      <c r="B160" s="344"/>
      <c r="C160" s="344"/>
      <c r="D160" s="344"/>
      <c r="E160" s="344"/>
      <c r="F160" s="344"/>
      <c r="G160" s="344"/>
      <c r="H160" s="344"/>
      <c r="I160" s="344"/>
      <c r="J160" s="344"/>
      <c r="K160" s="344"/>
      <c r="L160" s="344"/>
      <c r="M160" s="344"/>
      <c r="N160" s="344"/>
      <c r="O160" s="344"/>
      <c r="P160" s="344"/>
      <c r="Q160" s="344"/>
      <c r="R160" s="344"/>
      <c r="S160" s="344"/>
    </row>
    <row r="161" spans="1:19" s="343" customFormat="1" ht="19.5" customHeight="1">
      <c r="A161" s="342"/>
      <c r="B161" s="344"/>
      <c r="C161" s="344"/>
      <c r="D161" s="344"/>
      <c r="E161" s="344"/>
      <c r="F161" s="344"/>
      <c r="G161" s="344"/>
      <c r="H161" s="344"/>
      <c r="I161" s="344"/>
      <c r="J161" s="344"/>
      <c r="K161" s="344"/>
      <c r="L161" s="344"/>
      <c r="M161" s="344"/>
      <c r="N161" s="344"/>
      <c r="O161" s="344"/>
      <c r="P161" s="344"/>
      <c r="Q161" s="344"/>
      <c r="R161" s="344"/>
      <c r="S161" s="344"/>
    </row>
    <row r="162" spans="1:19" s="343" customFormat="1" ht="19.5" customHeight="1">
      <c r="A162" s="342"/>
      <c r="B162" s="344"/>
      <c r="C162" s="344"/>
      <c r="D162" s="344"/>
      <c r="E162" s="344"/>
      <c r="F162" s="344"/>
      <c r="G162" s="344"/>
      <c r="H162" s="344"/>
      <c r="I162" s="344"/>
      <c r="J162" s="344"/>
      <c r="K162" s="344"/>
      <c r="L162" s="344"/>
      <c r="M162" s="344"/>
      <c r="N162" s="344"/>
      <c r="O162" s="344"/>
      <c r="P162" s="344"/>
      <c r="Q162" s="344"/>
      <c r="R162" s="344"/>
      <c r="S162" s="344"/>
    </row>
    <row r="163" spans="1:19" s="343" customFormat="1" ht="19.5" customHeight="1">
      <c r="A163" s="342"/>
      <c r="B163" s="344"/>
      <c r="C163" s="344"/>
      <c r="D163" s="344"/>
      <c r="E163" s="344"/>
      <c r="F163" s="344"/>
      <c r="G163" s="344"/>
      <c r="H163" s="344"/>
      <c r="I163" s="344"/>
      <c r="J163" s="344"/>
      <c r="K163" s="344"/>
      <c r="L163" s="344"/>
      <c r="M163" s="344"/>
      <c r="N163" s="344"/>
      <c r="O163" s="344"/>
      <c r="P163" s="344"/>
      <c r="Q163" s="344"/>
      <c r="R163" s="344"/>
      <c r="S163" s="344"/>
    </row>
    <row r="164" spans="1:19" s="343" customFormat="1" ht="19.5" customHeight="1">
      <c r="A164" s="342"/>
      <c r="B164" s="344"/>
      <c r="C164" s="344"/>
      <c r="D164" s="344"/>
      <c r="E164" s="344"/>
      <c r="F164" s="344"/>
      <c r="G164" s="344"/>
      <c r="H164" s="344"/>
      <c r="I164" s="344"/>
      <c r="J164" s="344"/>
      <c r="K164" s="344"/>
      <c r="L164" s="344"/>
      <c r="M164" s="344"/>
      <c r="N164" s="344"/>
      <c r="O164" s="344"/>
      <c r="P164" s="344"/>
      <c r="Q164" s="344"/>
      <c r="R164" s="344"/>
      <c r="S164" s="344"/>
    </row>
    <row r="165" spans="1:19" s="343" customFormat="1" ht="19.5" customHeight="1">
      <c r="A165" s="342"/>
      <c r="B165" s="344"/>
      <c r="C165" s="344"/>
      <c r="D165" s="344"/>
      <c r="E165" s="344"/>
      <c r="F165" s="344"/>
      <c r="G165" s="344"/>
      <c r="H165" s="344"/>
      <c r="I165" s="344"/>
      <c r="J165" s="344"/>
      <c r="K165" s="344"/>
      <c r="L165" s="344"/>
      <c r="M165" s="344"/>
      <c r="N165" s="344"/>
      <c r="O165" s="344"/>
      <c r="P165" s="344"/>
      <c r="Q165" s="344"/>
      <c r="R165" s="344"/>
      <c r="S165" s="344"/>
    </row>
    <row r="166" spans="1:19" s="343" customFormat="1" ht="19.5" customHeight="1">
      <c r="A166" s="342"/>
      <c r="B166" s="344"/>
      <c r="C166" s="344"/>
      <c r="D166" s="344"/>
      <c r="E166" s="344"/>
      <c r="F166" s="344"/>
      <c r="G166" s="344"/>
      <c r="H166" s="344"/>
      <c r="I166" s="344"/>
      <c r="J166" s="344"/>
      <c r="K166" s="344"/>
      <c r="L166" s="344"/>
      <c r="M166" s="344"/>
      <c r="N166" s="344"/>
      <c r="O166" s="344"/>
      <c r="P166" s="344"/>
      <c r="Q166" s="344"/>
      <c r="R166" s="344"/>
      <c r="S166" s="344"/>
    </row>
    <row r="167" spans="1:19" s="343" customFormat="1" ht="19.5" customHeight="1">
      <c r="A167" s="342"/>
      <c r="B167" s="344"/>
      <c r="C167" s="344"/>
      <c r="D167" s="344"/>
      <c r="E167" s="344"/>
      <c r="F167" s="344"/>
      <c r="G167" s="344"/>
      <c r="H167" s="344"/>
      <c r="I167" s="344"/>
      <c r="J167" s="344"/>
      <c r="K167" s="344"/>
      <c r="L167" s="344"/>
      <c r="M167" s="344"/>
      <c r="N167" s="344"/>
      <c r="O167" s="344"/>
      <c r="P167" s="344"/>
      <c r="Q167" s="344"/>
      <c r="R167" s="344"/>
      <c r="S167" s="344"/>
    </row>
    <row r="168" spans="1:19" s="343" customFormat="1" ht="19.5" customHeight="1">
      <c r="A168" s="342"/>
      <c r="B168" s="344"/>
      <c r="C168" s="344"/>
      <c r="D168" s="344"/>
      <c r="E168" s="344"/>
      <c r="F168" s="344"/>
      <c r="G168" s="344"/>
      <c r="H168" s="344"/>
      <c r="I168" s="344"/>
      <c r="J168" s="344"/>
      <c r="K168" s="344"/>
      <c r="L168" s="344"/>
      <c r="M168" s="344"/>
      <c r="N168" s="344"/>
      <c r="O168" s="344"/>
      <c r="P168" s="344"/>
      <c r="Q168" s="344"/>
      <c r="R168" s="344"/>
      <c r="S168" s="344"/>
    </row>
    <row r="169" spans="1:19" s="343" customFormat="1" ht="19.5" customHeight="1">
      <c r="A169" s="342"/>
      <c r="B169" s="344"/>
      <c r="C169" s="344"/>
      <c r="D169" s="344"/>
      <c r="E169" s="344"/>
      <c r="F169" s="344"/>
      <c r="G169" s="344"/>
      <c r="H169" s="344"/>
      <c r="I169" s="344"/>
      <c r="J169" s="344"/>
      <c r="K169" s="344"/>
      <c r="L169" s="344"/>
      <c r="M169" s="344"/>
      <c r="N169" s="344"/>
      <c r="O169" s="344"/>
      <c r="P169" s="344"/>
      <c r="Q169" s="344"/>
      <c r="R169" s="344"/>
      <c r="S169" s="344"/>
    </row>
    <row r="170" spans="1:19" s="343" customFormat="1" ht="19.5" customHeight="1">
      <c r="A170" s="342"/>
      <c r="B170" s="344"/>
      <c r="C170" s="344"/>
      <c r="D170" s="344"/>
      <c r="E170" s="344"/>
      <c r="F170" s="344"/>
      <c r="G170" s="344"/>
      <c r="H170" s="344"/>
      <c r="I170" s="344"/>
      <c r="J170" s="344"/>
      <c r="K170" s="344"/>
      <c r="L170" s="344"/>
      <c r="M170" s="344"/>
      <c r="N170" s="344"/>
      <c r="O170" s="344"/>
      <c r="P170" s="344"/>
      <c r="Q170" s="344"/>
      <c r="R170" s="344"/>
      <c r="S170" s="344"/>
    </row>
    <row r="171" spans="1:19" s="343" customFormat="1" ht="19.5" customHeight="1">
      <c r="A171" s="342"/>
      <c r="B171" s="344"/>
      <c r="C171" s="344"/>
      <c r="D171" s="344"/>
      <c r="E171" s="344"/>
      <c r="F171" s="344"/>
      <c r="G171" s="344"/>
      <c r="H171" s="344"/>
      <c r="I171" s="344"/>
      <c r="J171" s="344"/>
      <c r="K171" s="344"/>
      <c r="L171" s="344"/>
      <c r="M171" s="344"/>
      <c r="N171" s="344"/>
      <c r="O171" s="344"/>
      <c r="P171" s="344"/>
      <c r="Q171" s="344"/>
      <c r="R171" s="344"/>
      <c r="S171" s="344"/>
    </row>
    <row r="172" spans="1:19" s="343" customFormat="1" ht="19.5" customHeight="1">
      <c r="A172" s="342"/>
      <c r="B172" s="344"/>
      <c r="C172" s="344"/>
      <c r="D172" s="344"/>
      <c r="E172" s="344"/>
      <c r="F172" s="344"/>
      <c r="G172" s="344"/>
      <c r="H172" s="344"/>
      <c r="I172" s="344"/>
      <c r="J172" s="344"/>
      <c r="K172" s="344"/>
      <c r="L172" s="344"/>
      <c r="M172" s="344"/>
      <c r="N172" s="344"/>
      <c r="O172" s="344"/>
      <c r="P172" s="344"/>
      <c r="Q172" s="344"/>
      <c r="R172" s="344"/>
      <c r="S172" s="344"/>
    </row>
    <row r="173" spans="1:19" s="343" customFormat="1" ht="19.5" customHeight="1">
      <c r="A173" s="342"/>
      <c r="B173" s="344"/>
      <c r="C173" s="344"/>
      <c r="D173" s="344"/>
      <c r="E173" s="344"/>
      <c r="F173" s="344"/>
      <c r="G173" s="344"/>
      <c r="H173" s="344"/>
      <c r="I173" s="344"/>
      <c r="J173" s="344"/>
      <c r="K173" s="344"/>
      <c r="L173" s="344"/>
      <c r="M173" s="344"/>
      <c r="N173" s="344"/>
      <c r="O173" s="344"/>
      <c r="P173" s="344"/>
      <c r="Q173" s="344"/>
      <c r="R173" s="344"/>
      <c r="S173" s="344"/>
    </row>
    <row r="174" spans="1:19" s="343" customFormat="1" ht="19.5" customHeight="1">
      <c r="A174" s="342"/>
      <c r="B174" s="344"/>
      <c r="C174" s="344"/>
      <c r="D174" s="344"/>
      <c r="E174" s="344"/>
      <c r="F174" s="344"/>
      <c r="G174" s="344"/>
      <c r="H174" s="344"/>
      <c r="I174" s="344"/>
      <c r="J174" s="344"/>
      <c r="K174" s="344"/>
      <c r="L174" s="344"/>
      <c r="M174" s="344"/>
      <c r="N174" s="344"/>
      <c r="O174" s="344"/>
      <c r="P174" s="344"/>
      <c r="Q174" s="344"/>
      <c r="R174" s="344"/>
      <c r="S174" s="344"/>
    </row>
    <row r="175" spans="1:19" s="343" customFormat="1" ht="19.5" customHeight="1">
      <c r="A175" s="342"/>
      <c r="B175" s="344"/>
      <c r="C175" s="344"/>
      <c r="D175" s="344"/>
      <c r="E175" s="344"/>
      <c r="F175" s="344"/>
      <c r="G175" s="344"/>
      <c r="H175" s="344"/>
      <c r="I175" s="344"/>
      <c r="J175" s="344"/>
      <c r="K175" s="344"/>
      <c r="L175" s="344"/>
      <c r="M175" s="344"/>
      <c r="N175" s="344"/>
      <c r="O175" s="344"/>
      <c r="P175" s="344"/>
      <c r="Q175" s="344"/>
      <c r="R175" s="344"/>
      <c r="S175" s="344"/>
    </row>
    <row r="176" spans="1:19" s="343" customFormat="1" ht="19.5" customHeight="1">
      <c r="A176" s="342"/>
      <c r="B176" s="344"/>
      <c r="C176" s="344"/>
      <c r="D176" s="344"/>
      <c r="E176" s="344"/>
      <c r="F176" s="344"/>
      <c r="G176" s="344"/>
      <c r="H176" s="344"/>
      <c r="I176" s="344"/>
      <c r="J176" s="344"/>
      <c r="K176" s="344"/>
      <c r="L176" s="344"/>
      <c r="M176" s="344"/>
      <c r="N176" s="344"/>
      <c r="O176" s="344"/>
      <c r="P176" s="344"/>
      <c r="Q176" s="344"/>
      <c r="R176" s="344"/>
      <c r="S176" s="344"/>
    </row>
    <row r="177" spans="1:19" s="343" customFormat="1" ht="19.5" customHeight="1">
      <c r="A177" s="342"/>
      <c r="B177" s="344"/>
      <c r="C177" s="344"/>
      <c r="D177" s="344"/>
      <c r="E177" s="344"/>
      <c r="F177" s="344"/>
      <c r="G177" s="344"/>
      <c r="H177" s="344"/>
      <c r="I177" s="344"/>
      <c r="J177" s="344"/>
      <c r="K177" s="344"/>
      <c r="L177" s="344"/>
      <c r="M177" s="344"/>
      <c r="N177" s="344"/>
      <c r="O177" s="344"/>
      <c r="P177" s="344"/>
      <c r="Q177" s="344"/>
      <c r="R177" s="344"/>
      <c r="S177" s="344"/>
    </row>
    <row r="178" spans="1:19" s="343" customFormat="1" ht="19.5" customHeight="1">
      <c r="A178" s="342"/>
      <c r="B178" s="344"/>
      <c r="C178" s="344"/>
      <c r="D178" s="344"/>
      <c r="E178" s="344"/>
      <c r="F178" s="344"/>
      <c r="G178" s="344"/>
      <c r="H178" s="344"/>
      <c r="I178" s="344"/>
      <c r="J178" s="344"/>
      <c r="K178" s="344"/>
      <c r="L178" s="344"/>
      <c r="M178" s="344"/>
      <c r="N178" s="344"/>
      <c r="O178" s="344"/>
      <c r="P178" s="344"/>
      <c r="Q178" s="344"/>
      <c r="R178" s="344"/>
      <c r="S178" s="344"/>
    </row>
    <row r="179" spans="1:19" s="343" customFormat="1" ht="19.5" customHeight="1">
      <c r="A179" s="342"/>
      <c r="B179" s="344"/>
      <c r="C179" s="344"/>
      <c r="D179" s="344"/>
      <c r="E179" s="344"/>
      <c r="F179" s="344"/>
      <c r="G179" s="344"/>
      <c r="H179" s="344"/>
      <c r="I179" s="344"/>
      <c r="J179" s="344"/>
      <c r="K179" s="344"/>
      <c r="L179" s="344"/>
      <c r="M179" s="344"/>
      <c r="N179" s="344"/>
      <c r="O179" s="344"/>
      <c r="P179" s="344"/>
      <c r="Q179" s="344"/>
      <c r="R179" s="344"/>
      <c r="S179" s="344"/>
    </row>
    <row r="180" spans="1:19" s="343" customFormat="1" ht="19.5" customHeight="1">
      <c r="A180" s="342"/>
      <c r="B180" s="344"/>
      <c r="C180" s="344"/>
      <c r="D180" s="344"/>
      <c r="E180" s="344"/>
      <c r="F180" s="344"/>
      <c r="G180" s="344"/>
      <c r="H180" s="344"/>
      <c r="I180" s="344"/>
      <c r="J180" s="344"/>
      <c r="K180" s="344"/>
      <c r="L180" s="344"/>
      <c r="M180" s="344"/>
      <c r="N180" s="344"/>
      <c r="O180" s="344"/>
      <c r="P180" s="344"/>
      <c r="Q180" s="344"/>
      <c r="R180" s="344"/>
      <c r="S180" s="344"/>
    </row>
    <row r="181" spans="1:19" s="343" customFormat="1" ht="19.5" customHeight="1">
      <c r="A181" s="342"/>
      <c r="B181" s="344"/>
      <c r="C181" s="344"/>
      <c r="D181" s="344"/>
      <c r="E181" s="344"/>
      <c r="F181" s="344"/>
      <c r="G181" s="344"/>
      <c r="H181" s="344"/>
      <c r="I181" s="344"/>
      <c r="J181" s="344"/>
      <c r="K181" s="344"/>
      <c r="L181" s="344"/>
      <c r="M181" s="344"/>
      <c r="N181" s="344"/>
      <c r="O181" s="344"/>
      <c r="P181" s="344"/>
      <c r="Q181" s="344"/>
      <c r="R181" s="344"/>
      <c r="S181" s="344"/>
    </row>
    <row r="182" spans="1:19" s="343" customFormat="1" ht="19.5" customHeight="1">
      <c r="A182" s="342"/>
      <c r="B182" s="344"/>
      <c r="C182" s="344"/>
      <c r="D182" s="344"/>
      <c r="E182" s="344"/>
      <c r="F182" s="344"/>
      <c r="G182" s="344"/>
      <c r="H182" s="344"/>
      <c r="I182" s="344"/>
      <c r="J182" s="344"/>
      <c r="K182" s="344"/>
      <c r="L182" s="344"/>
      <c r="M182" s="344"/>
      <c r="N182" s="344"/>
      <c r="O182" s="344"/>
      <c r="P182" s="344"/>
      <c r="Q182" s="344"/>
      <c r="R182" s="344"/>
      <c r="S182" s="344"/>
    </row>
    <row r="183" spans="1:19" s="343" customFormat="1" ht="19.5" customHeight="1">
      <c r="A183" s="342"/>
      <c r="B183" s="344"/>
      <c r="C183" s="344"/>
      <c r="D183" s="344"/>
      <c r="E183" s="344"/>
      <c r="F183" s="344"/>
      <c r="G183" s="344"/>
      <c r="H183" s="344"/>
      <c r="I183" s="344"/>
      <c r="J183" s="344"/>
      <c r="K183" s="344"/>
      <c r="L183" s="344"/>
      <c r="M183" s="344"/>
      <c r="N183" s="344"/>
      <c r="O183" s="344"/>
      <c r="P183" s="344"/>
      <c r="Q183" s="344"/>
      <c r="R183" s="344"/>
      <c r="S183" s="344"/>
    </row>
    <row r="184" spans="1:19" s="343" customFormat="1" ht="19.5" customHeight="1">
      <c r="A184" s="342"/>
      <c r="B184" s="344"/>
      <c r="C184" s="344"/>
      <c r="D184" s="344"/>
      <c r="E184" s="344"/>
      <c r="F184" s="344"/>
      <c r="G184" s="344"/>
      <c r="H184" s="344"/>
      <c r="I184" s="344"/>
      <c r="J184" s="344"/>
      <c r="K184" s="344"/>
      <c r="L184" s="344"/>
      <c r="M184" s="344"/>
      <c r="N184" s="344"/>
      <c r="O184" s="344"/>
      <c r="P184" s="344"/>
      <c r="Q184" s="344"/>
      <c r="R184" s="344"/>
      <c r="S184" s="344"/>
    </row>
    <row r="185" spans="1:19" s="343" customFormat="1" ht="19.5" customHeight="1">
      <c r="A185" s="342"/>
      <c r="B185" s="344"/>
      <c r="C185" s="344"/>
      <c r="D185" s="344"/>
      <c r="E185" s="344"/>
      <c r="F185" s="344"/>
      <c r="G185" s="344"/>
      <c r="H185" s="344"/>
      <c r="I185" s="344"/>
      <c r="J185" s="344"/>
      <c r="K185" s="344"/>
      <c r="L185" s="344"/>
      <c r="M185" s="344"/>
      <c r="N185" s="344"/>
      <c r="O185" s="344"/>
      <c r="P185" s="344"/>
      <c r="Q185" s="344"/>
      <c r="R185" s="344"/>
      <c r="S185" s="344"/>
    </row>
    <row r="186" spans="1:19" s="343" customFormat="1" ht="19.5" customHeight="1">
      <c r="A186" s="342"/>
      <c r="B186" s="344"/>
      <c r="C186" s="344"/>
      <c r="D186" s="344"/>
      <c r="E186" s="344"/>
      <c r="F186" s="344"/>
      <c r="G186" s="344"/>
      <c r="H186" s="344"/>
      <c r="I186" s="344"/>
      <c r="J186" s="344"/>
      <c r="K186" s="344"/>
      <c r="L186" s="344"/>
      <c r="M186" s="344"/>
      <c r="N186" s="344"/>
      <c r="O186" s="344"/>
      <c r="P186" s="344"/>
      <c r="Q186" s="344"/>
      <c r="R186" s="344"/>
      <c r="S186" s="344"/>
    </row>
    <row r="187" spans="1:19" s="343" customFormat="1" ht="19.5" customHeight="1">
      <c r="A187" s="342"/>
      <c r="B187" s="344"/>
      <c r="C187" s="344"/>
      <c r="D187" s="344"/>
      <c r="E187" s="344"/>
      <c r="F187" s="344"/>
      <c r="G187" s="344"/>
      <c r="H187" s="344"/>
      <c r="I187" s="344"/>
      <c r="J187" s="344"/>
      <c r="K187" s="344"/>
      <c r="L187" s="344"/>
      <c r="M187" s="344"/>
      <c r="N187" s="344"/>
      <c r="O187" s="344"/>
      <c r="P187" s="344"/>
      <c r="Q187" s="344"/>
      <c r="R187" s="344"/>
      <c r="S187" s="344"/>
    </row>
    <row r="188" spans="1:19" s="343" customFormat="1" ht="19.5" customHeight="1">
      <c r="A188" s="342"/>
      <c r="B188" s="344"/>
      <c r="C188" s="344"/>
      <c r="D188" s="344"/>
      <c r="E188" s="344"/>
      <c r="F188" s="344"/>
      <c r="G188" s="344"/>
      <c r="H188" s="344"/>
      <c r="I188" s="344"/>
      <c r="J188" s="344"/>
      <c r="K188" s="344"/>
      <c r="L188" s="344"/>
      <c r="M188" s="344"/>
      <c r="N188" s="344"/>
      <c r="O188" s="344"/>
      <c r="P188" s="344"/>
      <c r="Q188" s="344"/>
      <c r="R188" s="344"/>
      <c r="S188" s="344"/>
    </row>
    <row r="189" spans="1:19" s="343" customFormat="1" ht="19.5" customHeight="1">
      <c r="A189" s="342"/>
      <c r="B189" s="344"/>
      <c r="C189" s="344"/>
      <c r="D189" s="344"/>
      <c r="E189" s="344"/>
      <c r="F189" s="344"/>
      <c r="G189" s="344"/>
      <c r="H189" s="344"/>
      <c r="I189" s="344"/>
      <c r="J189" s="344"/>
      <c r="K189" s="344"/>
      <c r="L189" s="344"/>
      <c r="M189" s="344"/>
      <c r="N189" s="344"/>
      <c r="O189" s="344"/>
      <c r="P189" s="344"/>
      <c r="Q189" s="344"/>
      <c r="R189" s="344"/>
      <c r="S189" s="344"/>
    </row>
    <row r="190" spans="1:19" s="343" customFormat="1" ht="19.5" customHeight="1">
      <c r="A190" s="342"/>
      <c r="B190" s="344"/>
      <c r="C190" s="344"/>
      <c r="D190" s="344"/>
      <c r="E190" s="344"/>
      <c r="F190" s="344"/>
      <c r="G190" s="344"/>
      <c r="H190" s="344"/>
      <c r="I190" s="344"/>
      <c r="J190" s="344"/>
      <c r="K190" s="344"/>
      <c r="L190" s="344"/>
      <c r="M190" s="344"/>
      <c r="N190" s="344"/>
      <c r="O190" s="344"/>
      <c r="P190" s="344"/>
      <c r="Q190" s="344"/>
      <c r="R190" s="344"/>
      <c r="S190" s="344"/>
    </row>
    <row r="191" spans="1:19" s="343" customFormat="1" ht="19.5" customHeight="1">
      <c r="A191" s="342"/>
      <c r="B191" s="344"/>
      <c r="C191" s="344"/>
      <c r="D191" s="344"/>
      <c r="E191" s="344"/>
      <c r="F191" s="344"/>
      <c r="G191" s="344"/>
      <c r="H191" s="344"/>
      <c r="I191" s="344"/>
      <c r="J191" s="344"/>
      <c r="K191" s="344"/>
      <c r="L191" s="344"/>
      <c r="M191" s="344"/>
      <c r="N191" s="344"/>
      <c r="O191" s="344"/>
      <c r="P191" s="344"/>
      <c r="Q191" s="344"/>
      <c r="R191" s="344"/>
      <c r="S191" s="344"/>
    </row>
    <row r="192" spans="1:19" s="343" customFormat="1" ht="19.5" customHeight="1">
      <c r="A192" s="342"/>
      <c r="B192" s="344"/>
      <c r="C192" s="344"/>
      <c r="D192" s="344"/>
      <c r="E192" s="344"/>
      <c r="F192" s="344"/>
      <c r="G192" s="344"/>
      <c r="H192" s="344"/>
      <c r="I192" s="344"/>
      <c r="J192" s="344"/>
      <c r="K192" s="344"/>
      <c r="L192" s="344"/>
      <c r="M192" s="344"/>
      <c r="N192" s="344"/>
      <c r="O192" s="344"/>
      <c r="P192" s="344"/>
      <c r="Q192" s="344"/>
      <c r="R192" s="344"/>
      <c r="S192" s="344"/>
    </row>
    <row r="193" spans="1:19" s="343" customFormat="1" ht="19.5" customHeight="1">
      <c r="A193" s="342"/>
      <c r="B193" s="344"/>
      <c r="C193" s="344"/>
      <c r="D193" s="344"/>
      <c r="E193" s="344"/>
      <c r="F193" s="344"/>
      <c r="G193" s="344"/>
      <c r="H193" s="344"/>
      <c r="I193" s="344"/>
      <c r="J193" s="344"/>
      <c r="K193" s="344"/>
      <c r="L193" s="344"/>
      <c r="M193" s="344"/>
      <c r="N193" s="344"/>
      <c r="O193" s="344"/>
      <c r="P193" s="344"/>
      <c r="Q193" s="344"/>
      <c r="R193" s="344"/>
      <c r="S193" s="344"/>
    </row>
    <row r="194" spans="1:19" s="343" customFormat="1" ht="19.5" customHeight="1">
      <c r="A194" s="342"/>
      <c r="B194" s="344"/>
      <c r="C194" s="344"/>
      <c r="D194" s="344"/>
      <c r="E194" s="344"/>
      <c r="F194" s="344"/>
      <c r="G194" s="344"/>
      <c r="H194" s="344"/>
      <c r="I194" s="344"/>
      <c r="J194" s="344"/>
      <c r="K194" s="344"/>
      <c r="L194" s="344"/>
      <c r="M194" s="344"/>
      <c r="N194" s="344"/>
      <c r="O194" s="344"/>
      <c r="P194" s="344"/>
      <c r="Q194" s="344"/>
      <c r="R194" s="344"/>
      <c r="S194" s="344"/>
    </row>
    <row r="195" spans="1:19" s="343" customFormat="1" ht="19.5" customHeight="1">
      <c r="A195" s="342"/>
      <c r="B195" s="344"/>
      <c r="C195" s="344"/>
      <c r="D195" s="344"/>
      <c r="E195" s="344"/>
      <c r="F195" s="344"/>
      <c r="G195" s="344"/>
      <c r="H195" s="344"/>
      <c r="I195" s="344"/>
      <c r="J195" s="344"/>
      <c r="K195" s="344"/>
      <c r="L195" s="344"/>
      <c r="M195" s="344"/>
      <c r="N195" s="344"/>
      <c r="O195" s="344"/>
      <c r="P195" s="344"/>
      <c r="Q195" s="344"/>
      <c r="R195" s="344"/>
      <c r="S195" s="344"/>
    </row>
    <row r="196" ht="19.5" customHeight="1"/>
    <row r="197" ht="9.75" customHeight="1"/>
    <row r="198" ht="19.5" customHeight="1"/>
    <row r="199" ht="19.5" customHeight="1"/>
    <row r="200" ht="19.5" customHeight="1"/>
    <row r="201" spans="1:19" s="343" customFormat="1" ht="19.5" customHeight="1">
      <c r="A201" s="342"/>
      <c r="B201" s="344"/>
      <c r="C201" s="344"/>
      <c r="D201" s="344"/>
      <c r="E201" s="344"/>
      <c r="F201" s="344"/>
      <c r="G201" s="344"/>
      <c r="H201" s="344"/>
      <c r="I201" s="344"/>
      <c r="J201" s="344"/>
      <c r="K201" s="344"/>
      <c r="L201" s="344"/>
      <c r="M201" s="344"/>
      <c r="N201" s="344"/>
      <c r="O201" s="344"/>
      <c r="P201" s="344"/>
      <c r="Q201" s="344"/>
      <c r="R201" s="344"/>
      <c r="S201" s="344"/>
    </row>
    <row r="202" spans="1:19" s="343" customFormat="1" ht="19.5" customHeight="1">
      <c r="A202" s="342"/>
      <c r="B202" s="344"/>
      <c r="C202" s="344"/>
      <c r="D202" s="344"/>
      <c r="E202" s="344"/>
      <c r="F202" s="344"/>
      <c r="G202" s="344"/>
      <c r="H202" s="344"/>
      <c r="I202" s="344"/>
      <c r="J202" s="344"/>
      <c r="K202" s="344"/>
      <c r="L202" s="344"/>
      <c r="M202" s="344"/>
      <c r="N202" s="344"/>
      <c r="O202" s="344"/>
      <c r="P202" s="344"/>
      <c r="Q202" s="344"/>
      <c r="R202" s="344"/>
      <c r="S202" s="344"/>
    </row>
    <row r="203" spans="1:19" s="343" customFormat="1" ht="19.5" customHeight="1">
      <c r="A203" s="342"/>
      <c r="B203" s="344"/>
      <c r="C203" s="344"/>
      <c r="D203" s="344"/>
      <c r="E203" s="344"/>
      <c r="F203" s="344"/>
      <c r="G203" s="344"/>
      <c r="H203" s="344"/>
      <c r="I203" s="344"/>
      <c r="J203" s="344"/>
      <c r="K203" s="344"/>
      <c r="L203" s="344"/>
      <c r="M203" s="344"/>
      <c r="N203" s="344"/>
      <c r="O203" s="344"/>
      <c r="P203" s="344"/>
      <c r="Q203" s="344"/>
      <c r="R203" s="344"/>
      <c r="S203" s="344"/>
    </row>
    <row r="204" spans="1:19" s="343" customFormat="1" ht="19.5" customHeight="1">
      <c r="A204" s="342"/>
      <c r="B204" s="344"/>
      <c r="C204" s="344"/>
      <c r="D204" s="344"/>
      <c r="E204" s="344"/>
      <c r="F204" s="344"/>
      <c r="G204" s="344"/>
      <c r="H204" s="344"/>
      <c r="I204" s="344"/>
      <c r="J204" s="344"/>
      <c r="K204" s="344"/>
      <c r="L204" s="344"/>
      <c r="M204" s="344"/>
      <c r="N204" s="344"/>
      <c r="O204" s="344"/>
      <c r="P204" s="344"/>
      <c r="Q204" s="344"/>
      <c r="R204" s="344"/>
      <c r="S204" s="344"/>
    </row>
    <row r="205" spans="1:19" s="343" customFormat="1" ht="19.5" customHeight="1">
      <c r="A205" s="342"/>
      <c r="B205" s="344"/>
      <c r="C205" s="344"/>
      <c r="D205" s="344"/>
      <c r="E205" s="344"/>
      <c r="F205" s="344"/>
      <c r="G205" s="344"/>
      <c r="H205" s="344"/>
      <c r="I205" s="344"/>
      <c r="J205" s="344"/>
      <c r="K205" s="344"/>
      <c r="L205" s="344"/>
      <c r="M205" s="344"/>
      <c r="N205" s="344"/>
      <c r="O205" s="344"/>
      <c r="P205" s="344"/>
      <c r="Q205" s="344"/>
      <c r="R205" s="344"/>
      <c r="S205" s="344"/>
    </row>
    <row r="206" spans="1:19" s="343" customFormat="1" ht="19.5" customHeight="1">
      <c r="A206" s="342"/>
      <c r="B206" s="344"/>
      <c r="C206" s="344"/>
      <c r="D206" s="344"/>
      <c r="E206" s="344"/>
      <c r="F206" s="344"/>
      <c r="G206" s="344"/>
      <c r="H206" s="344"/>
      <c r="I206" s="344"/>
      <c r="J206" s="344"/>
      <c r="K206" s="344"/>
      <c r="L206" s="344"/>
      <c r="M206" s="344"/>
      <c r="N206" s="344"/>
      <c r="O206" s="344"/>
      <c r="P206" s="344"/>
      <c r="Q206" s="344"/>
      <c r="R206" s="344"/>
      <c r="S206" s="344"/>
    </row>
    <row r="207" spans="1:19" s="343" customFormat="1" ht="19.5" customHeight="1">
      <c r="A207" s="342"/>
      <c r="B207" s="344"/>
      <c r="C207" s="344"/>
      <c r="D207" s="344"/>
      <c r="E207" s="344"/>
      <c r="F207" s="344"/>
      <c r="G207" s="344"/>
      <c r="H207" s="344"/>
      <c r="I207" s="344"/>
      <c r="J207" s="344"/>
      <c r="K207" s="344"/>
      <c r="L207" s="344"/>
      <c r="M207" s="344"/>
      <c r="N207" s="344"/>
      <c r="O207" s="344"/>
      <c r="P207" s="344"/>
      <c r="Q207" s="344"/>
      <c r="R207" s="344"/>
      <c r="S207" s="344"/>
    </row>
    <row r="208" spans="1:19" s="343" customFormat="1" ht="19.5" customHeight="1">
      <c r="A208" s="342"/>
      <c r="B208" s="344"/>
      <c r="C208" s="344"/>
      <c r="D208" s="344"/>
      <c r="E208" s="344"/>
      <c r="F208" s="344"/>
      <c r="G208" s="344"/>
      <c r="H208" s="344"/>
      <c r="I208" s="344"/>
      <c r="J208" s="344"/>
      <c r="K208" s="344"/>
      <c r="L208" s="344"/>
      <c r="M208" s="344"/>
      <c r="N208" s="344"/>
      <c r="O208" s="344"/>
      <c r="P208" s="344"/>
      <c r="Q208" s="344"/>
      <c r="R208" s="344"/>
      <c r="S208" s="344"/>
    </row>
    <row r="209" spans="1:19" s="343" customFormat="1" ht="19.5" customHeight="1">
      <c r="A209" s="342"/>
      <c r="B209" s="344"/>
      <c r="C209" s="344"/>
      <c r="D209" s="344"/>
      <c r="E209" s="344"/>
      <c r="F209" s="344"/>
      <c r="G209" s="344"/>
      <c r="H209" s="344"/>
      <c r="I209" s="344"/>
      <c r="J209" s="344"/>
      <c r="K209" s="344"/>
      <c r="L209" s="344"/>
      <c r="M209" s="344"/>
      <c r="N209" s="344"/>
      <c r="O209" s="344"/>
      <c r="P209" s="344"/>
      <c r="Q209" s="344"/>
      <c r="R209" s="344"/>
      <c r="S209" s="344"/>
    </row>
    <row r="210" spans="1:19" s="343" customFormat="1" ht="19.5" customHeight="1">
      <c r="A210" s="342"/>
      <c r="B210" s="344"/>
      <c r="C210" s="344"/>
      <c r="D210" s="344"/>
      <c r="E210" s="344"/>
      <c r="F210" s="344"/>
      <c r="G210" s="344"/>
      <c r="H210" s="344"/>
      <c r="I210" s="344"/>
      <c r="J210" s="344"/>
      <c r="K210" s="344"/>
      <c r="L210" s="344"/>
      <c r="M210" s="344"/>
      <c r="N210" s="344"/>
      <c r="O210" s="344"/>
      <c r="P210" s="344"/>
      <c r="Q210" s="344"/>
      <c r="R210" s="344"/>
      <c r="S210" s="344"/>
    </row>
    <row r="211" spans="1:19" s="343" customFormat="1" ht="19.5" customHeight="1">
      <c r="A211" s="342"/>
      <c r="B211" s="344"/>
      <c r="C211" s="344"/>
      <c r="D211" s="344"/>
      <c r="E211" s="344"/>
      <c r="F211" s="344"/>
      <c r="G211" s="344"/>
      <c r="H211" s="344"/>
      <c r="I211" s="344"/>
      <c r="J211" s="344"/>
      <c r="K211" s="344"/>
      <c r="L211" s="344"/>
      <c r="M211" s="344"/>
      <c r="N211" s="344"/>
      <c r="O211" s="344"/>
      <c r="P211" s="344"/>
      <c r="Q211" s="344"/>
      <c r="R211" s="344"/>
      <c r="S211" s="344"/>
    </row>
    <row r="212" spans="1:19" s="343" customFormat="1" ht="19.5" customHeight="1">
      <c r="A212" s="342"/>
      <c r="B212" s="344"/>
      <c r="C212" s="344"/>
      <c r="D212" s="344"/>
      <c r="E212" s="344"/>
      <c r="F212" s="344"/>
      <c r="G212" s="344"/>
      <c r="H212" s="344"/>
      <c r="I212" s="344"/>
      <c r="J212" s="344"/>
      <c r="K212" s="344"/>
      <c r="L212" s="344"/>
      <c r="M212" s="344"/>
      <c r="N212" s="344"/>
      <c r="O212" s="344"/>
      <c r="P212" s="344"/>
      <c r="Q212" s="344"/>
      <c r="R212" s="344"/>
      <c r="S212" s="344"/>
    </row>
    <row r="213" spans="1:19" s="343" customFormat="1" ht="19.5" customHeight="1">
      <c r="A213" s="342"/>
      <c r="B213" s="344"/>
      <c r="C213" s="344"/>
      <c r="D213" s="344"/>
      <c r="E213" s="344"/>
      <c r="F213" s="344"/>
      <c r="G213" s="344"/>
      <c r="H213" s="344"/>
      <c r="I213" s="344"/>
      <c r="J213" s="344"/>
      <c r="K213" s="344"/>
      <c r="L213" s="344"/>
      <c r="M213" s="344"/>
      <c r="N213" s="344"/>
      <c r="O213" s="344"/>
      <c r="P213" s="344"/>
      <c r="Q213" s="344"/>
      <c r="R213" s="344"/>
      <c r="S213" s="344"/>
    </row>
    <row r="214" spans="1:19" s="343" customFormat="1" ht="19.5" customHeight="1">
      <c r="A214" s="342"/>
      <c r="B214" s="344"/>
      <c r="C214" s="344"/>
      <c r="D214" s="344"/>
      <c r="E214" s="344"/>
      <c r="F214" s="344"/>
      <c r="G214" s="344"/>
      <c r="H214" s="344"/>
      <c r="I214" s="344"/>
      <c r="J214" s="344"/>
      <c r="K214" s="344"/>
      <c r="L214" s="344"/>
      <c r="M214" s="344"/>
      <c r="N214" s="344"/>
      <c r="O214" s="344"/>
      <c r="P214" s="344"/>
      <c r="Q214" s="344"/>
      <c r="R214" s="344"/>
      <c r="S214" s="344"/>
    </row>
    <row r="215" spans="1:19" s="343" customFormat="1" ht="19.5" customHeight="1">
      <c r="A215" s="342"/>
      <c r="B215" s="344"/>
      <c r="C215" s="344"/>
      <c r="D215" s="344"/>
      <c r="E215" s="344"/>
      <c r="F215" s="344"/>
      <c r="G215" s="344"/>
      <c r="H215" s="344"/>
      <c r="I215" s="344"/>
      <c r="J215" s="344"/>
      <c r="K215" s="344"/>
      <c r="L215" s="344"/>
      <c r="M215" s="344"/>
      <c r="N215" s="344"/>
      <c r="O215" s="344"/>
      <c r="P215" s="344"/>
      <c r="Q215" s="344"/>
      <c r="R215" s="344"/>
      <c r="S215" s="344"/>
    </row>
    <row r="216" spans="1:19" s="343" customFormat="1" ht="19.5" customHeight="1">
      <c r="A216" s="342"/>
      <c r="B216" s="344"/>
      <c r="C216" s="344"/>
      <c r="D216" s="344"/>
      <c r="E216" s="344"/>
      <c r="F216" s="344"/>
      <c r="G216" s="344"/>
      <c r="H216" s="344"/>
      <c r="I216" s="344"/>
      <c r="J216" s="344"/>
      <c r="K216" s="344"/>
      <c r="L216" s="344"/>
      <c r="M216" s="344"/>
      <c r="N216" s="344"/>
      <c r="O216" s="344"/>
      <c r="P216" s="344"/>
      <c r="Q216" s="344"/>
      <c r="R216" s="344"/>
      <c r="S216" s="344"/>
    </row>
    <row r="217" spans="1:19" s="343" customFormat="1" ht="19.5" customHeight="1">
      <c r="A217" s="342"/>
      <c r="B217" s="344"/>
      <c r="C217" s="344"/>
      <c r="D217" s="344"/>
      <c r="E217" s="344"/>
      <c r="F217" s="344"/>
      <c r="G217" s="344"/>
      <c r="H217" s="344"/>
      <c r="I217" s="344"/>
      <c r="J217" s="344"/>
      <c r="K217" s="344"/>
      <c r="L217" s="344"/>
      <c r="M217" s="344"/>
      <c r="N217" s="344"/>
      <c r="O217" s="344"/>
      <c r="P217" s="344"/>
      <c r="Q217" s="344"/>
      <c r="R217" s="344"/>
      <c r="S217" s="344"/>
    </row>
    <row r="218" spans="1:19" s="343" customFormat="1" ht="19.5" customHeight="1">
      <c r="A218" s="342"/>
      <c r="B218" s="344"/>
      <c r="C218" s="344"/>
      <c r="D218" s="344"/>
      <c r="E218" s="344"/>
      <c r="F218" s="344"/>
      <c r="G218" s="344"/>
      <c r="H218" s="344"/>
      <c r="I218" s="344"/>
      <c r="J218" s="344"/>
      <c r="K218" s="344"/>
      <c r="L218" s="344"/>
      <c r="M218" s="344"/>
      <c r="N218" s="344"/>
      <c r="O218" s="344"/>
      <c r="P218" s="344"/>
      <c r="Q218" s="344"/>
      <c r="R218" s="344"/>
      <c r="S218" s="344"/>
    </row>
    <row r="219" spans="1:19" s="343" customFormat="1" ht="19.5" customHeight="1">
      <c r="A219" s="342"/>
      <c r="B219" s="344"/>
      <c r="C219" s="344"/>
      <c r="D219" s="344"/>
      <c r="E219" s="344"/>
      <c r="F219" s="344"/>
      <c r="G219" s="344"/>
      <c r="H219" s="344"/>
      <c r="I219" s="344"/>
      <c r="J219" s="344"/>
      <c r="K219" s="344"/>
      <c r="L219" s="344"/>
      <c r="M219" s="344"/>
      <c r="N219" s="344"/>
      <c r="O219" s="344"/>
      <c r="P219" s="344"/>
      <c r="Q219" s="344"/>
      <c r="R219" s="344"/>
      <c r="S219" s="344"/>
    </row>
    <row r="220" spans="1:19" s="343" customFormat="1" ht="19.5" customHeight="1">
      <c r="A220" s="342"/>
      <c r="B220" s="344"/>
      <c r="C220" s="344"/>
      <c r="D220" s="344"/>
      <c r="E220" s="344"/>
      <c r="F220" s="344"/>
      <c r="G220" s="344"/>
      <c r="H220" s="344"/>
      <c r="I220" s="344"/>
      <c r="J220" s="344"/>
      <c r="K220" s="344"/>
      <c r="L220" s="344"/>
      <c r="M220" s="344"/>
      <c r="N220" s="344"/>
      <c r="O220" s="344"/>
      <c r="P220" s="344"/>
      <c r="Q220" s="344"/>
      <c r="R220" s="344"/>
      <c r="S220" s="344"/>
    </row>
    <row r="221" spans="1:19" s="343" customFormat="1" ht="19.5" customHeight="1">
      <c r="A221" s="342"/>
      <c r="B221" s="344"/>
      <c r="C221" s="344"/>
      <c r="D221" s="344"/>
      <c r="E221" s="344"/>
      <c r="F221" s="344"/>
      <c r="G221" s="344"/>
      <c r="H221" s="344"/>
      <c r="I221" s="344"/>
      <c r="J221" s="344"/>
      <c r="K221" s="344"/>
      <c r="L221" s="344"/>
      <c r="M221" s="344"/>
      <c r="N221" s="344"/>
      <c r="O221" s="344"/>
      <c r="P221" s="344"/>
      <c r="Q221" s="344"/>
      <c r="R221" s="344"/>
      <c r="S221" s="344"/>
    </row>
    <row r="222" spans="1:19" s="343" customFormat="1" ht="19.5" customHeight="1">
      <c r="A222" s="342"/>
      <c r="B222" s="344"/>
      <c r="C222" s="344"/>
      <c r="D222" s="344"/>
      <c r="E222" s="344"/>
      <c r="F222" s="344"/>
      <c r="G222" s="344"/>
      <c r="H222" s="344"/>
      <c r="I222" s="344"/>
      <c r="J222" s="344"/>
      <c r="K222" s="344"/>
      <c r="L222" s="344"/>
      <c r="M222" s="344"/>
      <c r="N222" s="344"/>
      <c r="O222" s="344"/>
      <c r="P222" s="344"/>
      <c r="Q222" s="344"/>
      <c r="R222" s="344"/>
      <c r="S222" s="344"/>
    </row>
    <row r="223" spans="1:19" s="343" customFormat="1" ht="19.5" customHeight="1">
      <c r="A223" s="342"/>
      <c r="B223" s="344"/>
      <c r="C223" s="344"/>
      <c r="D223" s="344"/>
      <c r="E223" s="344"/>
      <c r="F223" s="344"/>
      <c r="G223" s="344"/>
      <c r="H223" s="344"/>
      <c r="I223" s="344"/>
      <c r="J223" s="344"/>
      <c r="K223" s="344"/>
      <c r="L223" s="344"/>
      <c r="M223" s="344"/>
      <c r="N223" s="344"/>
      <c r="O223" s="344"/>
      <c r="P223" s="344"/>
      <c r="Q223" s="344"/>
      <c r="R223" s="344"/>
      <c r="S223" s="344"/>
    </row>
    <row r="224" spans="1:19" s="343" customFormat="1" ht="19.5" customHeight="1">
      <c r="A224" s="342"/>
      <c r="B224" s="344"/>
      <c r="C224" s="344"/>
      <c r="D224" s="344"/>
      <c r="E224" s="344"/>
      <c r="F224" s="344"/>
      <c r="G224" s="344"/>
      <c r="H224" s="344"/>
      <c r="I224" s="344"/>
      <c r="J224" s="344"/>
      <c r="K224" s="344"/>
      <c r="L224" s="344"/>
      <c r="M224" s="344"/>
      <c r="N224" s="344"/>
      <c r="O224" s="344"/>
      <c r="P224" s="344"/>
      <c r="Q224" s="344"/>
      <c r="R224" s="344"/>
      <c r="S224" s="344"/>
    </row>
    <row r="225" spans="1:19" s="343" customFormat="1" ht="19.5" customHeight="1">
      <c r="A225" s="342"/>
      <c r="B225" s="344"/>
      <c r="C225" s="344"/>
      <c r="D225" s="344"/>
      <c r="E225" s="344"/>
      <c r="F225" s="344"/>
      <c r="G225" s="344"/>
      <c r="H225" s="344"/>
      <c r="I225" s="344"/>
      <c r="J225" s="344"/>
      <c r="K225" s="344"/>
      <c r="L225" s="344"/>
      <c r="M225" s="344"/>
      <c r="N225" s="344"/>
      <c r="O225" s="344"/>
      <c r="P225" s="344"/>
      <c r="Q225" s="344"/>
      <c r="R225" s="344"/>
      <c r="S225" s="344"/>
    </row>
    <row r="226" spans="1:19" s="343" customFormat="1" ht="19.5" customHeight="1">
      <c r="A226" s="342"/>
      <c r="B226" s="344"/>
      <c r="C226" s="344"/>
      <c r="D226" s="344"/>
      <c r="E226" s="344"/>
      <c r="F226" s="344"/>
      <c r="G226" s="344"/>
      <c r="H226" s="344"/>
      <c r="I226" s="344"/>
      <c r="J226" s="344"/>
      <c r="K226" s="344"/>
      <c r="L226" s="344"/>
      <c r="M226" s="344"/>
      <c r="N226" s="344"/>
      <c r="O226" s="344"/>
      <c r="P226" s="344"/>
      <c r="Q226" s="344"/>
      <c r="R226" s="344"/>
      <c r="S226" s="344"/>
    </row>
    <row r="227" spans="1:19" s="343" customFormat="1" ht="19.5" customHeight="1">
      <c r="A227" s="342"/>
      <c r="B227" s="344"/>
      <c r="C227" s="344"/>
      <c r="D227" s="344"/>
      <c r="E227" s="344"/>
      <c r="F227" s="344"/>
      <c r="G227" s="344"/>
      <c r="H227" s="344"/>
      <c r="I227" s="344"/>
      <c r="J227" s="344"/>
      <c r="K227" s="344"/>
      <c r="L227" s="344"/>
      <c r="M227" s="344"/>
      <c r="N227" s="344"/>
      <c r="O227" s="344"/>
      <c r="P227" s="344"/>
      <c r="Q227" s="344"/>
      <c r="R227" s="344"/>
      <c r="S227" s="344"/>
    </row>
    <row r="228" spans="1:19" s="343" customFormat="1" ht="19.5" customHeight="1">
      <c r="A228" s="342"/>
      <c r="B228" s="344"/>
      <c r="C228" s="344"/>
      <c r="D228" s="344"/>
      <c r="E228" s="344"/>
      <c r="F228" s="344"/>
      <c r="G228" s="344"/>
      <c r="H228" s="344"/>
      <c r="I228" s="344"/>
      <c r="J228" s="344"/>
      <c r="K228" s="344"/>
      <c r="L228" s="344"/>
      <c r="M228" s="344"/>
      <c r="N228" s="344"/>
      <c r="O228" s="344"/>
      <c r="P228" s="344"/>
      <c r="Q228" s="344"/>
      <c r="R228" s="344"/>
      <c r="S228" s="344"/>
    </row>
    <row r="229" spans="1:19" s="343" customFormat="1" ht="19.5" customHeight="1">
      <c r="A229" s="342"/>
      <c r="B229" s="344"/>
      <c r="C229" s="344"/>
      <c r="D229" s="344"/>
      <c r="E229" s="344"/>
      <c r="F229" s="344"/>
      <c r="G229" s="344"/>
      <c r="H229" s="344"/>
      <c r="I229" s="344"/>
      <c r="J229" s="344"/>
      <c r="K229" s="344"/>
      <c r="L229" s="344"/>
      <c r="M229" s="344"/>
      <c r="N229" s="344"/>
      <c r="O229" s="344"/>
      <c r="P229" s="344"/>
      <c r="Q229" s="344"/>
      <c r="R229" s="344"/>
      <c r="S229" s="344"/>
    </row>
    <row r="230" spans="1:19" s="343" customFormat="1" ht="19.5" customHeight="1">
      <c r="A230" s="342"/>
      <c r="B230" s="344"/>
      <c r="C230" s="344"/>
      <c r="D230" s="344"/>
      <c r="E230" s="344"/>
      <c r="F230" s="344"/>
      <c r="G230" s="344"/>
      <c r="H230" s="344"/>
      <c r="I230" s="344"/>
      <c r="J230" s="344"/>
      <c r="K230" s="344"/>
      <c r="L230" s="344"/>
      <c r="M230" s="344"/>
      <c r="N230" s="344"/>
      <c r="O230" s="344"/>
      <c r="P230" s="344"/>
      <c r="Q230" s="344"/>
      <c r="R230" s="344"/>
      <c r="S230" s="344"/>
    </row>
    <row r="231" spans="1:19" s="343" customFormat="1" ht="19.5" customHeight="1">
      <c r="A231" s="342"/>
      <c r="B231" s="344"/>
      <c r="C231" s="344"/>
      <c r="D231" s="344"/>
      <c r="E231" s="344"/>
      <c r="F231" s="344"/>
      <c r="G231" s="344"/>
      <c r="H231" s="344"/>
      <c r="I231" s="344"/>
      <c r="J231" s="344"/>
      <c r="K231" s="344"/>
      <c r="L231" s="344"/>
      <c r="M231" s="344"/>
      <c r="N231" s="344"/>
      <c r="O231" s="344"/>
      <c r="P231" s="344"/>
      <c r="Q231" s="344"/>
      <c r="R231" s="344"/>
      <c r="S231" s="344"/>
    </row>
    <row r="232" spans="1:19" s="343" customFormat="1" ht="19.5" customHeight="1">
      <c r="A232" s="342"/>
      <c r="B232" s="344"/>
      <c r="C232" s="344"/>
      <c r="D232" s="344"/>
      <c r="E232" s="344"/>
      <c r="F232" s="344"/>
      <c r="G232" s="344"/>
      <c r="H232" s="344"/>
      <c r="I232" s="344"/>
      <c r="J232" s="344"/>
      <c r="K232" s="344"/>
      <c r="L232" s="344"/>
      <c r="M232" s="344"/>
      <c r="N232" s="344"/>
      <c r="O232" s="344"/>
      <c r="P232" s="344"/>
      <c r="Q232" s="344"/>
      <c r="R232" s="344"/>
      <c r="S232" s="344"/>
    </row>
    <row r="233" spans="1:19" s="343" customFormat="1" ht="19.5" customHeight="1">
      <c r="A233" s="342"/>
      <c r="B233" s="344"/>
      <c r="C233" s="344"/>
      <c r="D233" s="344"/>
      <c r="E233" s="344"/>
      <c r="F233" s="344"/>
      <c r="G233" s="344"/>
      <c r="H233" s="344"/>
      <c r="I233" s="344"/>
      <c r="J233" s="344"/>
      <c r="K233" s="344"/>
      <c r="L233" s="344"/>
      <c r="M233" s="344"/>
      <c r="N233" s="344"/>
      <c r="O233" s="344"/>
      <c r="P233" s="344"/>
      <c r="Q233" s="344"/>
      <c r="R233" s="344"/>
      <c r="S233" s="344"/>
    </row>
    <row r="234" spans="1:19" s="343" customFormat="1" ht="19.5" customHeight="1">
      <c r="A234" s="342"/>
      <c r="B234" s="344"/>
      <c r="C234" s="344"/>
      <c r="D234" s="344"/>
      <c r="E234" s="344"/>
      <c r="F234" s="344"/>
      <c r="G234" s="344"/>
      <c r="H234" s="344"/>
      <c r="I234" s="344"/>
      <c r="J234" s="344"/>
      <c r="K234" s="344"/>
      <c r="L234" s="344"/>
      <c r="M234" s="344"/>
      <c r="N234" s="344"/>
      <c r="O234" s="344"/>
      <c r="P234" s="344"/>
      <c r="Q234" s="344"/>
      <c r="R234" s="344"/>
      <c r="S234" s="344"/>
    </row>
    <row r="235" spans="1:19" s="343" customFormat="1" ht="19.5" customHeight="1">
      <c r="A235" s="342"/>
      <c r="B235" s="344"/>
      <c r="C235" s="344"/>
      <c r="D235" s="344"/>
      <c r="E235" s="344"/>
      <c r="F235" s="344"/>
      <c r="G235" s="344"/>
      <c r="H235" s="344"/>
      <c r="I235" s="344"/>
      <c r="J235" s="344"/>
      <c r="K235" s="344"/>
      <c r="L235" s="344"/>
      <c r="M235" s="344"/>
      <c r="N235" s="344"/>
      <c r="O235" s="344"/>
      <c r="P235" s="344"/>
      <c r="Q235" s="344"/>
      <c r="R235" s="344"/>
      <c r="S235" s="344"/>
    </row>
    <row r="236" spans="1:19" s="343" customFormat="1" ht="19.5" customHeight="1">
      <c r="A236" s="342"/>
      <c r="B236" s="344"/>
      <c r="C236" s="344"/>
      <c r="D236" s="344"/>
      <c r="E236" s="344"/>
      <c r="F236" s="344"/>
      <c r="G236" s="344"/>
      <c r="H236" s="344"/>
      <c r="I236" s="344"/>
      <c r="J236" s="344"/>
      <c r="K236" s="344"/>
      <c r="L236" s="344"/>
      <c r="M236" s="344"/>
      <c r="N236" s="344"/>
      <c r="O236" s="344"/>
      <c r="P236" s="344"/>
      <c r="Q236" s="344"/>
      <c r="R236" s="344"/>
      <c r="S236" s="344"/>
    </row>
    <row r="237" spans="1:19" s="343" customFormat="1" ht="19.5" customHeight="1">
      <c r="A237" s="342"/>
      <c r="B237" s="344"/>
      <c r="C237" s="344"/>
      <c r="D237" s="344"/>
      <c r="E237" s="344"/>
      <c r="F237" s="344"/>
      <c r="G237" s="344"/>
      <c r="H237" s="344"/>
      <c r="I237" s="344"/>
      <c r="J237" s="344"/>
      <c r="K237" s="344"/>
      <c r="L237" s="344"/>
      <c r="M237" s="344"/>
      <c r="N237" s="344"/>
      <c r="O237" s="344"/>
      <c r="P237" s="344"/>
      <c r="Q237" s="344"/>
      <c r="R237" s="344"/>
      <c r="S237" s="344"/>
    </row>
    <row r="238" ht="19.5" customHeight="1"/>
    <row r="239" ht="9.75" customHeight="1"/>
    <row r="240" ht="19.5" customHeight="1"/>
    <row r="241" ht="19.5" customHeight="1"/>
    <row r="242" ht="19.5" customHeight="1"/>
    <row r="243" ht="19.5" customHeight="1"/>
    <row r="244" spans="1:19" s="343" customFormat="1" ht="19.5" customHeight="1">
      <c r="A244" s="342"/>
      <c r="B244" s="344"/>
      <c r="C244" s="344"/>
      <c r="D244" s="344"/>
      <c r="E244" s="344"/>
      <c r="F244" s="344"/>
      <c r="G244" s="344"/>
      <c r="H244" s="344"/>
      <c r="I244" s="344"/>
      <c r="J244" s="344"/>
      <c r="K244" s="344"/>
      <c r="L244" s="344"/>
      <c r="M244" s="344"/>
      <c r="N244" s="344"/>
      <c r="O244" s="344"/>
      <c r="P244" s="344"/>
      <c r="Q244" s="344"/>
      <c r="R244" s="344"/>
      <c r="S244" s="344"/>
    </row>
    <row r="245" spans="1:19" s="343" customFormat="1" ht="19.5" customHeight="1">
      <c r="A245" s="342"/>
      <c r="B245" s="344"/>
      <c r="C245" s="344"/>
      <c r="D245" s="344"/>
      <c r="E245" s="344"/>
      <c r="F245" s="344"/>
      <c r="G245" s="344"/>
      <c r="H245" s="344"/>
      <c r="I245" s="344"/>
      <c r="J245" s="344"/>
      <c r="K245" s="344"/>
      <c r="L245" s="344"/>
      <c r="M245" s="344"/>
      <c r="N245" s="344"/>
      <c r="O245" s="344"/>
      <c r="P245" s="344"/>
      <c r="Q245" s="344"/>
      <c r="R245" s="344"/>
      <c r="S245" s="344"/>
    </row>
    <row r="246" spans="1:19" s="343" customFormat="1" ht="19.5" customHeight="1">
      <c r="A246" s="342"/>
      <c r="B246" s="344"/>
      <c r="C246" s="344"/>
      <c r="D246" s="344"/>
      <c r="E246" s="344"/>
      <c r="F246" s="344"/>
      <c r="G246" s="344"/>
      <c r="H246" s="344"/>
      <c r="I246" s="344"/>
      <c r="J246" s="344"/>
      <c r="K246" s="344"/>
      <c r="L246" s="344"/>
      <c r="M246" s="344"/>
      <c r="N246" s="344"/>
      <c r="O246" s="344"/>
      <c r="P246" s="344"/>
      <c r="Q246" s="344"/>
      <c r="R246" s="344"/>
      <c r="S246" s="344"/>
    </row>
    <row r="247" spans="1:19" s="343" customFormat="1" ht="19.5" customHeight="1">
      <c r="A247" s="342"/>
      <c r="B247" s="344"/>
      <c r="C247" s="344"/>
      <c r="D247" s="344"/>
      <c r="E247" s="344"/>
      <c r="F247" s="344"/>
      <c r="G247" s="344"/>
      <c r="H247" s="344"/>
      <c r="I247" s="344"/>
      <c r="J247" s="344"/>
      <c r="K247" s="344"/>
      <c r="L247" s="344"/>
      <c r="M247" s="344"/>
      <c r="N247" s="344"/>
      <c r="O247" s="344"/>
      <c r="P247" s="344"/>
      <c r="Q247" s="344"/>
      <c r="R247" s="344"/>
      <c r="S247" s="344"/>
    </row>
    <row r="248" spans="1:19" s="343" customFormat="1" ht="19.5" customHeight="1">
      <c r="A248" s="342"/>
      <c r="B248" s="344"/>
      <c r="C248" s="344"/>
      <c r="D248" s="344"/>
      <c r="E248" s="344"/>
      <c r="F248" s="344"/>
      <c r="G248" s="344"/>
      <c r="H248" s="344"/>
      <c r="I248" s="344"/>
      <c r="J248" s="344"/>
      <c r="K248" s="344"/>
      <c r="L248" s="344"/>
      <c r="M248" s="344"/>
      <c r="N248" s="344"/>
      <c r="O248" s="344"/>
      <c r="P248" s="344"/>
      <c r="Q248" s="344"/>
      <c r="R248" s="344"/>
      <c r="S248" s="344"/>
    </row>
    <row r="249" spans="1:19" s="343" customFormat="1" ht="19.5" customHeight="1">
      <c r="A249" s="342"/>
      <c r="B249" s="344"/>
      <c r="C249" s="344"/>
      <c r="D249" s="344"/>
      <c r="E249" s="344"/>
      <c r="F249" s="344"/>
      <c r="G249" s="344"/>
      <c r="H249" s="344"/>
      <c r="I249" s="344"/>
      <c r="J249" s="344"/>
      <c r="K249" s="344"/>
      <c r="L249" s="344"/>
      <c r="M249" s="344"/>
      <c r="N249" s="344"/>
      <c r="O249" s="344"/>
      <c r="P249" s="344"/>
      <c r="Q249" s="344"/>
      <c r="R249" s="344"/>
      <c r="S249" s="344"/>
    </row>
    <row r="250" spans="1:19" s="343" customFormat="1" ht="19.5" customHeight="1">
      <c r="A250" s="342"/>
      <c r="B250" s="344"/>
      <c r="C250" s="344"/>
      <c r="D250" s="344"/>
      <c r="E250" s="344"/>
      <c r="F250" s="344"/>
      <c r="G250" s="344"/>
      <c r="H250" s="344"/>
      <c r="I250" s="344"/>
      <c r="J250" s="344"/>
      <c r="K250" s="344"/>
      <c r="L250" s="344"/>
      <c r="M250" s="344"/>
      <c r="N250" s="344"/>
      <c r="O250" s="344"/>
      <c r="P250" s="344"/>
      <c r="Q250" s="344"/>
      <c r="R250" s="344"/>
      <c r="S250" s="344"/>
    </row>
    <row r="251" spans="1:19" s="343" customFormat="1" ht="19.5" customHeight="1">
      <c r="A251" s="342"/>
      <c r="B251" s="344"/>
      <c r="C251" s="344"/>
      <c r="D251" s="344"/>
      <c r="E251" s="344"/>
      <c r="F251" s="344"/>
      <c r="G251" s="344"/>
      <c r="H251" s="344"/>
      <c r="I251" s="344"/>
      <c r="J251" s="344"/>
      <c r="K251" s="344"/>
      <c r="L251" s="344"/>
      <c r="M251" s="344"/>
      <c r="N251" s="344"/>
      <c r="O251" s="344"/>
      <c r="P251" s="344"/>
      <c r="Q251" s="344"/>
      <c r="R251" s="344"/>
      <c r="S251" s="344"/>
    </row>
    <row r="252" spans="1:19" s="343" customFormat="1" ht="19.5" customHeight="1">
      <c r="A252" s="342"/>
      <c r="B252" s="344"/>
      <c r="C252" s="344"/>
      <c r="D252" s="344"/>
      <c r="E252" s="344"/>
      <c r="F252" s="344"/>
      <c r="G252" s="344"/>
      <c r="H252" s="344"/>
      <c r="I252" s="344"/>
      <c r="J252" s="344"/>
      <c r="K252" s="344"/>
      <c r="L252" s="344"/>
      <c r="M252" s="344"/>
      <c r="N252" s="344"/>
      <c r="O252" s="344"/>
      <c r="P252" s="344"/>
      <c r="Q252" s="344"/>
      <c r="R252" s="344"/>
      <c r="S252" s="344"/>
    </row>
    <row r="253" spans="1:19" s="343" customFormat="1" ht="19.5" customHeight="1">
      <c r="A253" s="342"/>
      <c r="B253" s="344"/>
      <c r="C253" s="344"/>
      <c r="D253" s="344"/>
      <c r="E253" s="344"/>
      <c r="F253" s="344"/>
      <c r="G253" s="344"/>
      <c r="H253" s="344"/>
      <c r="I253" s="344"/>
      <c r="J253" s="344"/>
      <c r="K253" s="344"/>
      <c r="L253" s="344"/>
      <c r="M253" s="344"/>
      <c r="N253" s="344"/>
      <c r="O253" s="344"/>
      <c r="P253" s="344"/>
      <c r="Q253" s="344"/>
      <c r="R253" s="344"/>
      <c r="S253" s="344"/>
    </row>
    <row r="254" spans="1:19" s="343" customFormat="1" ht="19.5" customHeight="1">
      <c r="A254" s="342"/>
      <c r="B254" s="344"/>
      <c r="C254" s="344"/>
      <c r="D254" s="344"/>
      <c r="E254" s="344"/>
      <c r="F254" s="344"/>
      <c r="G254" s="344"/>
      <c r="H254" s="344"/>
      <c r="I254" s="344"/>
      <c r="J254" s="344"/>
      <c r="K254" s="344"/>
      <c r="L254" s="344"/>
      <c r="M254" s="344"/>
      <c r="N254" s="344"/>
      <c r="O254" s="344"/>
      <c r="P254" s="344"/>
      <c r="Q254" s="344"/>
      <c r="R254" s="344"/>
      <c r="S254" s="344"/>
    </row>
    <row r="255" spans="1:19" s="343" customFormat="1" ht="19.5" customHeight="1">
      <c r="A255" s="342"/>
      <c r="B255" s="344"/>
      <c r="C255" s="344"/>
      <c r="D255" s="344"/>
      <c r="E255" s="344"/>
      <c r="F255" s="344"/>
      <c r="G255" s="344"/>
      <c r="H255" s="344"/>
      <c r="I255" s="344"/>
      <c r="J255" s="344"/>
      <c r="K255" s="344"/>
      <c r="L255" s="344"/>
      <c r="M255" s="344"/>
      <c r="N255" s="344"/>
      <c r="O255" s="344"/>
      <c r="P255" s="344"/>
      <c r="Q255" s="344"/>
      <c r="R255" s="344"/>
      <c r="S255" s="344"/>
    </row>
    <row r="256" spans="1:19" s="343" customFormat="1" ht="19.5" customHeight="1">
      <c r="A256" s="342"/>
      <c r="B256" s="344"/>
      <c r="C256" s="344"/>
      <c r="D256" s="344"/>
      <c r="E256" s="344"/>
      <c r="F256" s="344"/>
      <c r="G256" s="344"/>
      <c r="H256" s="344"/>
      <c r="I256" s="344"/>
      <c r="J256" s="344"/>
      <c r="K256" s="344"/>
      <c r="L256" s="344"/>
      <c r="M256" s="344"/>
      <c r="N256" s="344"/>
      <c r="O256" s="344"/>
      <c r="P256" s="344"/>
      <c r="Q256" s="344"/>
      <c r="R256" s="344"/>
      <c r="S256" s="344"/>
    </row>
    <row r="257" spans="1:19" s="343" customFormat="1" ht="19.5" customHeight="1">
      <c r="A257" s="342"/>
      <c r="B257" s="344"/>
      <c r="C257" s="344"/>
      <c r="D257" s="344"/>
      <c r="E257" s="344"/>
      <c r="F257" s="344"/>
      <c r="G257" s="344"/>
      <c r="H257" s="344"/>
      <c r="I257" s="344"/>
      <c r="J257" s="344"/>
      <c r="K257" s="344"/>
      <c r="L257" s="344"/>
      <c r="M257" s="344"/>
      <c r="N257" s="344"/>
      <c r="O257" s="344"/>
      <c r="P257" s="344"/>
      <c r="Q257" s="344"/>
      <c r="R257" s="344"/>
      <c r="S257" s="344"/>
    </row>
    <row r="258" spans="1:19" s="343" customFormat="1" ht="19.5" customHeight="1">
      <c r="A258" s="342"/>
      <c r="B258" s="344"/>
      <c r="C258" s="344"/>
      <c r="D258" s="344"/>
      <c r="E258" s="344"/>
      <c r="F258" s="344"/>
      <c r="G258" s="344"/>
      <c r="H258" s="344"/>
      <c r="I258" s="344"/>
      <c r="J258" s="344"/>
      <c r="K258" s="344"/>
      <c r="L258" s="344"/>
      <c r="M258" s="344"/>
      <c r="N258" s="344"/>
      <c r="O258" s="344"/>
      <c r="P258" s="344"/>
      <c r="Q258" s="344"/>
      <c r="R258" s="344"/>
      <c r="S258" s="344"/>
    </row>
    <row r="259" spans="1:19" s="343" customFormat="1" ht="19.5" customHeight="1">
      <c r="A259" s="342"/>
      <c r="B259" s="344"/>
      <c r="C259" s="344"/>
      <c r="D259" s="344"/>
      <c r="E259" s="344"/>
      <c r="F259" s="344"/>
      <c r="G259" s="344"/>
      <c r="H259" s="344"/>
      <c r="I259" s="344"/>
      <c r="J259" s="344"/>
      <c r="K259" s="344"/>
      <c r="L259" s="344"/>
      <c r="M259" s="344"/>
      <c r="N259" s="344"/>
      <c r="O259" s="344"/>
      <c r="P259" s="344"/>
      <c r="Q259" s="344"/>
      <c r="R259" s="344"/>
      <c r="S259" s="344"/>
    </row>
    <row r="260" spans="1:19" s="343" customFormat="1" ht="19.5" customHeight="1">
      <c r="A260" s="342"/>
      <c r="B260" s="344"/>
      <c r="C260" s="344"/>
      <c r="D260" s="344"/>
      <c r="E260" s="344"/>
      <c r="F260" s="344"/>
      <c r="G260" s="344"/>
      <c r="H260" s="344"/>
      <c r="I260" s="344"/>
      <c r="J260" s="344"/>
      <c r="K260" s="344"/>
      <c r="L260" s="344"/>
      <c r="M260" s="344"/>
      <c r="N260" s="344"/>
      <c r="O260" s="344"/>
      <c r="P260" s="344"/>
      <c r="Q260" s="344"/>
      <c r="R260" s="344"/>
      <c r="S260" s="344"/>
    </row>
    <row r="261" spans="1:19" s="343" customFormat="1" ht="19.5" customHeight="1">
      <c r="A261" s="342"/>
      <c r="B261" s="344"/>
      <c r="C261" s="344"/>
      <c r="D261" s="344"/>
      <c r="E261" s="344"/>
      <c r="F261" s="344"/>
      <c r="G261" s="344"/>
      <c r="H261" s="344"/>
      <c r="I261" s="344"/>
      <c r="J261" s="344"/>
      <c r="K261" s="344"/>
      <c r="L261" s="344"/>
      <c r="M261" s="344"/>
      <c r="N261" s="344"/>
      <c r="O261" s="344"/>
      <c r="P261" s="344"/>
      <c r="Q261" s="344"/>
      <c r="R261" s="344"/>
      <c r="S261" s="344"/>
    </row>
    <row r="262" spans="1:19" s="343" customFormat="1" ht="19.5" customHeight="1">
      <c r="A262" s="342"/>
      <c r="B262" s="344"/>
      <c r="C262" s="344"/>
      <c r="D262" s="344"/>
      <c r="E262" s="344"/>
      <c r="F262" s="344"/>
      <c r="G262" s="344"/>
      <c r="H262" s="344"/>
      <c r="I262" s="344"/>
      <c r="J262" s="344"/>
      <c r="K262" s="344"/>
      <c r="L262" s="344"/>
      <c r="M262" s="344"/>
      <c r="N262" s="344"/>
      <c r="O262" s="344"/>
      <c r="P262" s="344"/>
      <c r="Q262" s="344"/>
      <c r="R262" s="344"/>
      <c r="S262" s="344"/>
    </row>
    <row r="263" spans="1:19" s="343" customFormat="1" ht="19.5" customHeight="1">
      <c r="A263" s="342"/>
      <c r="B263" s="344"/>
      <c r="C263" s="344"/>
      <c r="D263" s="344"/>
      <c r="E263" s="344"/>
      <c r="F263" s="344"/>
      <c r="G263" s="344"/>
      <c r="H263" s="344"/>
      <c r="I263" s="344"/>
      <c r="J263" s="344"/>
      <c r="K263" s="344"/>
      <c r="L263" s="344"/>
      <c r="M263" s="344"/>
      <c r="N263" s="344"/>
      <c r="O263" s="344"/>
      <c r="P263" s="344"/>
      <c r="Q263" s="344"/>
      <c r="R263" s="344"/>
      <c r="S263" s="344"/>
    </row>
    <row r="264" spans="1:19" s="343" customFormat="1" ht="19.5" customHeight="1">
      <c r="A264" s="342"/>
      <c r="B264" s="344"/>
      <c r="C264" s="344"/>
      <c r="D264" s="344"/>
      <c r="E264" s="344"/>
      <c r="F264" s="344"/>
      <c r="G264" s="344"/>
      <c r="H264" s="344"/>
      <c r="I264" s="344"/>
      <c r="J264" s="344"/>
      <c r="K264" s="344"/>
      <c r="L264" s="344"/>
      <c r="M264" s="344"/>
      <c r="N264" s="344"/>
      <c r="O264" s="344"/>
      <c r="P264" s="344"/>
      <c r="Q264" s="344"/>
      <c r="R264" s="344"/>
      <c r="S264" s="344"/>
    </row>
    <row r="265" spans="1:19" s="343" customFormat="1" ht="19.5" customHeight="1">
      <c r="A265" s="342"/>
      <c r="B265" s="344"/>
      <c r="C265" s="344"/>
      <c r="D265" s="344"/>
      <c r="E265" s="344"/>
      <c r="F265" s="344"/>
      <c r="G265" s="344"/>
      <c r="H265" s="344"/>
      <c r="I265" s="344"/>
      <c r="J265" s="344"/>
      <c r="K265" s="344"/>
      <c r="L265" s="344"/>
      <c r="M265" s="344"/>
      <c r="N265" s="344"/>
      <c r="O265" s="344"/>
      <c r="P265" s="344"/>
      <c r="Q265" s="344"/>
      <c r="R265" s="344"/>
      <c r="S265" s="344"/>
    </row>
    <row r="266" spans="1:19" s="343" customFormat="1" ht="19.5" customHeight="1">
      <c r="A266" s="342"/>
      <c r="B266" s="344"/>
      <c r="C266" s="344"/>
      <c r="D266" s="344"/>
      <c r="E266" s="344"/>
      <c r="F266" s="344"/>
      <c r="G266" s="344"/>
      <c r="H266" s="344"/>
      <c r="I266" s="344"/>
      <c r="J266" s="344"/>
      <c r="K266" s="344"/>
      <c r="L266" s="344"/>
      <c r="M266" s="344"/>
      <c r="N266" s="344"/>
      <c r="O266" s="344"/>
      <c r="P266" s="344"/>
      <c r="Q266" s="344"/>
      <c r="R266" s="344"/>
      <c r="S266" s="344"/>
    </row>
    <row r="267" spans="1:19" s="343" customFormat="1" ht="19.5" customHeight="1">
      <c r="A267" s="342"/>
      <c r="B267" s="344"/>
      <c r="C267" s="344"/>
      <c r="D267" s="344"/>
      <c r="E267" s="344"/>
      <c r="F267" s="344"/>
      <c r="G267" s="344"/>
      <c r="H267" s="344"/>
      <c r="I267" s="344"/>
      <c r="J267" s="344"/>
      <c r="K267" s="344"/>
      <c r="L267" s="344"/>
      <c r="M267" s="344"/>
      <c r="N267" s="344"/>
      <c r="O267" s="344"/>
      <c r="P267" s="344"/>
      <c r="Q267" s="344"/>
      <c r="R267" s="344"/>
      <c r="S267" s="344"/>
    </row>
    <row r="268" spans="1:19" s="343" customFormat="1" ht="19.5" customHeight="1">
      <c r="A268" s="342"/>
      <c r="B268" s="344"/>
      <c r="C268" s="344"/>
      <c r="D268" s="344"/>
      <c r="E268" s="344"/>
      <c r="F268" s="344"/>
      <c r="G268" s="344"/>
      <c r="H268" s="344"/>
      <c r="I268" s="344"/>
      <c r="J268" s="344"/>
      <c r="K268" s="344"/>
      <c r="L268" s="344"/>
      <c r="M268" s="344"/>
      <c r="N268" s="344"/>
      <c r="O268" s="344"/>
      <c r="P268" s="344"/>
      <c r="Q268" s="344"/>
      <c r="R268" s="344"/>
      <c r="S268" s="344"/>
    </row>
    <row r="269" spans="1:19" s="343" customFormat="1" ht="19.5" customHeight="1">
      <c r="A269" s="342"/>
      <c r="B269" s="344"/>
      <c r="C269" s="344"/>
      <c r="D269" s="344"/>
      <c r="E269" s="344"/>
      <c r="F269" s="344"/>
      <c r="G269" s="344"/>
      <c r="H269" s="344"/>
      <c r="I269" s="344"/>
      <c r="J269" s="344"/>
      <c r="K269" s="344"/>
      <c r="L269" s="344"/>
      <c r="M269" s="344"/>
      <c r="N269" s="344"/>
      <c r="O269" s="344"/>
      <c r="P269" s="344"/>
      <c r="Q269" s="344"/>
      <c r="R269" s="344"/>
      <c r="S269" s="344"/>
    </row>
    <row r="270" spans="1:19" s="343" customFormat="1" ht="19.5" customHeight="1">
      <c r="A270" s="342"/>
      <c r="B270" s="344"/>
      <c r="C270" s="344"/>
      <c r="D270" s="344"/>
      <c r="E270" s="344"/>
      <c r="F270" s="344"/>
      <c r="G270" s="344"/>
      <c r="H270" s="344"/>
      <c r="I270" s="344"/>
      <c r="J270" s="344"/>
      <c r="K270" s="344"/>
      <c r="L270" s="344"/>
      <c r="M270" s="344"/>
      <c r="N270" s="344"/>
      <c r="O270" s="344"/>
      <c r="P270" s="344"/>
      <c r="Q270" s="344"/>
      <c r="R270" s="344"/>
      <c r="S270" s="344"/>
    </row>
    <row r="271" spans="1:19" s="343" customFormat="1" ht="19.5" customHeight="1">
      <c r="A271" s="342"/>
      <c r="B271" s="344"/>
      <c r="C271" s="344"/>
      <c r="D271" s="344"/>
      <c r="E271" s="344"/>
      <c r="F271" s="344"/>
      <c r="G271" s="344"/>
      <c r="H271" s="344"/>
      <c r="I271" s="344"/>
      <c r="J271" s="344"/>
      <c r="K271" s="344"/>
      <c r="L271" s="344"/>
      <c r="M271" s="344"/>
      <c r="N271" s="344"/>
      <c r="O271" s="344"/>
      <c r="P271" s="344"/>
      <c r="Q271" s="344"/>
      <c r="R271" s="344"/>
      <c r="S271" s="344"/>
    </row>
    <row r="272" spans="1:19" s="343" customFormat="1" ht="19.5" customHeight="1">
      <c r="A272" s="342"/>
      <c r="B272" s="344"/>
      <c r="C272" s="344"/>
      <c r="D272" s="344"/>
      <c r="E272" s="344"/>
      <c r="F272" s="344"/>
      <c r="G272" s="344"/>
      <c r="H272" s="344"/>
      <c r="I272" s="344"/>
      <c r="J272" s="344"/>
      <c r="K272" s="344"/>
      <c r="L272" s="344"/>
      <c r="M272" s="344"/>
      <c r="N272" s="344"/>
      <c r="O272" s="344"/>
      <c r="P272" s="344"/>
      <c r="Q272" s="344"/>
      <c r="R272" s="344"/>
      <c r="S272" s="344"/>
    </row>
    <row r="273" spans="1:19" s="343" customFormat="1" ht="19.5" customHeight="1">
      <c r="A273" s="342"/>
      <c r="B273" s="344"/>
      <c r="C273" s="344"/>
      <c r="D273" s="344"/>
      <c r="E273" s="344"/>
      <c r="F273" s="344"/>
      <c r="G273" s="344"/>
      <c r="H273" s="344"/>
      <c r="I273" s="344"/>
      <c r="J273" s="344"/>
      <c r="K273" s="344"/>
      <c r="L273" s="344"/>
      <c r="M273" s="344"/>
      <c r="N273" s="344"/>
      <c r="O273" s="344"/>
      <c r="P273" s="344"/>
      <c r="Q273" s="344"/>
      <c r="R273" s="344"/>
      <c r="S273" s="344"/>
    </row>
    <row r="274" spans="1:19" s="343" customFormat="1" ht="19.5" customHeight="1">
      <c r="A274" s="342"/>
      <c r="B274" s="344"/>
      <c r="C274" s="344"/>
      <c r="D274" s="344"/>
      <c r="E274" s="344"/>
      <c r="F274" s="344"/>
      <c r="G274" s="344"/>
      <c r="H274" s="344"/>
      <c r="I274" s="344"/>
      <c r="J274" s="344"/>
      <c r="K274" s="344"/>
      <c r="L274" s="344"/>
      <c r="M274" s="344"/>
      <c r="N274" s="344"/>
      <c r="O274" s="344"/>
      <c r="P274" s="344"/>
      <c r="Q274" s="344"/>
      <c r="R274" s="344"/>
      <c r="S274" s="344"/>
    </row>
    <row r="275" spans="1:19" s="343" customFormat="1" ht="19.5" customHeight="1">
      <c r="A275" s="342"/>
      <c r="B275" s="344"/>
      <c r="C275" s="344"/>
      <c r="D275" s="344"/>
      <c r="E275" s="344"/>
      <c r="F275" s="344"/>
      <c r="G275" s="344"/>
      <c r="H275" s="344"/>
      <c r="I275" s="344"/>
      <c r="J275" s="344"/>
      <c r="K275" s="344"/>
      <c r="L275" s="344"/>
      <c r="M275" s="344"/>
      <c r="N275" s="344"/>
      <c r="O275" s="344"/>
      <c r="P275" s="344"/>
      <c r="Q275" s="344"/>
      <c r="R275" s="344"/>
      <c r="S275" s="344"/>
    </row>
    <row r="276" spans="1:19" s="343" customFormat="1" ht="19.5" customHeight="1">
      <c r="A276" s="342"/>
      <c r="B276" s="344"/>
      <c r="C276" s="344"/>
      <c r="D276" s="344"/>
      <c r="E276" s="344"/>
      <c r="F276" s="344"/>
      <c r="G276" s="344"/>
      <c r="H276" s="344"/>
      <c r="I276" s="344"/>
      <c r="J276" s="344"/>
      <c r="K276" s="344"/>
      <c r="L276" s="344"/>
      <c r="M276" s="344"/>
      <c r="N276" s="344"/>
      <c r="O276" s="344"/>
      <c r="P276" s="344"/>
      <c r="Q276" s="344"/>
      <c r="R276" s="344"/>
      <c r="S276" s="344"/>
    </row>
    <row r="277" spans="1:19" s="343" customFormat="1" ht="19.5" customHeight="1">
      <c r="A277" s="342"/>
      <c r="B277" s="344"/>
      <c r="C277" s="344"/>
      <c r="D277" s="344"/>
      <c r="E277" s="344"/>
      <c r="F277" s="344"/>
      <c r="G277" s="344"/>
      <c r="H277" s="344"/>
      <c r="I277" s="344"/>
      <c r="J277" s="344"/>
      <c r="K277" s="344"/>
      <c r="L277" s="344"/>
      <c r="M277" s="344"/>
      <c r="N277" s="344"/>
      <c r="O277" s="344"/>
      <c r="P277" s="344"/>
      <c r="Q277" s="344"/>
      <c r="R277" s="344"/>
      <c r="S277" s="344"/>
    </row>
    <row r="278" spans="1:19" s="343" customFormat="1" ht="19.5" customHeight="1">
      <c r="A278" s="342"/>
      <c r="B278" s="344"/>
      <c r="C278" s="344"/>
      <c r="D278" s="344"/>
      <c r="E278" s="344"/>
      <c r="F278" s="344"/>
      <c r="G278" s="344"/>
      <c r="H278" s="344"/>
      <c r="I278" s="344"/>
      <c r="J278" s="344"/>
      <c r="K278" s="344"/>
      <c r="L278" s="344"/>
      <c r="M278" s="344"/>
      <c r="N278" s="344"/>
      <c r="O278" s="344"/>
      <c r="P278" s="344"/>
      <c r="Q278" s="344"/>
      <c r="R278" s="344"/>
      <c r="S278" s="344"/>
    </row>
    <row r="279" spans="1:19" s="343" customFormat="1" ht="19.5" customHeight="1">
      <c r="A279" s="342"/>
      <c r="B279" s="344"/>
      <c r="C279" s="344"/>
      <c r="D279" s="344"/>
      <c r="E279" s="344"/>
      <c r="F279" s="344"/>
      <c r="G279" s="344"/>
      <c r="H279" s="344"/>
      <c r="I279" s="344"/>
      <c r="J279" s="344"/>
      <c r="K279" s="344"/>
      <c r="L279" s="344"/>
      <c r="M279" s="344"/>
      <c r="N279" s="344"/>
      <c r="O279" s="344"/>
      <c r="P279" s="344"/>
      <c r="Q279" s="344"/>
      <c r="R279" s="344"/>
      <c r="S279" s="344"/>
    </row>
    <row r="280" spans="1:19" s="343" customFormat="1" ht="19.5" customHeight="1">
      <c r="A280" s="342"/>
      <c r="B280" s="344"/>
      <c r="C280" s="344"/>
      <c r="D280" s="344"/>
      <c r="E280" s="344"/>
      <c r="F280" s="344"/>
      <c r="G280" s="344"/>
      <c r="H280" s="344"/>
      <c r="I280" s="344"/>
      <c r="J280" s="344"/>
      <c r="K280" s="344"/>
      <c r="L280" s="344"/>
      <c r="M280" s="344"/>
      <c r="N280" s="344"/>
      <c r="O280" s="344"/>
      <c r="P280" s="344"/>
      <c r="Q280" s="344"/>
      <c r="R280" s="344"/>
      <c r="S280" s="344"/>
    </row>
    <row r="281" ht="19.5" customHeight="1"/>
    <row r="282" ht="9.75" customHeight="1"/>
    <row r="283" ht="19.5" customHeight="1"/>
    <row r="284" ht="19.5" customHeight="1"/>
    <row r="285" ht="19.5" customHeight="1"/>
    <row r="286" spans="1:19" s="343" customFormat="1" ht="19.5" customHeight="1">
      <c r="A286" s="342"/>
      <c r="B286" s="344"/>
      <c r="C286" s="344"/>
      <c r="D286" s="344"/>
      <c r="E286" s="344"/>
      <c r="F286" s="344"/>
      <c r="G286" s="344"/>
      <c r="H286" s="344"/>
      <c r="I286" s="344"/>
      <c r="J286" s="344"/>
      <c r="K286" s="344"/>
      <c r="L286" s="344"/>
      <c r="M286" s="344"/>
      <c r="N286" s="344"/>
      <c r="O286" s="344"/>
      <c r="P286" s="344"/>
      <c r="Q286" s="344"/>
      <c r="R286" s="344"/>
      <c r="S286" s="344"/>
    </row>
    <row r="287" spans="1:19" s="343" customFormat="1" ht="19.5" customHeight="1">
      <c r="A287" s="342"/>
      <c r="B287" s="344"/>
      <c r="C287" s="344"/>
      <c r="D287" s="344"/>
      <c r="E287" s="344"/>
      <c r="F287" s="344"/>
      <c r="G287" s="344"/>
      <c r="H287" s="344"/>
      <c r="I287" s="344"/>
      <c r="J287" s="344"/>
      <c r="K287" s="344"/>
      <c r="L287" s="344"/>
      <c r="M287" s="344"/>
      <c r="N287" s="344"/>
      <c r="O287" s="344"/>
      <c r="P287" s="344"/>
      <c r="Q287" s="344"/>
      <c r="R287" s="344"/>
      <c r="S287" s="344"/>
    </row>
    <row r="288" spans="1:19" s="343" customFormat="1" ht="19.5" customHeight="1">
      <c r="A288" s="342"/>
      <c r="B288" s="344"/>
      <c r="C288" s="344"/>
      <c r="D288" s="344"/>
      <c r="E288" s="344"/>
      <c r="F288" s="344"/>
      <c r="G288" s="344"/>
      <c r="H288" s="344"/>
      <c r="I288" s="344"/>
      <c r="J288" s="344"/>
      <c r="K288" s="344"/>
      <c r="L288" s="344"/>
      <c r="M288" s="344"/>
      <c r="N288" s="344"/>
      <c r="O288" s="344"/>
      <c r="P288" s="344"/>
      <c r="Q288" s="344"/>
      <c r="R288" s="344"/>
      <c r="S288" s="344"/>
    </row>
    <row r="289" spans="1:19" s="343" customFormat="1" ht="19.5" customHeight="1">
      <c r="A289" s="342"/>
      <c r="B289" s="344"/>
      <c r="C289" s="344"/>
      <c r="D289" s="344"/>
      <c r="E289" s="344"/>
      <c r="F289" s="344"/>
      <c r="G289" s="344"/>
      <c r="H289" s="344"/>
      <c r="I289" s="344"/>
      <c r="J289" s="344"/>
      <c r="K289" s="344"/>
      <c r="L289" s="344"/>
      <c r="M289" s="344"/>
      <c r="N289" s="344"/>
      <c r="O289" s="344"/>
      <c r="P289" s="344"/>
      <c r="Q289" s="344"/>
      <c r="R289" s="344"/>
      <c r="S289" s="344"/>
    </row>
    <row r="290" spans="1:19" s="343" customFormat="1" ht="19.5" customHeight="1">
      <c r="A290" s="342"/>
      <c r="B290" s="344"/>
      <c r="C290" s="344"/>
      <c r="D290" s="344"/>
      <c r="E290" s="344"/>
      <c r="F290" s="344"/>
      <c r="G290" s="344"/>
      <c r="H290" s="344"/>
      <c r="I290" s="344"/>
      <c r="J290" s="344"/>
      <c r="K290" s="344"/>
      <c r="L290" s="344"/>
      <c r="M290" s="344"/>
      <c r="N290" s="344"/>
      <c r="O290" s="344"/>
      <c r="P290" s="344"/>
      <c r="Q290" s="344"/>
      <c r="R290" s="344"/>
      <c r="S290" s="344"/>
    </row>
    <row r="291" spans="1:19" s="343" customFormat="1" ht="19.5" customHeight="1">
      <c r="A291" s="342"/>
      <c r="B291" s="344"/>
      <c r="C291" s="344"/>
      <c r="D291" s="344"/>
      <c r="E291" s="344"/>
      <c r="F291" s="344"/>
      <c r="G291" s="344"/>
      <c r="H291" s="344"/>
      <c r="I291" s="344"/>
      <c r="J291" s="344"/>
      <c r="K291" s="344"/>
      <c r="L291" s="344"/>
      <c r="M291" s="344"/>
      <c r="N291" s="344"/>
      <c r="O291" s="344"/>
      <c r="P291" s="344"/>
      <c r="Q291" s="344"/>
      <c r="R291" s="344"/>
      <c r="S291" s="344"/>
    </row>
    <row r="292" spans="1:19" s="343" customFormat="1" ht="19.5" customHeight="1">
      <c r="A292" s="342"/>
      <c r="B292" s="344"/>
      <c r="C292" s="344"/>
      <c r="D292" s="344"/>
      <c r="E292" s="344"/>
      <c r="F292" s="344"/>
      <c r="G292" s="344"/>
      <c r="H292" s="344"/>
      <c r="I292" s="344"/>
      <c r="J292" s="344"/>
      <c r="K292" s="344"/>
      <c r="L292" s="344"/>
      <c r="M292" s="344"/>
      <c r="N292" s="344"/>
      <c r="O292" s="344"/>
      <c r="P292" s="344"/>
      <c r="Q292" s="344"/>
      <c r="R292" s="344"/>
      <c r="S292" s="344"/>
    </row>
    <row r="293" spans="1:19" s="343" customFormat="1" ht="19.5" customHeight="1">
      <c r="A293" s="342"/>
      <c r="B293" s="344"/>
      <c r="C293" s="344"/>
      <c r="D293" s="344"/>
      <c r="E293" s="344"/>
      <c r="F293" s="344"/>
      <c r="G293" s="344"/>
      <c r="H293" s="344"/>
      <c r="I293" s="344"/>
      <c r="J293" s="344"/>
      <c r="K293" s="344"/>
      <c r="L293" s="344"/>
      <c r="M293" s="344"/>
      <c r="N293" s="344"/>
      <c r="O293" s="344"/>
      <c r="P293" s="344"/>
      <c r="Q293" s="344"/>
      <c r="R293" s="344"/>
      <c r="S293" s="344"/>
    </row>
    <row r="294" spans="1:19" s="343" customFormat="1" ht="19.5" customHeight="1">
      <c r="A294" s="342"/>
      <c r="B294" s="344"/>
      <c r="C294" s="344"/>
      <c r="D294" s="344"/>
      <c r="E294" s="344"/>
      <c r="F294" s="344"/>
      <c r="G294" s="344"/>
      <c r="H294" s="344"/>
      <c r="I294" s="344"/>
      <c r="J294" s="344"/>
      <c r="K294" s="344"/>
      <c r="L294" s="344"/>
      <c r="M294" s="344"/>
      <c r="N294" s="344"/>
      <c r="O294" s="344"/>
      <c r="P294" s="344"/>
      <c r="Q294" s="344"/>
      <c r="R294" s="344"/>
      <c r="S294" s="344"/>
    </row>
    <row r="295" spans="1:19" s="343" customFormat="1" ht="19.5" customHeight="1">
      <c r="A295" s="342"/>
      <c r="B295" s="344"/>
      <c r="C295" s="344"/>
      <c r="D295" s="344"/>
      <c r="E295" s="344"/>
      <c r="F295" s="344"/>
      <c r="G295" s="344"/>
      <c r="H295" s="344"/>
      <c r="I295" s="344"/>
      <c r="J295" s="344"/>
      <c r="K295" s="344"/>
      <c r="L295" s="344"/>
      <c r="M295" s="344"/>
      <c r="N295" s="344"/>
      <c r="O295" s="344"/>
      <c r="P295" s="344"/>
      <c r="Q295" s="344"/>
      <c r="R295" s="344"/>
      <c r="S295" s="344"/>
    </row>
    <row r="296" spans="1:19" s="343" customFormat="1" ht="19.5" customHeight="1">
      <c r="A296" s="342"/>
      <c r="B296" s="344"/>
      <c r="C296" s="344"/>
      <c r="D296" s="344"/>
      <c r="E296" s="344"/>
      <c r="F296" s="344"/>
      <c r="G296" s="344"/>
      <c r="H296" s="344"/>
      <c r="I296" s="344"/>
      <c r="J296" s="344"/>
      <c r="K296" s="344"/>
      <c r="L296" s="344"/>
      <c r="M296" s="344"/>
      <c r="N296" s="344"/>
      <c r="O296" s="344"/>
      <c r="P296" s="344"/>
      <c r="Q296" s="344"/>
      <c r="R296" s="344"/>
      <c r="S296" s="344"/>
    </row>
    <row r="297" spans="1:19" s="343" customFormat="1" ht="19.5" customHeight="1">
      <c r="A297" s="342"/>
      <c r="B297" s="344"/>
      <c r="C297" s="344"/>
      <c r="D297" s="344"/>
      <c r="E297" s="344"/>
      <c r="F297" s="344"/>
      <c r="G297" s="344"/>
      <c r="H297" s="344"/>
      <c r="I297" s="344"/>
      <c r="J297" s="344"/>
      <c r="K297" s="344"/>
      <c r="L297" s="344"/>
      <c r="M297" s="344"/>
      <c r="N297" s="344"/>
      <c r="O297" s="344"/>
      <c r="P297" s="344"/>
      <c r="Q297" s="344"/>
      <c r="R297" s="344"/>
      <c r="S297" s="344"/>
    </row>
    <row r="298" spans="1:19" s="343" customFormat="1" ht="19.5" customHeight="1">
      <c r="A298" s="342"/>
      <c r="B298" s="344"/>
      <c r="C298" s="344"/>
      <c r="D298" s="344"/>
      <c r="E298" s="344"/>
      <c r="F298" s="344"/>
      <c r="G298" s="344"/>
      <c r="H298" s="344"/>
      <c r="I298" s="344"/>
      <c r="J298" s="344"/>
      <c r="K298" s="344"/>
      <c r="L298" s="344"/>
      <c r="M298" s="344"/>
      <c r="N298" s="344"/>
      <c r="O298" s="344"/>
      <c r="P298" s="344"/>
      <c r="Q298" s="344"/>
      <c r="R298" s="344"/>
      <c r="S298" s="344"/>
    </row>
    <row r="299" spans="1:19" s="343" customFormat="1" ht="19.5" customHeight="1">
      <c r="A299" s="342"/>
      <c r="B299" s="344"/>
      <c r="C299" s="344"/>
      <c r="D299" s="344"/>
      <c r="E299" s="344"/>
      <c r="F299" s="344"/>
      <c r="G299" s="344"/>
      <c r="H299" s="344"/>
      <c r="I299" s="344"/>
      <c r="J299" s="344"/>
      <c r="K299" s="344"/>
      <c r="L299" s="344"/>
      <c r="M299" s="344"/>
      <c r="N299" s="344"/>
      <c r="O299" s="344"/>
      <c r="P299" s="344"/>
      <c r="Q299" s="344"/>
      <c r="R299" s="344"/>
      <c r="S299" s="344"/>
    </row>
    <row r="300" spans="1:19" s="343" customFormat="1" ht="19.5" customHeight="1">
      <c r="A300" s="342"/>
      <c r="B300" s="344"/>
      <c r="C300" s="344"/>
      <c r="D300" s="344"/>
      <c r="E300" s="344"/>
      <c r="F300" s="344"/>
      <c r="G300" s="344"/>
      <c r="H300" s="344"/>
      <c r="I300" s="344"/>
      <c r="J300" s="344"/>
      <c r="K300" s="344"/>
      <c r="L300" s="344"/>
      <c r="M300" s="344"/>
      <c r="N300" s="344"/>
      <c r="O300" s="344"/>
      <c r="P300" s="344"/>
      <c r="Q300" s="344"/>
      <c r="R300" s="344"/>
      <c r="S300" s="344"/>
    </row>
    <row r="301" spans="1:19" s="343" customFormat="1" ht="19.5" customHeight="1">
      <c r="A301" s="342"/>
      <c r="B301" s="344"/>
      <c r="C301" s="344"/>
      <c r="D301" s="344"/>
      <c r="E301" s="344"/>
      <c r="F301" s="344"/>
      <c r="G301" s="344"/>
      <c r="H301" s="344"/>
      <c r="I301" s="344"/>
      <c r="J301" s="344"/>
      <c r="K301" s="344"/>
      <c r="L301" s="344"/>
      <c r="M301" s="344"/>
      <c r="N301" s="344"/>
      <c r="O301" s="344"/>
      <c r="P301" s="344"/>
      <c r="Q301" s="344"/>
      <c r="R301" s="344"/>
      <c r="S301" s="344"/>
    </row>
    <row r="302" spans="1:19" s="343" customFormat="1" ht="19.5" customHeight="1">
      <c r="A302" s="342"/>
      <c r="B302" s="344"/>
      <c r="C302" s="344"/>
      <c r="D302" s="344"/>
      <c r="E302" s="344"/>
      <c r="F302" s="344"/>
      <c r="G302" s="344"/>
      <c r="H302" s="344"/>
      <c r="I302" s="344"/>
      <c r="J302" s="344"/>
      <c r="K302" s="344"/>
      <c r="L302" s="344"/>
      <c r="M302" s="344"/>
      <c r="N302" s="344"/>
      <c r="O302" s="344"/>
      <c r="P302" s="344"/>
      <c r="Q302" s="344"/>
      <c r="R302" s="344"/>
      <c r="S302" s="344"/>
    </row>
    <row r="303" spans="1:19" s="343" customFormat="1" ht="19.5" customHeight="1">
      <c r="A303" s="342"/>
      <c r="B303" s="344"/>
      <c r="C303" s="344"/>
      <c r="D303" s="344"/>
      <c r="E303" s="344"/>
      <c r="F303" s="344"/>
      <c r="G303" s="344"/>
      <c r="H303" s="344"/>
      <c r="I303" s="344"/>
      <c r="J303" s="344"/>
      <c r="K303" s="344"/>
      <c r="L303" s="344"/>
      <c r="M303" s="344"/>
      <c r="N303" s="344"/>
      <c r="O303" s="344"/>
      <c r="P303" s="344"/>
      <c r="Q303" s="344"/>
      <c r="R303" s="344"/>
      <c r="S303" s="344"/>
    </row>
    <row r="304" spans="1:19" s="343" customFormat="1" ht="19.5" customHeight="1">
      <c r="A304" s="342"/>
      <c r="B304" s="344"/>
      <c r="C304" s="344"/>
      <c r="D304" s="344"/>
      <c r="E304" s="344"/>
      <c r="F304" s="344"/>
      <c r="G304" s="344"/>
      <c r="H304" s="344"/>
      <c r="I304" s="344"/>
      <c r="J304" s="344"/>
      <c r="K304" s="344"/>
      <c r="L304" s="344"/>
      <c r="M304" s="344"/>
      <c r="N304" s="344"/>
      <c r="O304" s="344"/>
      <c r="P304" s="344"/>
      <c r="Q304" s="344"/>
      <c r="R304" s="344"/>
      <c r="S304" s="344"/>
    </row>
    <row r="305" spans="1:19" s="343" customFormat="1" ht="19.5" customHeight="1">
      <c r="A305" s="342"/>
      <c r="B305" s="344"/>
      <c r="C305" s="344"/>
      <c r="D305" s="344"/>
      <c r="E305" s="344"/>
      <c r="F305" s="344"/>
      <c r="G305" s="344"/>
      <c r="H305" s="344"/>
      <c r="I305" s="344"/>
      <c r="J305" s="344"/>
      <c r="K305" s="344"/>
      <c r="L305" s="344"/>
      <c r="M305" s="344"/>
      <c r="N305" s="344"/>
      <c r="O305" s="344"/>
      <c r="P305" s="344"/>
      <c r="Q305" s="344"/>
      <c r="R305" s="344"/>
      <c r="S305" s="344"/>
    </row>
    <row r="306" spans="1:19" s="343" customFormat="1" ht="19.5" customHeight="1">
      <c r="A306" s="342"/>
      <c r="B306" s="344"/>
      <c r="C306" s="344"/>
      <c r="D306" s="344"/>
      <c r="E306" s="344"/>
      <c r="F306" s="344"/>
      <c r="G306" s="344"/>
      <c r="H306" s="344"/>
      <c r="I306" s="344"/>
      <c r="J306" s="344"/>
      <c r="K306" s="344"/>
      <c r="L306" s="344"/>
      <c r="M306" s="344"/>
      <c r="N306" s="344"/>
      <c r="O306" s="344"/>
      <c r="P306" s="344"/>
      <c r="Q306" s="344"/>
      <c r="R306" s="344"/>
      <c r="S306" s="344"/>
    </row>
    <row r="307" spans="1:19" s="343" customFormat="1" ht="19.5" customHeight="1">
      <c r="A307" s="342"/>
      <c r="B307" s="344"/>
      <c r="C307" s="344"/>
      <c r="D307" s="344"/>
      <c r="E307" s="344"/>
      <c r="F307" s="344"/>
      <c r="G307" s="344"/>
      <c r="H307" s="344"/>
      <c r="I307" s="344"/>
      <c r="J307" s="344"/>
      <c r="K307" s="344"/>
      <c r="L307" s="344"/>
      <c r="M307" s="344"/>
      <c r="N307" s="344"/>
      <c r="O307" s="344"/>
      <c r="P307" s="344"/>
      <c r="Q307" s="344"/>
      <c r="R307" s="344"/>
      <c r="S307" s="344"/>
    </row>
    <row r="308" spans="1:19" s="343" customFormat="1" ht="19.5" customHeight="1">
      <c r="A308" s="342"/>
      <c r="B308" s="344"/>
      <c r="C308" s="344"/>
      <c r="D308" s="344"/>
      <c r="E308" s="344"/>
      <c r="F308" s="344"/>
      <c r="G308" s="344"/>
      <c r="H308" s="344"/>
      <c r="I308" s="344"/>
      <c r="J308" s="344"/>
      <c r="K308" s="344"/>
      <c r="L308" s="344"/>
      <c r="M308" s="344"/>
      <c r="N308" s="344"/>
      <c r="O308" s="344"/>
      <c r="P308" s="344"/>
      <c r="Q308" s="344"/>
      <c r="R308" s="344"/>
      <c r="S308" s="344"/>
    </row>
    <row r="309" spans="1:19" s="343" customFormat="1" ht="19.5" customHeight="1">
      <c r="A309" s="342"/>
      <c r="B309" s="344"/>
      <c r="C309" s="344"/>
      <c r="D309" s="344"/>
      <c r="E309" s="344"/>
      <c r="F309" s="344"/>
      <c r="G309" s="344"/>
      <c r="H309" s="344"/>
      <c r="I309" s="344"/>
      <c r="J309" s="344"/>
      <c r="K309" s="344"/>
      <c r="L309" s="344"/>
      <c r="M309" s="344"/>
      <c r="N309" s="344"/>
      <c r="O309" s="344"/>
      <c r="P309" s="344"/>
      <c r="Q309" s="344"/>
      <c r="R309" s="344"/>
      <c r="S309" s="344"/>
    </row>
    <row r="310" spans="1:19" s="343" customFormat="1" ht="19.5" customHeight="1">
      <c r="A310" s="342"/>
      <c r="B310" s="344"/>
      <c r="C310" s="344"/>
      <c r="D310" s="344"/>
      <c r="E310" s="344"/>
      <c r="F310" s="344"/>
      <c r="G310" s="344"/>
      <c r="H310" s="344"/>
      <c r="I310" s="344"/>
      <c r="J310" s="344"/>
      <c r="K310" s="344"/>
      <c r="L310" s="344"/>
      <c r="M310" s="344"/>
      <c r="N310" s="344"/>
      <c r="O310" s="344"/>
      <c r="P310" s="344"/>
      <c r="Q310" s="344"/>
      <c r="R310" s="344"/>
      <c r="S310" s="344"/>
    </row>
    <row r="311" spans="1:19" s="343" customFormat="1" ht="19.5" customHeight="1">
      <c r="A311" s="342"/>
      <c r="B311" s="344"/>
      <c r="C311" s="344"/>
      <c r="D311" s="344"/>
      <c r="E311" s="344"/>
      <c r="F311" s="344"/>
      <c r="G311" s="344"/>
      <c r="H311" s="344"/>
      <c r="I311" s="344"/>
      <c r="J311" s="344"/>
      <c r="K311" s="344"/>
      <c r="L311" s="344"/>
      <c r="M311" s="344"/>
      <c r="N311" s="344"/>
      <c r="O311" s="344"/>
      <c r="P311" s="344"/>
      <c r="Q311" s="344"/>
      <c r="R311" s="344"/>
      <c r="S311" s="344"/>
    </row>
    <row r="312" spans="1:19" s="343" customFormat="1" ht="19.5" customHeight="1">
      <c r="A312" s="342"/>
      <c r="B312" s="344"/>
      <c r="C312" s="344"/>
      <c r="D312" s="344"/>
      <c r="E312" s="344"/>
      <c r="F312" s="344"/>
      <c r="G312" s="344"/>
      <c r="H312" s="344"/>
      <c r="I312" s="344"/>
      <c r="J312" s="344"/>
      <c r="K312" s="344"/>
      <c r="L312" s="344"/>
      <c r="M312" s="344"/>
      <c r="N312" s="344"/>
      <c r="O312" s="344"/>
      <c r="P312" s="344"/>
      <c r="Q312" s="344"/>
      <c r="R312" s="344"/>
      <c r="S312" s="344"/>
    </row>
    <row r="313" spans="1:19" s="343" customFormat="1" ht="19.5" customHeight="1">
      <c r="A313" s="342"/>
      <c r="B313" s="344"/>
      <c r="C313" s="344"/>
      <c r="D313" s="344"/>
      <c r="E313" s="344"/>
      <c r="F313" s="344"/>
      <c r="G313" s="344"/>
      <c r="H313" s="344"/>
      <c r="I313" s="344"/>
      <c r="J313" s="344"/>
      <c r="K313" s="344"/>
      <c r="L313" s="344"/>
      <c r="M313" s="344"/>
      <c r="N313" s="344"/>
      <c r="O313" s="344"/>
      <c r="P313" s="344"/>
      <c r="Q313" s="344"/>
      <c r="R313" s="344"/>
      <c r="S313" s="344"/>
    </row>
    <row r="314" spans="1:19" s="343" customFormat="1" ht="19.5" customHeight="1">
      <c r="A314" s="342"/>
      <c r="B314" s="344"/>
      <c r="C314" s="344"/>
      <c r="D314" s="344"/>
      <c r="E314" s="344"/>
      <c r="F314" s="344"/>
      <c r="G314" s="344"/>
      <c r="H314" s="344"/>
      <c r="I314" s="344"/>
      <c r="J314" s="344"/>
      <c r="K314" s="344"/>
      <c r="L314" s="344"/>
      <c r="M314" s="344"/>
      <c r="N314" s="344"/>
      <c r="O314" s="344"/>
      <c r="P314" s="344"/>
      <c r="Q314" s="344"/>
      <c r="R314" s="344"/>
      <c r="S314" s="344"/>
    </row>
    <row r="315" spans="1:19" s="343" customFormat="1" ht="19.5" customHeight="1">
      <c r="A315" s="342"/>
      <c r="B315" s="344"/>
      <c r="C315" s="344"/>
      <c r="D315" s="344"/>
      <c r="E315" s="344"/>
      <c r="F315" s="344"/>
      <c r="G315" s="344"/>
      <c r="H315" s="344"/>
      <c r="I315" s="344"/>
      <c r="J315" s="344"/>
      <c r="K315" s="344"/>
      <c r="L315" s="344"/>
      <c r="M315" s="344"/>
      <c r="N315" s="344"/>
      <c r="O315" s="344"/>
      <c r="P315" s="344"/>
      <c r="Q315" s="344"/>
      <c r="R315" s="344"/>
      <c r="S315" s="344"/>
    </row>
    <row r="316" spans="1:19" s="343" customFormat="1" ht="19.5" customHeight="1">
      <c r="A316" s="342"/>
      <c r="B316" s="344"/>
      <c r="C316" s="344"/>
      <c r="D316" s="344"/>
      <c r="E316" s="344"/>
      <c r="F316" s="344"/>
      <c r="G316" s="344"/>
      <c r="H316" s="344"/>
      <c r="I316" s="344"/>
      <c r="J316" s="344"/>
      <c r="K316" s="344"/>
      <c r="L316" s="344"/>
      <c r="M316" s="344"/>
      <c r="N316" s="344"/>
      <c r="O316" s="344"/>
      <c r="P316" s="344"/>
      <c r="Q316" s="344"/>
      <c r="R316" s="344"/>
      <c r="S316" s="344"/>
    </row>
    <row r="317" spans="1:19" s="343" customFormat="1" ht="19.5" customHeight="1">
      <c r="A317" s="342"/>
      <c r="B317" s="344"/>
      <c r="C317" s="344"/>
      <c r="D317" s="344"/>
      <c r="E317" s="344"/>
      <c r="F317" s="344"/>
      <c r="G317" s="344"/>
      <c r="H317" s="344"/>
      <c r="I317" s="344"/>
      <c r="J317" s="344"/>
      <c r="K317" s="344"/>
      <c r="L317" s="344"/>
      <c r="M317" s="344"/>
      <c r="N317" s="344"/>
      <c r="O317" s="344"/>
      <c r="P317" s="344"/>
      <c r="Q317" s="344"/>
      <c r="R317" s="344"/>
      <c r="S317" s="344"/>
    </row>
    <row r="318" spans="1:19" s="343" customFormat="1" ht="19.5" customHeight="1">
      <c r="A318" s="342"/>
      <c r="B318" s="344"/>
      <c r="C318" s="344"/>
      <c r="D318" s="344"/>
      <c r="E318" s="344"/>
      <c r="F318" s="344"/>
      <c r="G318" s="344"/>
      <c r="H318" s="344"/>
      <c r="I318" s="344"/>
      <c r="J318" s="344"/>
      <c r="K318" s="344"/>
      <c r="L318" s="344"/>
      <c r="M318" s="344"/>
      <c r="N318" s="344"/>
      <c r="O318" s="344"/>
      <c r="P318" s="344"/>
      <c r="Q318" s="344"/>
      <c r="R318" s="344"/>
      <c r="S318" s="344"/>
    </row>
    <row r="319" spans="1:19" s="343" customFormat="1" ht="19.5" customHeight="1">
      <c r="A319" s="342"/>
      <c r="B319" s="344"/>
      <c r="C319" s="344"/>
      <c r="D319" s="344"/>
      <c r="E319" s="344"/>
      <c r="F319" s="344"/>
      <c r="G319" s="344"/>
      <c r="H319" s="344"/>
      <c r="I319" s="344"/>
      <c r="J319" s="344"/>
      <c r="K319" s="344"/>
      <c r="L319" s="344"/>
      <c r="M319" s="344"/>
      <c r="N319" s="344"/>
      <c r="O319" s="344"/>
      <c r="P319" s="344"/>
      <c r="Q319" s="344"/>
      <c r="R319" s="344"/>
      <c r="S319" s="344"/>
    </row>
    <row r="320" spans="1:19" s="343" customFormat="1" ht="19.5" customHeight="1">
      <c r="A320" s="342"/>
      <c r="B320" s="344"/>
      <c r="C320" s="344"/>
      <c r="D320" s="344"/>
      <c r="E320" s="344"/>
      <c r="F320" s="344"/>
      <c r="G320" s="344"/>
      <c r="H320" s="344"/>
      <c r="I320" s="344"/>
      <c r="J320" s="344"/>
      <c r="K320" s="344"/>
      <c r="L320" s="344"/>
      <c r="M320" s="344"/>
      <c r="N320" s="344"/>
      <c r="O320" s="344"/>
      <c r="P320" s="344"/>
      <c r="Q320" s="344"/>
      <c r="R320" s="344"/>
      <c r="S320" s="344"/>
    </row>
    <row r="321" spans="1:19" s="343" customFormat="1" ht="19.5" customHeight="1">
      <c r="A321" s="342"/>
      <c r="B321" s="344"/>
      <c r="C321" s="344"/>
      <c r="D321" s="344"/>
      <c r="E321" s="344"/>
      <c r="F321" s="344"/>
      <c r="G321" s="344"/>
      <c r="H321" s="344"/>
      <c r="I321" s="344"/>
      <c r="J321" s="344"/>
      <c r="K321" s="344"/>
      <c r="L321" s="344"/>
      <c r="M321" s="344"/>
      <c r="N321" s="344"/>
      <c r="O321" s="344"/>
      <c r="P321" s="344"/>
      <c r="Q321" s="344"/>
      <c r="R321" s="344"/>
      <c r="S321" s="344"/>
    </row>
    <row r="322" spans="1:19" s="343" customFormat="1" ht="19.5" customHeight="1">
      <c r="A322" s="342"/>
      <c r="B322" s="344"/>
      <c r="C322" s="344"/>
      <c r="D322" s="344"/>
      <c r="E322" s="344"/>
      <c r="F322" s="344"/>
      <c r="G322" s="344"/>
      <c r="H322" s="344"/>
      <c r="I322" s="344"/>
      <c r="J322" s="344"/>
      <c r="K322" s="344"/>
      <c r="L322" s="344"/>
      <c r="M322" s="344"/>
      <c r="N322" s="344"/>
      <c r="O322" s="344"/>
      <c r="P322" s="344"/>
      <c r="Q322" s="344"/>
      <c r="R322" s="344"/>
      <c r="S322" s="344"/>
    </row>
    <row r="323" ht="19.5" customHeight="1"/>
    <row r="324" ht="9.75" customHeight="1"/>
    <row r="325" ht="19.5" customHeight="1"/>
    <row r="326" ht="19.5" customHeight="1"/>
    <row r="327" ht="19.5" customHeight="1"/>
    <row r="328" spans="1:19" s="343" customFormat="1" ht="19.5" customHeight="1">
      <c r="A328" s="342"/>
      <c r="B328" s="344"/>
      <c r="C328" s="344"/>
      <c r="D328" s="344"/>
      <c r="E328" s="344"/>
      <c r="F328" s="344"/>
      <c r="G328" s="344"/>
      <c r="H328" s="344"/>
      <c r="I328" s="344"/>
      <c r="J328" s="344"/>
      <c r="K328" s="344"/>
      <c r="L328" s="344"/>
      <c r="M328" s="344"/>
      <c r="N328" s="344"/>
      <c r="O328" s="344"/>
      <c r="P328" s="344"/>
      <c r="Q328" s="344"/>
      <c r="R328" s="344"/>
      <c r="S328" s="344"/>
    </row>
    <row r="329" spans="1:19" s="343" customFormat="1" ht="19.5" customHeight="1">
      <c r="A329" s="342"/>
      <c r="B329" s="344"/>
      <c r="C329" s="344"/>
      <c r="D329" s="344"/>
      <c r="E329" s="344"/>
      <c r="F329" s="344"/>
      <c r="G329" s="344"/>
      <c r="H329" s="344"/>
      <c r="I329" s="344"/>
      <c r="J329" s="344"/>
      <c r="K329" s="344"/>
      <c r="L329" s="344"/>
      <c r="M329" s="344"/>
      <c r="N329" s="344"/>
      <c r="O329" s="344"/>
      <c r="P329" s="344"/>
      <c r="Q329" s="344"/>
      <c r="R329" s="344"/>
      <c r="S329" s="344"/>
    </row>
    <row r="330" spans="1:19" s="343" customFormat="1" ht="19.5" customHeight="1">
      <c r="A330" s="342"/>
      <c r="B330" s="344"/>
      <c r="C330" s="344"/>
      <c r="D330" s="344"/>
      <c r="E330" s="344"/>
      <c r="F330" s="344"/>
      <c r="G330" s="344"/>
      <c r="H330" s="344"/>
      <c r="I330" s="344"/>
      <c r="J330" s="344"/>
      <c r="K330" s="344"/>
      <c r="L330" s="344"/>
      <c r="M330" s="344"/>
      <c r="N330" s="344"/>
      <c r="O330" s="344"/>
      <c r="P330" s="344"/>
      <c r="Q330" s="344"/>
      <c r="R330" s="344"/>
      <c r="S330" s="344"/>
    </row>
    <row r="331" spans="1:19" s="343" customFormat="1" ht="19.5" customHeight="1">
      <c r="A331" s="342"/>
      <c r="B331" s="344"/>
      <c r="C331" s="344"/>
      <c r="D331" s="344"/>
      <c r="E331" s="344"/>
      <c r="F331" s="344"/>
      <c r="G331" s="344"/>
      <c r="H331" s="344"/>
      <c r="I331" s="344"/>
      <c r="J331" s="344"/>
      <c r="K331" s="344"/>
      <c r="L331" s="344"/>
      <c r="M331" s="344"/>
      <c r="N331" s="344"/>
      <c r="O331" s="344"/>
      <c r="P331" s="344"/>
      <c r="Q331" s="344"/>
      <c r="R331" s="344"/>
      <c r="S331" s="344"/>
    </row>
    <row r="332" spans="1:19" s="343" customFormat="1" ht="19.5" customHeight="1">
      <c r="A332" s="342"/>
      <c r="B332" s="344"/>
      <c r="C332" s="344"/>
      <c r="D332" s="344"/>
      <c r="E332" s="344"/>
      <c r="F332" s="344"/>
      <c r="G332" s="344"/>
      <c r="H332" s="344"/>
      <c r="I332" s="344"/>
      <c r="J332" s="344"/>
      <c r="K332" s="344"/>
      <c r="L332" s="344"/>
      <c r="M332" s="344"/>
      <c r="N332" s="344"/>
      <c r="O332" s="344"/>
      <c r="P332" s="344"/>
      <c r="Q332" s="344"/>
      <c r="R332" s="344"/>
      <c r="S332" s="344"/>
    </row>
    <row r="333" spans="1:19" s="343" customFormat="1" ht="19.5" customHeight="1">
      <c r="A333" s="342"/>
      <c r="B333" s="344"/>
      <c r="C333" s="344"/>
      <c r="D333" s="344"/>
      <c r="E333" s="344"/>
      <c r="F333" s="344"/>
      <c r="G333" s="344"/>
      <c r="H333" s="344"/>
      <c r="I333" s="344"/>
      <c r="J333" s="344"/>
      <c r="K333" s="344"/>
      <c r="L333" s="344"/>
      <c r="M333" s="344"/>
      <c r="N333" s="344"/>
      <c r="O333" s="344"/>
      <c r="P333" s="344"/>
      <c r="Q333" s="344"/>
      <c r="R333" s="344"/>
      <c r="S333" s="344"/>
    </row>
    <row r="334" spans="1:19" s="343" customFormat="1" ht="19.5" customHeight="1">
      <c r="A334" s="342"/>
      <c r="B334" s="344"/>
      <c r="C334" s="344"/>
      <c r="D334" s="344"/>
      <c r="E334" s="344"/>
      <c r="F334" s="344"/>
      <c r="G334" s="344"/>
      <c r="H334" s="344"/>
      <c r="I334" s="344"/>
      <c r="J334" s="344"/>
      <c r="K334" s="344"/>
      <c r="L334" s="344"/>
      <c r="M334" s="344"/>
      <c r="N334" s="344"/>
      <c r="O334" s="344"/>
      <c r="P334" s="344"/>
      <c r="Q334" s="344"/>
      <c r="R334" s="344"/>
      <c r="S334" s="344"/>
    </row>
    <row r="335" spans="1:19" s="343" customFormat="1" ht="19.5" customHeight="1">
      <c r="A335" s="342"/>
      <c r="B335" s="344"/>
      <c r="C335" s="344"/>
      <c r="D335" s="344"/>
      <c r="E335" s="344"/>
      <c r="F335" s="344"/>
      <c r="G335" s="344"/>
      <c r="H335" s="344"/>
      <c r="I335" s="344"/>
      <c r="J335" s="344"/>
      <c r="K335" s="344"/>
      <c r="L335" s="344"/>
      <c r="M335" s="344"/>
      <c r="N335" s="344"/>
      <c r="O335" s="344"/>
      <c r="P335" s="344"/>
      <c r="Q335" s="344"/>
      <c r="R335" s="344"/>
      <c r="S335" s="344"/>
    </row>
    <row r="336" spans="1:19" s="343" customFormat="1" ht="19.5" customHeight="1">
      <c r="A336" s="342"/>
      <c r="B336" s="344"/>
      <c r="C336" s="344"/>
      <c r="D336" s="344"/>
      <c r="E336" s="344"/>
      <c r="F336" s="344"/>
      <c r="G336" s="344"/>
      <c r="H336" s="344"/>
      <c r="I336" s="344"/>
      <c r="J336" s="344"/>
      <c r="K336" s="344"/>
      <c r="L336" s="344"/>
      <c r="M336" s="344"/>
      <c r="N336" s="344"/>
      <c r="O336" s="344"/>
      <c r="P336" s="344"/>
      <c r="Q336" s="344"/>
      <c r="R336" s="344"/>
      <c r="S336" s="344"/>
    </row>
    <row r="337" spans="1:19" s="343" customFormat="1" ht="19.5" customHeight="1">
      <c r="A337" s="342"/>
      <c r="B337" s="344"/>
      <c r="C337" s="344"/>
      <c r="D337" s="344"/>
      <c r="E337" s="344"/>
      <c r="F337" s="344"/>
      <c r="G337" s="344"/>
      <c r="H337" s="344"/>
      <c r="I337" s="344"/>
      <c r="J337" s="344"/>
      <c r="K337" s="344"/>
      <c r="L337" s="344"/>
      <c r="M337" s="344"/>
      <c r="N337" s="344"/>
      <c r="O337" s="344"/>
      <c r="P337" s="344"/>
      <c r="Q337" s="344"/>
      <c r="R337" s="344"/>
      <c r="S337" s="344"/>
    </row>
    <row r="338" spans="1:19" s="343" customFormat="1" ht="19.5" customHeight="1">
      <c r="A338" s="342"/>
      <c r="B338" s="344"/>
      <c r="C338" s="344"/>
      <c r="D338" s="344"/>
      <c r="E338" s="344"/>
      <c r="F338" s="344"/>
      <c r="G338" s="344"/>
      <c r="H338" s="344"/>
      <c r="I338" s="344"/>
      <c r="J338" s="344"/>
      <c r="K338" s="344"/>
      <c r="L338" s="344"/>
      <c r="M338" s="344"/>
      <c r="N338" s="344"/>
      <c r="O338" s="344"/>
      <c r="P338" s="344"/>
      <c r="Q338" s="344"/>
      <c r="R338" s="344"/>
      <c r="S338" s="344"/>
    </row>
    <row r="339" spans="1:19" s="343" customFormat="1" ht="19.5" customHeight="1">
      <c r="A339" s="342"/>
      <c r="B339" s="344"/>
      <c r="C339" s="344"/>
      <c r="D339" s="344"/>
      <c r="E339" s="344"/>
      <c r="F339" s="344"/>
      <c r="G339" s="344"/>
      <c r="H339" s="344"/>
      <c r="I339" s="344"/>
      <c r="J339" s="344"/>
      <c r="K339" s="344"/>
      <c r="L339" s="344"/>
      <c r="M339" s="344"/>
      <c r="N339" s="344"/>
      <c r="O339" s="344"/>
      <c r="P339" s="344"/>
      <c r="Q339" s="344"/>
      <c r="R339" s="344"/>
      <c r="S339" s="344"/>
    </row>
    <row r="340" spans="1:19" s="343" customFormat="1" ht="19.5" customHeight="1">
      <c r="A340" s="342"/>
      <c r="B340" s="344"/>
      <c r="C340" s="344"/>
      <c r="D340" s="344"/>
      <c r="E340" s="344"/>
      <c r="F340" s="344"/>
      <c r="G340" s="344"/>
      <c r="H340" s="344"/>
      <c r="I340" s="344"/>
      <c r="J340" s="344"/>
      <c r="K340" s="344"/>
      <c r="L340" s="344"/>
      <c r="M340" s="344"/>
      <c r="N340" s="344"/>
      <c r="O340" s="344"/>
      <c r="P340" s="344"/>
      <c r="Q340" s="344"/>
      <c r="R340" s="344"/>
      <c r="S340" s="344"/>
    </row>
    <row r="341" spans="1:19" s="343" customFormat="1" ht="19.5" customHeight="1">
      <c r="A341" s="342"/>
      <c r="B341" s="344"/>
      <c r="C341" s="344"/>
      <c r="D341" s="344"/>
      <c r="E341" s="344"/>
      <c r="F341" s="344"/>
      <c r="G341" s="344"/>
      <c r="H341" s="344"/>
      <c r="I341" s="344"/>
      <c r="J341" s="344"/>
      <c r="K341" s="344"/>
      <c r="L341" s="344"/>
      <c r="M341" s="344"/>
      <c r="N341" s="344"/>
      <c r="O341" s="344"/>
      <c r="P341" s="344"/>
      <c r="Q341" s="344"/>
      <c r="R341" s="344"/>
      <c r="S341" s="344"/>
    </row>
    <row r="342" spans="1:19" s="343" customFormat="1" ht="19.5" customHeight="1">
      <c r="A342" s="342"/>
      <c r="B342" s="344"/>
      <c r="C342" s="344"/>
      <c r="D342" s="344"/>
      <c r="E342" s="344"/>
      <c r="F342" s="344"/>
      <c r="G342" s="344"/>
      <c r="H342" s="344"/>
      <c r="I342" s="344"/>
      <c r="J342" s="344"/>
      <c r="K342" s="344"/>
      <c r="L342" s="344"/>
      <c r="M342" s="344"/>
      <c r="N342" s="344"/>
      <c r="O342" s="344"/>
      <c r="P342" s="344"/>
      <c r="Q342" s="344"/>
      <c r="R342" s="344"/>
      <c r="S342" s="344"/>
    </row>
    <row r="343" spans="1:19" s="343" customFormat="1" ht="19.5" customHeight="1">
      <c r="A343" s="342"/>
      <c r="B343" s="344"/>
      <c r="C343" s="344"/>
      <c r="D343" s="344"/>
      <c r="E343" s="344"/>
      <c r="F343" s="344"/>
      <c r="G343" s="344"/>
      <c r="H343" s="344"/>
      <c r="I343" s="344"/>
      <c r="J343" s="344"/>
      <c r="K343" s="344"/>
      <c r="L343" s="344"/>
      <c r="M343" s="344"/>
      <c r="N343" s="344"/>
      <c r="O343" s="344"/>
      <c r="P343" s="344"/>
      <c r="Q343" s="344"/>
      <c r="R343" s="344"/>
      <c r="S343" s="344"/>
    </row>
    <row r="344" spans="1:19" s="343" customFormat="1" ht="19.5" customHeight="1">
      <c r="A344" s="342"/>
      <c r="B344" s="344"/>
      <c r="C344" s="344"/>
      <c r="D344" s="344"/>
      <c r="E344" s="344"/>
      <c r="F344" s="344"/>
      <c r="G344" s="344"/>
      <c r="H344" s="344"/>
      <c r="I344" s="344"/>
      <c r="J344" s="344"/>
      <c r="K344" s="344"/>
      <c r="L344" s="344"/>
      <c r="M344" s="344"/>
      <c r="N344" s="344"/>
      <c r="O344" s="344"/>
      <c r="P344" s="344"/>
      <c r="Q344" s="344"/>
      <c r="R344" s="344"/>
      <c r="S344" s="344"/>
    </row>
    <row r="345" spans="1:19" s="343" customFormat="1" ht="19.5" customHeight="1">
      <c r="A345" s="342"/>
      <c r="B345" s="344"/>
      <c r="C345" s="344"/>
      <c r="D345" s="344"/>
      <c r="E345" s="344"/>
      <c r="F345" s="344"/>
      <c r="G345" s="344"/>
      <c r="H345" s="344"/>
      <c r="I345" s="344"/>
      <c r="J345" s="344"/>
      <c r="K345" s="344"/>
      <c r="L345" s="344"/>
      <c r="M345" s="344"/>
      <c r="N345" s="344"/>
      <c r="O345" s="344"/>
      <c r="P345" s="344"/>
      <c r="Q345" s="344"/>
      <c r="R345" s="344"/>
      <c r="S345" s="344"/>
    </row>
    <row r="346" spans="1:19" s="343" customFormat="1" ht="19.5" customHeight="1">
      <c r="A346" s="342"/>
      <c r="B346" s="344"/>
      <c r="C346" s="344"/>
      <c r="D346" s="344"/>
      <c r="E346" s="344"/>
      <c r="F346" s="344"/>
      <c r="G346" s="344"/>
      <c r="H346" s="344"/>
      <c r="I346" s="344"/>
      <c r="J346" s="344"/>
      <c r="K346" s="344"/>
      <c r="L346" s="344"/>
      <c r="M346" s="344"/>
      <c r="N346" s="344"/>
      <c r="O346" s="344"/>
      <c r="P346" s="344"/>
      <c r="Q346" s="344"/>
      <c r="R346" s="344"/>
      <c r="S346" s="344"/>
    </row>
    <row r="347" spans="1:19" s="343" customFormat="1" ht="19.5" customHeight="1">
      <c r="A347" s="342"/>
      <c r="B347" s="344"/>
      <c r="C347" s="344"/>
      <c r="D347" s="344"/>
      <c r="E347" s="344"/>
      <c r="F347" s="344"/>
      <c r="G347" s="344"/>
      <c r="H347" s="344"/>
      <c r="I347" s="344"/>
      <c r="J347" s="344"/>
      <c r="K347" s="344"/>
      <c r="L347" s="344"/>
      <c r="M347" s="344"/>
      <c r="N347" s="344"/>
      <c r="O347" s="344"/>
      <c r="P347" s="344"/>
      <c r="Q347" s="344"/>
      <c r="R347" s="344"/>
      <c r="S347" s="344"/>
    </row>
    <row r="348" spans="1:19" s="343" customFormat="1" ht="19.5" customHeight="1">
      <c r="A348" s="342"/>
      <c r="B348" s="344"/>
      <c r="C348" s="344"/>
      <c r="D348" s="344"/>
      <c r="E348" s="344"/>
      <c r="F348" s="344"/>
      <c r="G348" s="344"/>
      <c r="H348" s="344"/>
      <c r="I348" s="344"/>
      <c r="J348" s="344"/>
      <c r="K348" s="344"/>
      <c r="L348" s="344"/>
      <c r="M348" s="344"/>
      <c r="N348" s="344"/>
      <c r="O348" s="344"/>
      <c r="P348" s="344"/>
      <c r="Q348" s="344"/>
      <c r="R348" s="344"/>
      <c r="S348" s="344"/>
    </row>
    <row r="349" spans="1:19" s="343" customFormat="1" ht="19.5" customHeight="1">
      <c r="A349" s="342"/>
      <c r="B349" s="344"/>
      <c r="C349" s="344"/>
      <c r="D349" s="344"/>
      <c r="E349" s="344"/>
      <c r="F349" s="344"/>
      <c r="G349" s="344"/>
      <c r="H349" s="344"/>
      <c r="I349" s="344"/>
      <c r="J349" s="344"/>
      <c r="K349" s="344"/>
      <c r="L349" s="344"/>
      <c r="M349" s="344"/>
      <c r="N349" s="344"/>
      <c r="O349" s="344"/>
      <c r="P349" s="344"/>
      <c r="Q349" s="344"/>
      <c r="R349" s="344"/>
      <c r="S349" s="344"/>
    </row>
    <row r="350" spans="1:19" s="343" customFormat="1" ht="19.5" customHeight="1">
      <c r="A350" s="342"/>
      <c r="B350" s="344"/>
      <c r="C350" s="344"/>
      <c r="D350" s="344"/>
      <c r="E350" s="344"/>
      <c r="F350" s="344"/>
      <c r="G350" s="344"/>
      <c r="H350" s="344"/>
      <c r="I350" s="344"/>
      <c r="J350" s="344"/>
      <c r="K350" s="344"/>
      <c r="L350" s="344"/>
      <c r="M350" s="344"/>
      <c r="N350" s="344"/>
      <c r="O350" s="344"/>
      <c r="P350" s="344"/>
      <c r="Q350" s="344"/>
      <c r="R350" s="344"/>
      <c r="S350" s="344"/>
    </row>
    <row r="351" spans="1:19" s="343" customFormat="1" ht="19.5" customHeight="1">
      <c r="A351" s="342"/>
      <c r="B351" s="344"/>
      <c r="C351" s="344"/>
      <c r="D351" s="344"/>
      <c r="E351" s="344"/>
      <c r="F351" s="344"/>
      <c r="G351" s="344"/>
      <c r="H351" s="344"/>
      <c r="I351" s="344"/>
      <c r="J351" s="344"/>
      <c r="K351" s="344"/>
      <c r="L351" s="344"/>
      <c r="M351" s="344"/>
      <c r="N351" s="344"/>
      <c r="O351" s="344"/>
      <c r="P351" s="344"/>
      <c r="Q351" s="344"/>
      <c r="R351" s="344"/>
      <c r="S351" s="344"/>
    </row>
    <row r="352" spans="1:19" s="343" customFormat="1" ht="19.5" customHeight="1">
      <c r="A352" s="342"/>
      <c r="B352" s="344"/>
      <c r="C352" s="344"/>
      <c r="D352" s="344"/>
      <c r="E352" s="344"/>
      <c r="F352" s="344"/>
      <c r="G352" s="344"/>
      <c r="H352" s="344"/>
      <c r="I352" s="344"/>
      <c r="J352" s="344"/>
      <c r="K352" s="344"/>
      <c r="L352" s="344"/>
      <c r="M352" s="344"/>
      <c r="N352" s="344"/>
      <c r="O352" s="344"/>
      <c r="P352" s="344"/>
      <c r="Q352" s="344"/>
      <c r="R352" s="344"/>
      <c r="S352" s="344"/>
    </row>
    <row r="353" spans="1:19" s="343" customFormat="1" ht="19.5" customHeight="1">
      <c r="A353" s="342"/>
      <c r="B353" s="344"/>
      <c r="C353" s="344"/>
      <c r="D353" s="344"/>
      <c r="E353" s="344"/>
      <c r="F353" s="344"/>
      <c r="G353" s="344"/>
      <c r="H353" s="344"/>
      <c r="I353" s="344"/>
      <c r="J353" s="344"/>
      <c r="K353" s="344"/>
      <c r="L353" s="344"/>
      <c r="M353" s="344"/>
      <c r="N353" s="344"/>
      <c r="O353" s="344"/>
      <c r="P353" s="344"/>
      <c r="Q353" s="344"/>
      <c r="R353" s="344"/>
      <c r="S353" s="344"/>
    </row>
    <row r="354" spans="1:19" s="343" customFormat="1" ht="19.5" customHeight="1">
      <c r="A354" s="342"/>
      <c r="B354" s="344"/>
      <c r="C354" s="344"/>
      <c r="D354" s="344"/>
      <c r="E354" s="344"/>
      <c r="F354" s="344"/>
      <c r="G354" s="344"/>
      <c r="H354" s="344"/>
      <c r="I354" s="344"/>
      <c r="J354" s="344"/>
      <c r="K354" s="344"/>
      <c r="L354" s="344"/>
      <c r="M354" s="344"/>
      <c r="N354" s="344"/>
      <c r="O354" s="344"/>
      <c r="P354" s="344"/>
      <c r="Q354" s="344"/>
      <c r="R354" s="344"/>
      <c r="S354" s="344"/>
    </row>
    <row r="355" spans="1:19" s="343" customFormat="1" ht="19.5" customHeight="1">
      <c r="A355" s="342"/>
      <c r="B355" s="344"/>
      <c r="C355" s="344"/>
      <c r="D355" s="344"/>
      <c r="E355" s="344"/>
      <c r="F355" s="344"/>
      <c r="G355" s="344"/>
      <c r="H355" s="344"/>
      <c r="I355" s="344"/>
      <c r="J355" s="344"/>
      <c r="K355" s="344"/>
      <c r="L355" s="344"/>
      <c r="M355" s="344"/>
      <c r="N355" s="344"/>
      <c r="O355" s="344"/>
      <c r="P355" s="344"/>
      <c r="Q355" s="344"/>
      <c r="R355" s="344"/>
      <c r="S355" s="344"/>
    </row>
    <row r="356" spans="1:19" s="343" customFormat="1" ht="19.5" customHeight="1">
      <c r="A356" s="342"/>
      <c r="B356" s="344"/>
      <c r="C356" s="344"/>
      <c r="D356" s="344"/>
      <c r="E356" s="344"/>
      <c r="F356" s="344"/>
      <c r="G356" s="344"/>
      <c r="H356" s="344"/>
      <c r="I356" s="344"/>
      <c r="J356" s="344"/>
      <c r="K356" s="344"/>
      <c r="L356" s="344"/>
      <c r="M356" s="344"/>
      <c r="N356" s="344"/>
      <c r="O356" s="344"/>
      <c r="P356" s="344"/>
      <c r="Q356" s="344"/>
      <c r="R356" s="344"/>
      <c r="S356" s="344"/>
    </row>
    <row r="357" spans="1:19" s="343" customFormat="1" ht="19.5" customHeight="1">
      <c r="A357" s="342"/>
      <c r="B357" s="344"/>
      <c r="C357" s="344"/>
      <c r="D357" s="344"/>
      <c r="E357" s="344"/>
      <c r="F357" s="344"/>
      <c r="G357" s="344"/>
      <c r="H357" s="344"/>
      <c r="I357" s="344"/>
      <c r="J357" s="344"/>
      <c r="K357" s="344"/>
      <c r="L357" s="344"/>
      <c r="M357" s="344"/>
      <c r="N357" s="344"/>
      <c r="O357" s="344"/>
      <c r="P357" s="344"/>
      <c r="Q357" s="344"/>
      <c r="R357" s="344"/>
      <c r="S357" s="344"/>
    </row>
    <row r="358" spans="1:19" s="343" customFormat="1" ht="19.5" customHeight="1">
      <c r="A358" s="342"/>
      <c r="B358" s="344"/>
      <c r="C358" s="344"/>
      <c r="D358" s="344"/>
      <c r="E358" s="344"/>
      <c r="F358" s="344"/>
      <c r="G358" s="344"/>
      <c r="H358" s="344"/>
      <c r="I358" s="344"/>
      <c r="J358" s="344"/>
      <c r="K358" s="344"/>
      <c r="L358" s="344"/>
      <c r="M358" s="344"/>
      <c r="N358" s="344"/>
      <c r="O358" s="344"/>
      <c r="P358" s="344"/>
      <c r="Q358" s="344"/>
      <c r="R358" s="344"/>
      <c r="S358" s="344"/>
    </row>
    <row r="359" spans="1:19" s="343" customFormat="1" ht="19.5" customHeight="1">
      <c r="A359" s="342"/>
      <c r="B359" s="344"/>
      <c r="C359" s="344"/>
      <c r="D359" s="344"/>
      <c r="E359" s="344"/>
      <c r="F359" s="344"/>
      <c r="G359" s="344"/>
      <c r="H359" s="344"/>
      <c r="I359" s="344"/>
      <c r="J359" s="344"/>
      <c r="K359" s="344"/>
      <c r="L359" s="344"/>
      <c r="M359" s="344"/>
      <c r="N359" s="344"/>
      <c r="O359" s="344"/>
      <c r="P359" s="344"/>
      <c r="Q359" s="344"/>
      <c r="R359" s="344"/>
      <c r="S359" s="344"/>
    </row>
    <row r="360" spans="1:19" s="343" customFormat="1" ht="19.5" customHeight="1">
      <c r="A360" s="342"/>
      <c r="B360" s="344"/>
      <c r="C360" s="344"/>
      <c r="D360" s="344"/>
      <c r="E360" s="344"/>
      <c r="F360" s="344"/>
      <c r="G360" s="344"/>
      <c r="H360" s="344"/>
      <c r="I360" s="344"/>
      <c r="J360" s="344"/>
      <c r="K360" s="344"/>
      <c r="L360" s="344"/>
      <c r="M360" s="344"/>
      <c r="N360" s="344"/>
      <c r="O360" s="344"/>
      <c r="P360" s="344"/>
      <c r="Q360" s="344"/>
      <c r="R360" s="344"/>
      <c r="S360" s="344"/>
    </row>
    <row r="361" spans="1:19" s="343" customFormat="1" ht="19.5" customHeight="1">
      <c r="A361" s="342"/>
      <c r="B361" s="344"/>
      <c r="C361" s="344"/>
      <c r="D361" s="344"/>
      <c r="E361" s="344"/>
      <c r="F361" s="344"/>
      <c r="G361" s="344"/>
      <c r="H361" s="344"/>
      <c r="I361" s="344"/>
      <c r="J361" s="344"/>
      <c r="K361" s="344"/>
      <c r="L361" s="344"/>
      <c r="M361" s="344"/>
      <c r="N361" s="344"/>
      <c r="O361" s="344"/>
      <c r="P361" s="344"/>
      <c r="Q361" s="344"/>
      <c r="R361" s="344"/>
      <c r="S361" s="344"/>
    </row>
    <row r="362" spans="1:19" s="343" customFormat="1" ht="19.5" customHeight="1">
      <c r="A362" s="342"/>
      <c r="B362" s="344"/>
      <c r="C362" s="344"/>
      <c r="D362" s="344"/>
      <c r="E362" s="344"/>
      <c r="F362" s="344"/>
      <c r="G362" s="344"/>
      <c r="H362" s="344"/>
      <c r="I362" s="344"/>
      <c r="J362" s="344"/>
      <c r="K362" s="344"/>
      <c r="L362" s="344"/>
      <c r="M362" s="344"/>
      <c r="N362" s="344"/>
      <c r="O362" s="344"/>
      <c r="P362" s="344"/>
      <c r="Q362" s="344"/>
      <c r="R362" s="344"/>
      <c r="S362" s="344"/>
    </row>
    <row r="363" spans="1:19" s="343" customFormat="1" ht="19.5" customHeight="1">
      <c r="A363" s="342"/>
      <c r="B363" s="344"/>
      <c r="C363" s="344"/>
      <c r="D363" s="344"/>
      <c r="E363" s="344"/>
      <c r="F363" s="344"/>
      <c r="G363" s="344"/>
      <c r="H363" s="344"/>
      <c r="I363" s="344"/>
      <c r="J363" s="344"/>
      <c r="K363" s="344"/>
      <c r="L363" s="344"/>
      <c r="M363" s="344"/>
      <c r="N363" s="344"/>
      <c r="O363" s="344"/>
      <c r="P363" s="344"/>
      <c r="Q363" s="344"/>
      <c r="R363" s="344"/>
      <c r="S363" s="344"/>
    </row>
    <row r="364" spans="1:19" s="343" customFormat="1" ht="19.5" customHeight="1">
      <c r="A364" s="342"/>
      <c r="B364" s="344"/>
      <c r="C364" s="344"/>
      <c r="D364" s="344"/>
      <c r="E364" s="344"/>
      <c r="F364" s="344"/>
      <c r="G364" s="344"/>
      <c r="H364" s="344"/>
      <c r="I364" s="344"/>
      <c r="J364" s="344"/>
      <c r="K364" s="344"/>
      <c r="L364" s="344"/>
      <c r="M364" s="344"/>
      <c r="N364" s="344"/>
      <c r="O364" s="344"/>
      <c r="P364" s="344"/>
      <c r="Q364" s="344"/>
      <c r="R364" s="344"/>
      <c r="S364" s="344"/>
    </row>
    <row r="365" ht="19.5" customHeight="1"/>
    <row r="366" ht="9.75" customHeight="1"/>
    <row r="367" ht="19.5" customHeight="1"/>
    <row r="368" ht="19.5" customHeight="1"/>
    <row r="369" ht="19.5" customHeight="1"/>
    <row r="370" spans="1:19" s="343" customFormat="1" ht="19.5" customHeight="1">
      <c r="A370" s="342"/>
      <c r="B370" s="344"/>
      <c r="C370" s="344"/>
      <c r="D370" s="344"/>
      <c r="E370" s="344"/>
      <c r="F370" s="344"/>
      <c r="G370" s="344"/>
      <c r="H370" s="344"/>
      <c r="I370" s="344"/>
      <c r="J370" s="344"/>
      <c r="K370" s="344"/>
      <c r="L370" s="344"/>
      <c r="M370" s="344"/>
      <c r="N370" s="344"/>
      <c r="O370" s="344"/>
      <c r="P370" s="344"/>
      <c r="Q370" s="344"/>
      <c r="R370" s="344"/>
      <c r="S370" s="344"/>
    </row>
    <row r="371" spans="1:19" s="343" customFormat="1" ht="19.5" customHeight="1">
      <c r="A371" s="342"/>
      <c r="B371" s="344"/>
      <c r="C371" s="344"/>
      <c r="D371" s="344"/>
      <c r="E371" s="344"/>
      <c r="F371" s="344"/>
      <c r="G371" s="344"/>
      <c r="H371" s="344"/>
      <c r="I371" s="344"/>
      <c r="J371" s="344"/>
      <c r="K371" s="344"/>
      <c r="L371" s="344"/>
      <c r="M371" s="344"/>
      <c r="N371" s="344"/>
      <c r="O371" s="344"/>
      <c r="P371" s="344"/>
      <c r="Q371" s="344"/>
      <c r="R371" s="344"/>
      <c r="S371" s="344"/>
    </row>
    <row r="372" spans="1:19" s="343" customFormat="1" ht="19.5" customHeight="1">
      <c r="A372" s="342"/>
      <c r="B372" s="344"/>
      <c r="C372" s="344"/>
      <c r="D372" s="344"/>
      <c r="E372" s="344"/>
      <c r="F372" s="344"/>
      <c r="G372" s="344"/>
      <c r="H372" s="344"/>
      <c r="I372" s="344"/>
      <c r="J372" s="344"/>
      <c r="K372" s="344"/>
      <c r="L372" s="344"/>
      <c r="M372" s="344"/>
      <c r="N372" s="344"/>
      <c r="O372" s="344"/>
      <c r="P372" s="344"/>
      <c r="Q372" s="344"/>
      <c r="R372" s="344"/>
      <c r="S372" s="344"/>
    </row>
    <row r="373" spans="1:19" s="343" customFormat="1" ht="19.5" customHeight="1">
      <c r="A373" s="342"/>
      <c r="B373" s="344"/>
      <c r="C373" s="344"/>
      <c r="D373" s="344"/>
      <c r="E373" s="344"/>
      <c r="F373" s="344"/>
      <c r="G373" s="344"/>
      <c r="H373" s="344"/>
      <c r="I373" s="344"/>
      <c r="J373" s="344"/>
      <c r="K373" s="344"/>
      <c r="L373" s="344"/>
      <c r="M373" s="344"/>
      <c r="N373" s="344"/>
      <c r="O373" s="344"/>
      <c r="P373" s="344"/>
      <c r="Q373" s="344"/>
      <c r="R373" s="344"/>
      <c r="S373" s="344"/>
    </row>
    <row r="374" spans="1:19" s="343" customFormat="1" ht="19.5" customHeight="1">
      <c r="A374" s="342"/>
      <c r="B374" s="344"/>
      <c r="C374" s="344"/>
      <c r="D374" s="344"/>
      <c r="E374" s="344"/>
      <c r="F374" s="344"/>
      <c r="G374" s="344"/>
      <c r="H374" s="344"/>
      <c r="I374" s="344"/>
      <c r="J374" s="344"/>
      <c r="K374" s="344"/>
      <c r="L374" s="344"/>
      <c r="M374" s="344"/>
      <c r="N374" s="344"/>
      <c r="O374" s="344"/>
      <c r="P374" s="344"/>
      <c r="Q374" s="344"/>
      <c r="R374" s="344"/>
      <c r="S374" s="344"/>
    </row>
    <row r="375" spans="1:19" s="343" customFormat="1" ht="19.5" customHeight="1">
      <c r="A375" s="342"/>
      <c r="B375" s="344"/>
      <c r="C375" s="344"/>
      <c r="D375" s="344"/>
      <c r="E375" s="344"/>
      <c r="F375" s="344"/>
      <c r="G375" s="344"/>
      <c r="H375" s="344"/>
      <c r="I375" s="344"/>
      <c r="J375" s="344"/>
      <c r="K375" s="344"/>
      <c r="L375" s="344"/>
      <c r="M375" s="344"/>
      <c r="N375" s="344"/>
      <c r="O375" s="344"/>
      <c r="P375" s="344"/>
      <c r="Q375" s="344"/>
      <c r="R375" s="344"/>
      <c r="S375" s="344"/>
    </row>
    <row r="376" spans="1:19" s="343" customFormat="1" ht="19.5" customHeight="1">
      <c r="A376" s="342"/>
      <c r="B376" s="344"/>
      <c r="C376" s="344"/>
      <c r="D376" s="344"/>
      <c r="E376" s="344"/>
      <c r="F376" s="344"/>
      <c r="G376" s="344"/>
      <c r="H376" s="344"/>
      <c r="I376" s="344"/>
      <c r="J376" s="344"/>
      <c r="K376" s="344"/>
      <c r="L376" s="344"/>
      <c r="M376" s="344"/>
      <c r="N376" s="344"/>
      <c r="O376" s="344"/>
      <c r="P376" s="344"/>
      <c r="Q376" s="344"/>
      <c r="R376" s="344"/>
      <c r="S376" s="344"/>
    </row>
    <row r="377" spans="1:19" s="343" customFormat="1" ht="19.5" customHeight="1">
      <c r="A377" s="342"/>
      <c r="B377" s="344"/>
      <c r="C377" s="344"/>
      <c r="D377" s="344"/>
      <c r="E377" s="344"/>
      <c r="F377" s="344"/>
      <c r="G377" s="344"/>
      <c r="H377" s="344"/>
      <c r="I377" s="344"/>
      <c r="J377" s="344"/>
      <c r="K377" s="344"/>
      <c r="L377" s="344"/>
      <c r="M377" s="344"/>
      <c r="N377" s="344"/>
      <c r="O377" s="344"/>
      <c r="P377" s="344"/>
      <c r="Q377" s="344"/>
      <c r="R377" s="344"/>
      <c r="S377" s="344"/>
    </row>
    <row r="378" spans="1:19" s="343" customFormat="1" ht="19.5" customHeight="1">
      <c r="A378" s="342"/>
      <c r="B378" s="344"/>
      <c r="C378" s="344"/>
      <c r="D378" s="344"/>
      <c r="E378" s="344"/>
      <c r="F378" s="344"/>
      <c r="G378" s="344"/>
      <c r="H378" s="344"/>
      <c r="I378" s="344"/>
      <c r="J378" s="344"/>
      <c r="K378" s="344"/>
      <c r="L378" s="344"/>
      <c r="M378" s="344"/>
      <c r="N378" s="344"/>
      <c r="O378" s="344"/>
      <c r="P378" s="344"/>
      <c r="Q378" s="344"/>
      <c r="R378" s="344"/>
      <c r="S378" s="344"/>
    </row>
    <row r="379" spans="1:19" s="343" customFormat="1" ht="19.5" customHeight="1">
      <c r="A379" s="342"/>
      <c r="B379" s="344"/>
      <c r="C379" s="344"/>
      <c r="D379" s="344"/>
      <c r="E379" s="344"/>
      <c r="F379" s="344"/>
      <c r="G379" s="344"/>
      <c r="H379" s="344"/>
      <c r="I379" s="344"/>
      <c r="J379" s="344"/>
      <c r="K379" s="344"/>
      <c r="L379" s="344"/>
      <c r="M379" s="344"/>
      <c r="N379" s="344"/>
      <c r="O379" s="344"/>
      <c r="P379" s="344"/>
      <c r="Q379" s="344"/>
      <c r="R379" s="344"/>
      <c r="S379" s="344"/>
    </row>
    <row r="380" spans="1:19" s="343" customFormat="1" ht="19.5" customHeight="1">
      <c r="A380" s="342"/>
      <c r="B380" s="344"/>
      <c r="C380" s="344"/>
      <c r="D380" s="344"/>
      <c r="E380" s="344"/>
      <c r="F380" s="344"/>
      <c r="G380" s="344"/>
      <c r="H380" s="344"/>
      <c r="I380" s="344"/>
      <c r="J380" s="344"/>
      <c r="K380" s="344"/>
      <c r="L380" s="344"/>
      <c r="M380" s="344"/>
      <c r="N380" s="344"/>
      <c r="O380" s="344"/>
      <c r="P380" s="344"/>
      <c r="Q380" s="344"/>
      <c r="R380" s="344"/>
      <c r="S380" s="344"/>
    </row>
    <row r="381" spans="1:19" s="343" customFormat="1" ht="19.5" customHeight="1">
      <c r="A381" s="342"/>
      <c r="B381" s="344"/>
      <c r="C381" s="344"/>
      <c r="D381" s="344"/>
      <c r="E381" s="344"/>
      <c r="F381" s="344"/>
      <c r="G381" s="344"/>
      <c r="H381" s="344"/>
      <c r="I381" s="344"/>
      <c r="J381" s="344"/>
      <c r="K381" s="344"/>
      <c r="L381" s="344"/>
      <c r="M381" s="344"/>
      <c r="N381" s="344"/>
      <c r="O381" s="344"/>
      <c r="P381" s="344"/>
      <c r="Q381" s="344"/>
      <c r="R381" s="344"/>
      <c r="S381" s="344"/>
    </row>
    <row r="382" spans="1:19" s="343" customFormat="1" ht="19.5" customHeight="1">
      <c r="A382" s="342"/>
      <c r="B382" s="344"/>
      <c r="C382" s="344"/>
      <c r="D382" s="344"/>
      <c r="E382" s="344"/>
      <c r="F382" s="344"/>
      <c r="G382" s="344"/>
      <c r="H382" s="344"/>
      <c r="I382" s="344"/>
      <c r="J382" s="344"/>
      <c r="K382" s="344"/>
      <c r="L382" s="344"/>
      <c r="M382" s="344"/>
      <c r="N382" s="344"/>
      <c r="O382" s="344"/>
      <c r="P382" s="344"/>
      <c r="Q382" s="344"/>
      <c r="R382" s="344"/>
      <c r="S382" s="344"/>
    </row>
    <row r="383" spans="1:19" s="343" customFormat="1" ht="19.5" customHeight="1">
      <c r="A383" s="342"/>
      <c r="B383" s="344"/>
      <c r="C383" s="344"/>
      <c r="D383" s="344"/>
      <c r="E383" s="344"/>
      <c r="F383" s="344"/>
      <c r="G383" s="344"/>
      <c r="H383" s="344"/>
      <c r="I383" s="344"/>
      <c r="J383" s="344"/>
      <c r="K383" s="344"/>
      <c r="L383" s="344"/>
      <c r="M383" s="344"/>
      <c r="N383" s="344"/>
      <c r="O383" s="344"/>
      <c r="P383" s="344"/>
      <c r="Q383" s="344"/>
      <c r="R383" s="344"/>
      <c r="S383" s="344"/>
    </row>
    <row r="384" spans="1:19" s="343" customFormat="1" ht="19.5" customHeight="1">
      <c r="A384" s="342"/>
      <c r="B384" s="344"/>
      <c r="C384" s="344"/>
      <c r="D384" s="344"/>
      <c r="E384" s="344"/>
      <c r="F384" s="344"/>
      <c r="G384" s="344"/>
      <c r="H384" s="344"/>
      <c r="I384" s="344"/>
      <c r="J384" s="344"/>
      <c r="K384" s="344"/>
      <c r="L384" s="344"/>
      <c r="M384" s="344"/>
      <c r="N384" s="344"/>
      <c r="O384" s="344"/>
      <c r="P384" s="344"/>
      <c r="Q384" s="344"/>
      <c r="R384" s="344"/>
      <c r="S384" s="344"/>
    </row>
    <row r="385" spans="1:19" s="343" customFormat="1" ht="19.5" customHeight="1">
      <c r="A385" s="342"/>
      <c r="B385" s="344"/>
      <c r="C385" s="344"/>
      <c r="D385" s="344"/>
      <c r="E385" s="344"/>
      <c r="F385" s="344"/>
      <c r="G385" s="344"/>
      <c r="H385" s="344"/>
      <c r="I385" s="344"/>
      <c r="J385" s="344"/>
      <c r="K385" s="344"/>
      <c r="L385" s="344"/>
      <c r="M385" s="344"/>
      <c r="N385" s="344"/>
      <c r="O385" s="344"/>
      <c r="P385" s="344"/>
      <c r="Q385" s="344"/>
      <c r="R385" s="344"/>
      <c r="S385" s="344"/>
    </row>
    <row r="386" spans="1:19" s="343" customFormat="1" ht="19.5" customHeight="1">
      <c r="A386" s="342"/>
      <c r="B386" s="344"/>
      <c r="C386" s="344"/>
      <c r="D386" s="344"/>
      <c r="E386" s="344"/>
      <c r="F386" s="344"/>
      <c r="G386" s="344"/>
      <c r="H386" s="344"/>
      <c r="I386" s="344"/>
      <c r="J386" s="344"/>
      <c r="K386" s="344"/>
      <c r="L386" s="344"/>
      <c r="M386" s="344"/>
      <c r="N386" s="344"/>
      <c r="O386" s="344"/>
      <c r="P386" s="344"/>
      <c r="Q386" s="344"/>
      <c r="R386" s="344"/>
      <c r="S386" s="344"/>
    </row>
    <row r="387" spans="1:19" s="343" customFormat="1" ht="19.5" customHeight="1">
      <c r="A387" s="342"/>
      <c r="B387" s="344"/>
      <c r="C387" s="344"/>
      <c r="D387" s="344"/>
      <c r="E387" s="344"/>
      <c r="F387" s="344"/>
      <c r="G387" s="344"/>
      <c r="H387" s="344"/>
      <c r="I387" s="344"/>
      <c r="J387" s="344"/>
      <c r="K387" s="344"/>
      <c r="L387" s="344"/>
      <c r="M387" s="344"/>
      <c r="N387" s="344"/>
      <c r="O387" s="344"/>
      <c r="P387" s="344"/>
      <c r="Q387" s="344"/>
      <c r="R387" s="344"/>
      <c r="S387" s="344"/>
    </row>
    <row r="388" spans="1:19" s="343" customFormat="1" ht="19.5" customHeight="1">
      <c r="A388" s="342"/>
      <c r="B388" s="344"/>
      <c r="C388" s="344"/>
      <c r="D388" s="344"/>
      <c r="E388" s="344"/>
      <c r="F388" s="344"/>
      <c r="G388" s="344"/>
      <c r="H388" s="344"/>
      <c r="I388" s="344"/>
      <c r="J388" s="344"/>
      <c r="K388" s="344"/>
      <c r="L388" s="344"/>
      <c r="M388" s="344"/>
      <c r="N388" s="344"/>
      <c r="O388" s="344"/>
      <c r="P388" s="344"/>
      <c r="Q388" s="344"/>
      <c r="R388" s="344"/>
      <c r="S388" s="344"/>
    </row>
    <row r="389" spans="1:19" s="343" customFormat="1" ht="19.5" customHeight="1">
      <c r="A389" s="342"/>
      <c r="B389" s="344"/>
      <c r="C389" s="344"/>
      <c r="D389" s="344"/>
      <c r="E389" s="344"/>
      <c r="F389" s="344"/>
      <c r="G389" s="344"/>
      <c r="H389" s="344"/>
      <c r="I389" s="344"/>
      <c r="J389" s="344"/>
      <c r="K389" s="344"/>
      <c r="L389" s="344"/>
      <c r="M389" s="344"/>
      <c r="N389" s="344"/>
      <c r="O389" s="344"/>
      <c r="P389" s="344"/>
      <c r="Q389" s="344"/>
      <c r="R389" s="344"/>
      <c r="S389" s="344"/>
    </row>
    <row r="390" spans="1:19" s="343" customFormat="1" ht="19.5" customHeight="1">
      <c r="A390" s="342"/>
      <c r="B390" s="344"/>
      <c r="C390" s="344"/>
      <c r="D390" s="344"/>
      <c r="E390" s="344"/>
      <c r="F390" s="344"/>
      <c r="G390" s="344"/>
      <c r="H390" s="344"/>
      <c r="I390" s="344"/>
      <c r="J390" s="344"/>
      <c r="K390" s="344"/>
      <c r="L390" s="344"/>
      <c r="M390" s="344"/>
      <c r="N390" s="344"/>
      <c r="O390" s="344"/>
      <c r="P390" s="344"/>
      <c r="Q390" s="344"/>
      <c r="R390" s="344"/>
      <c r="S390" s="344"/>
    </row>
    <row r="391" spans="1:19" s="343" customFormat="1" ht="19.5" customHeight="1">
      <c r="A391" s="342"/>
      <c r="B391" s="344"/>
      <c r="C391" s="344"/>
      <c r="D391" s="344"/>
      <c r="E391" s="344"/>
      <c r="F391" s="344"/>
      <c r="G391" s="344"/>
      <c r="H391" s="344"/>
      <c r="I391" s="344"/>
      <c r="J391" s="344"/>
      <c r="K391" s="344"/>
      <c r="L391" s="344"/>
      <c r="M391" s="344"/>
      <c r="N391" s="344"/>
      <c r="O391" s="344"/>
      <c r="P391" s="344"/>
      <c r="Q391" s="344"/>
      <c r="R391" s="344"/>
      <c r="S391" s="344"/>
    </row>
    <row r="392" spans="1:19" s="343" customFormat="1" ht="19.5" customHeight="1">
      <c r="A392" s="342"/>
      <c r="B392" s="344"/>
      <c r="C392" s="344"/>
      <c r="D392" s="344"/>
      <c r="E392" s="344"/>
      <c r="F392" s="344"/>
      <c r="G392" s="344"/>
      <c r="H392" s="344"/>
      <c r="I392" s="344"/>
      <c r="J392" s="344"/>
      <c r="K392" s="344"/>
      <c r="L392" s="344"/>
      <c r="M392" s="344"/>
      <c r="N392" s="344"/>
      <c r="O392" s="344"/>
      <c r="P392" s="344"/>
      <c r="Q392" s="344"/>
      <c r="R392" s="344"/>
      <c r="S392" s="344"/>
    </row>
    <row r="393" spans="1:19" s="343" customFormat="1" ht="19.5" customHeight="1">
      <c r="A393" s="342"/>
      <c r="B393" s="344"/>
      <c r="C393" s="344"/>
      <c r="D393" s="344"/>
      <c r="E393" s="344"/>
      <c r="F393" s="344"/>
      <c r="G393" s="344"/>
      <c r="H393" s="344"/>
      <c r="I393" s="344"/>
      <c r="J393" s="344"/>
      <c r="K393" s="344"/>
      <c r="L393" s="344"/>
      <c r="M393" s="344"/>
      <c r="N393" s="344"/>
      <c r="O393" s="344"/>
      <c r="P393" s="344"/>
      <c r="Q393" s="344"/>
      <c r="R393" s="344"/>
      <c r="S393" s="344"/>
    </row>
    <row r="394" spans="1:19" s="343" customFormat="1" ht="19.5" customHeight="1">
      <c r="A394" s="342"/>
      <c r="B394" s="344"/>
      <c r="C394" s="344"/>
      <c r="D394" s="344"/>
      <c r="E394" s="344"/>
      <c r="F394" s="344"/>
      <c r="G394" s="344"/>
      <c r="H394" s="344"/>
      <c r="I394" s="344"/>
      <c r="J394" s="344"/>
      <c r="K394" s="344"/>
      <c r="L394" s="344"/>
      <c r="M394" s="344"/>
      <c r="N394" s="344"/>
      <c r="O394" s="344"/>
      <c r="P394" s="344"/>
      <c r="Q394" s="344"/>
      <c r="R394" s="344"/>
      <c r="S394" s="344"/>
    </row>
    <row r="395" spans="1:19" s="343" customFormat="1" ht="19.5" customHeight="1">
      <c r="A395" s="342"/>
      <c r="B395" s="344"/>
      <c r="C395" s="344"/>
      <c r="D395" s="344"/>
      <c r="E395" s="344"/>
      <c r="F395" s="344"/>
      <c r="G395" s="344"/>
      <c r="H395" s="344"/>
      <c r="I395" s="344"/>
      <c r="J395" s="344"/>
      <c r="K395" s="344"/>
      <c r="L395" s="344"/>
      <c r="M395" s="344"/>
      <c r="N395" s="344"/>
      <c r="O395" s="344"/>
      <c r="P395" s="344"/>
      <c r="Q395" s="344"/>
      <c r="R395" s="344"/>
      <c r="S395" s="344"/>
    </row>
    <row r="396" spans="1:19" s="343" customFormat="1" ht="19.5" customHeight="1">
      <c r="A396" s="342"/>
      <c r="B396" s="344"/>
      <c r="C396" s="344"/>
      <c r="D396" s="344"/>
      <c r="E396" s="344"/>
      <c r="F396" s="344"/>
      <c r="G396" s="344"/>
      <c r="H396" s="344"/>
      <c r="I396" s="344"/>
      <c r="J396" s="344"/>
      <c r="K396" s="344"/>
      <c r="L396" s="344"/>
      <c r="M396" s="344"/>
      <c r="N396" s="344"/>
      <c r="O396" s="344"/>
      <c r="P396" s="344"/>
      <c r="Q396" s="344"/>
      <c r="R396" s="344"/>
      <c r="S396" s="344"/>
    </row>
    <row r="397" spans="1:19" s="343" customFormat="1" ht="19.5" customHeight="1">
      <c r="A397" s="342"/>
      <c r="B397" s="344"/>
      <c r="C397" s="344"/>
      <c r="D397" s="344"/>
      <c r="E397" s="344"/>
      <c r="F397" s="344"/>
      <c r="G397" s="344"/>
      <c r="H397" s="344"/>
      <c r="I397" s="344"/>
      <c r="J397" s="344"/>
      <c r="K397" s="344"/>
      <c r="L397" s="344"/>
      <c r="M397" s="344"/>
      <c r="N397" s="344"/>
      <c r="O397" s="344"/>
      <c r="P397" s="344"/>
      <c r="Q397" s="344"/>
      <c r="R397" s="344"/>
      <c r="S397" s="344"/>
    </row>
    <row r="398" spans="1:19" s="343" customFormat="1" ht="19.5" customHeight="1">
      <c r="A398" s="342"/>
      <c r="B398" s="344"/>
      <c r="C398" s="344"/>
      <c r="D398" s="344"/>
      <c r="E398" s="344"/>
      <c r="F398" s="344"/>
      <c r="G398" s="344"/>
      <c r="H398" s="344"/>
      <c r="I398" s="344"/>
      <c r="J398" s="344"/>
      <c r="K398" s="344"/>
      <c r="L398" s="344"/>
      <c r="M398" s="344"/>
      <c r="N398" s="344"/>
      <c r="O398" s="344"/>
      <c r="P398" s="344"/>
      <c r="Q398" s="344"/>
      <c r="R398" s="344"/>
      <c r="S398" s="344"/>
    </row>
    <row r="399" spans="1:19" s="343" customFormat="1" ht="19.5" customHeight="1">
      <c r="A399" s="342"/>
      <c r="B399" s="344"/>
      <c r="C399" s="344"/>
      <c r="D399" s="344"/>
      <c r="E399" s="344"/>
      <c r="F399" s="344"/>
      <c r="G399" s="344"/>
      <c r="H399" s="344"/>
      <c r="I399" s="344"/>
      <c r="J399" s="344"/>
      <c r="K399" s="344"/>
      <c r="L399" s="344"/>
      <c r="M399" s="344"/>
      <c r="N399" s="344"/>
      <c r="O399" s="344"/>
      <c r="P399" s="344"/>
      <c r="Q399" s="344"/>
      <c r="R399" s="344"/>
      <c r="S399" s="344"/>
    </row>
    <row r="400" spans="1:19" s="343" customFormat="1" ht="19.5" customHeight="1">
      <c r="A400" s="342"/>
      <c r="B400" s="344"/>
      <c r="C400" s="344"/>
      <c r="D400" s="344"/>
      <c r="E400" s="344"/>
      <c r="F400" s="344"/>
      <c r="G400" s="344"/>
      <c r="H400" s="344"/>
      <c r="I400" s="344"/>
      <c r="J400" s="344"/>
      <c r="K400" s="344"/>
      <c r="L400" s="344"/>
      <c r="M400" s="344"/>
      <c r="N400" s="344"/>
      <c r="O400" s="344"/>
      <c r="P400" s="344"/>
      <c r="Q400" s="344"/>
      <c r="R400" s="344"/>
      <c r="S400" s="344"/>
    </row>
    <row r="401" spans="1:19" s="343" customFormat="1" ht="19.5" customHeight="1">
      <c r="A401" s="342"/>
      <c r="B401" s="344"/>
      <c r="C401" s="344"/>
      <c r="D401" s="344"/>
      <c r="E401" s="344"/>
      <c r="F401" s="344"/>
      <c r="G401" s="344"/>
      <c r="H401" s="344"/>
      <c r="I401" s="344"/>
      <c r="J401" s="344"/>
      <c r="K401" s="344"/>
      <c r="L401" s="344"/>
      <c r="M401" s="344"/>
      <c r="N401" s="344"/>
      <c r="O401" s="344"/>
      <c r="P401" s="344"/>
      <c r="Q401" s="344"/>
      <c r="R401" s="344"/>
      <c r="S401" s="344"/>
    </row>
    <row r="402" spans="1:19" s="343" customFormat="1" ht="19.5" customHeight="1">
      <c r="A402" s="342"/>
      <c r="B402" s="344"/>
      <c r="C402" s="344"/>
      <c r="D402" s="344"/>
      <c r="E402" s="344"/>
      <c r="F402" s="344"/>
      <c r="G402" s="344"/>
      <c r="H402" s="344"/>
      <c r="I402" s="344"/>
      <c r="J402" s="344"/>
      <c r="K402" s="344"/>
      <c r="L402" s="344"/>
      <c r="M402" s="344"/>
      <c r="N402" s="344"/>
      <c r="O402" s="344"/>
      <c r="P402" s="344"/>
      <c r="Q402" s="344"/>
      <c r="R402" s="344"/>
      <c r="S402" s="344"/>
    </row>
    <row r="403" spans="1:19" s="343" customFormat="1" ht="19.5" customHeight="1">
      <c r="A403" s="342"/>
      <c r="B403" s="344"/>
      <c r="C403" s="344"/>
      <c r="D403" s="344"/>
      <c r="E403" s="344"/>
      <c r="F403" s="344"/>
      <c r="G403" s="344"/>
      <c r="H403" s="344"/>
      <c r="I403" s="344"/>
      <c r="J403" s="344"/>
      <c r="K403" s="344"/>
      <c r="L403" s="344"/>
      <c r="M403" s="344"/>
      <c r="N403" s="344"/>
      <c r="O403" s="344"/>
      <c r="P403" s="344"/>
      <c r="Q403" s="344"/>
      <c r="R403" s="344"/>
      <c r="S403" s="344"/>
    </row>
    <row r="404" spans="1:19" s="343" customFormat="1" ht="19.5" customHeight="1">
      <c r="A404" s="342"/>
      <c r="B404" s="344"/>
      <c r="C404" s="344"/>
      <c r="D404" s="344"/>
      <c r="E404" s="344"/>
      <c r="F404" s="344"/>
      <c r="G404" s="344"/>
      <c r="H404" s="344"/>
      <c r="I404" s="344"/>
      <c r="J404" s="344"/>
      <c r="K404" s="344"/>
      <c r="L404" s="344"/>
      <c r="M404" s="344"/>
      <c r="N404" s="344"/>
      <c r="O404" s="344"/>
      <c r="P404" s="344"/>
      <c r="Q404" s="344"/>
      <c r="R404" s="344"/>
      <c r="S404" s="344"/>
    </row>
    <row r="405" spans="1:19" s="343" customFormat="1" ht="19.5" customHeight="1">
      <c r="A405" s="342"/>
      <c r="B405" s="344"/>
      <c r="C405" s="344"/>
      <c r="D405" s="344"/>
      <c r="E405" s="344"/>
      <c r="F405" s="344"/>
      <c r="G405" s="344"/>
      <c r="H405" s="344"/>
      <c r="I405" s="344"/>
      <c r="J405" s="344"/>
      <c r="K405" s="344"/>
      <c r="L405" s="344"/>
      <c r="M405" s="344"/>
      <c r="N405" s="344"/>
      <c r="O405" s="344"/>
      <c r="P405" s="344"/>
      <c r="Q405" s="344"/>
      <c r="R405" s="344"/>
      <c r="S405" s="344"/>
    </row>
    <row r="406" spans="1:19" s="343" customFormat="1" ht="19.5" customHeight="1">
      <c r="A406" s="342"/>
      <c r="B406" s="344"/>
      <c r="C406" s="344"/>
      <c r="D406" s="344"/>
      <c r="E406" s="344"/>
      <c r="F406" s="344"/>
      <c r="G406" s="344"/>
      <c r="H406" s="344"/>
      <c r="I406" s="344"/>
      <c r="J406" s="344"/>
      <c r="K406" s="344"/>
      <c r="L406" s="344"/>
      <c r="M406" s="344"/>
      <c r="N406" s="344"/>
      <c r="O406" s="344"/>
      <c r="P406" s="344"/>
      <c r="Q406" s="344"/>
      <c r="R406" s="344"/>
      <c r="S406" s="344"/>
    </row>
    <row r="407" ht="19.5" customHeight="1"/>
    <row r="408" ht="9.75" customHeight="1"/>
    <row r="409" ht="19.5" customHeight="1"/>
    <row r="410" ht="19.5" customHeight="1"/>
    <row r="411" ht="19.5" customHeight="1"/>
    <row r="412" spans="1:19" s="343" customFormat="1" ht="19.5" customHeight="1">
      <c r="A412" s="342"/>
      <c r="B412" s="344"/>
      <c r="C412" s="344"/>
      <c r="D412" s="344"/>
      <c r="E412" s="344"/>
      <c r="F412" s="344"/>
      <c r="G412" s="344"/>
      <c r="H412" s="344"/>
      <c r="I412" s="344"/>
      <c r="J412" s="344"/>
      <c r="K412" s="344"/>
      <c r="L412" s="344"/>
      <c r="M412" s="344"/>
      <c r="N412" s="344"/>
      <c r="O412" s="344"/>
      <c r="P412" s="344"/>
      <c r="Q412" s="344"/>
      <c r="R412" s="344"/>
      <c r="S412" s="344"/>
    </row>
    <row r="413" spans="1:19" s="343" customFormat="1" ht="19.5" customHeight="1">
      <c r="A413" s="342"/>
      <c r="B413" s="344"/>
      <c r="C413" s="344"/>
      <c r="D413" s="344"/>
      <c r="E413" s="344"/>
      <c r="F413" s="344"/>
      <c r="G413" s="344"/>
      <c r="H413" s="344"/>
      <c r="I413" s="344"/>
      <c r="J413" s="344"/>
      <c r="K413" s="344"/>
      <c r="L413" s="344"/>
      <c r="M413" s="344"/>
      <c r="N413" s="344"/>
      <c r="O413" s="344"/>
      <c r="P413" s="344"/>
      <c r="Q413" s="344"/>
      <c r="R413" s="344"/>
      <c r="S413" s="344"/>
    </row>
    <row r="414" spans="1:19" s="343" customFormat="1" ht="19.5" customHeight="1">
      <c r="A414" s="342"/>
      <c r="B414" s="344"/>
      <c r="C414" s="344"/>
      <c r="D414" s="344"/>
      <c r="E414" s="344"/>
      <c r="F414" s="344"/>
      <c r="G414" s="344"/>
      <c r="H414" s="344"/>
      <c r="I414" s="344"/>
      <c r="J414" s="344"/>
      <c r="K414" s="344"/>
      <c r="L414" s="344"/>
      <c r="M414" s="344"/>
      <c r="N414" s="344"/>
      <c r="O414" s="344"/>
      <c r="P414" s="344"/>
      <c r="Q414" s="344"/>
      <c r="R414" s="344"/>
      <c r="S414" s="344"/>
    </row>
    <row r="415" spans="1:19" s="343" customFormat="1" ht="19.5" customHeight="1">
      <c r="A415" s="342"/>
      <c r="B415" s="344"/>
      <c r="C415" s="344"/>
      <c r="D415" s="344"/>
      <c r="E415" s="344"/>
      <c r="F415" s="344"/>
      <c r="G415" s="344"/>
      <c r="H415" s="344"/>
      <c r="I415" s="344"/>
      <c r="J415" s="344"/>
      <c r="K415" s="344"/>
      <c r="L415" s="344"/>
      <c r="M415" s="344"/>
      <c r="N415" s="344"/>
      <c r="O415" s="344"/>
      <c r="P415" s="344"/>
      <c r="Q415" s="344"/>
      <c r="R415" s="344"/>
      <c r="S415" s="344"/>
    </row>
    <row r="416" spans="1:19" s="343" customFormat="1" ht="19.5" customHeight="1">
      <c r="A416" s="342"/>
      <c r="B416" s="344"/>
      <c r="C416" s="344"/>
      <c r="D416" s="344"/>
      <c r="E416" s="344"/>
      <c r="F416" s="344"/>
      <c r="G416" s="344"/>
      <c r="H416" s="344"/>
      <c r="I416" s="344"/>
      <c r="J416" s="344"/>
      <c r="K416" s="344"/>
      <c r="L416" s="344"/>
      <c r="M416" s="344"/>
      <c r="N416" s="344"/>
      <c r="O416" s="344"/>
      <c r="P416" s="344"/>
      <c r="Q416" s="344"/>
      <c r="R416" s="344"/>
      <c r="S416" s="344"/>
    </row>
    <row r="417" spans="1:19" s="343" customFormat="1" ht="19.5" customHeight="1">
      <c r="A417" s="342"/>
      <c r="B417" s="344"/>
      <c r="C417" s="344"/>
      <c r="D417" s="344"/>
      <c r="E417" s="344"/>
      <c r="F417" s="344"/>
      <c r="G417" s="344"/>
      <c r="H417" s="344"/>
      <c r="I417" s="344"/>
      <c r="J417" s="344"/>
      <c r="K417" s="344"/>
      <c r="L417" s="344"/>
      <c r="M417" s="344"/>
      <c r="N417" s="344"/>
      <c r="O417" s="344"/>
      <c r="P417" s="344"/>
      <c r="Q417" s="344"/>
      <c r="R417" s="344"/>
      <c r="S417" s="344"/>
    </row>
    <row r="418" spans="1:19" s="343" customFormat="1" ht="19.5" customHeight="1">
      <c r="A418" s="342"/>
      <c r="B418" s="344"/>
      <c r="C418" s="344"/>
      <c r="D418" s="344"/>
      <c r="E418" s="344"/>
      <c r="F418" s="344"/>
      <c r="G418" s="344"/>
      <c r="H418" s="344"/>
      <c r="I418" s="344"/>
      <c r="J418" s="344"/>
      <c r="K418" s="344"/>
      <c r="L418" s="344"/>
      <c r="M418" s="344"/>
      <c r="N418" s="344"/>
      <c r="O418" s="344"/>
      <c r="P418" s="344"/>
      <c r="Q418" s="344"/>
      <c r="R418" s="344"/>
      <c r="S418" s="344"/>
    </row>
    <row r="419" spans="1:19" s="343" customFormat="1" ht="19.5" customHeight="1">
      <c r="A419" s="342"/>
      <c r="B419" s="344"/>
      <c r="C419" s="344"/>
      <c r="D419" s="344"/>
      <c r="E419" s="344"/>
      <c r="F419" s="344"/>
      <c r="G419" s="344"/>
      <c r="H419" s="344"/>
      <c r="I419" s="344"/>
      <c r="J419" s="344"/>
      <c r="K419" s="344"/>
      <c r="L419" s="344"/>
      <c r="M419" s="344"/>
      <c r="N419" s="344"/>
      <c r="O419" s="344"/>
      <c r="P419" s="344"/>
      <c r="Q419" s="344"/>
      <c r="R419" s="344"/>
      <c r="S419" s="344"/>
    </row>
    <row r="420" spans="1:19" s="343" customFormat="1" ht="19.5" customHeight="1">
      <c r="A420" s="342"/>
      <c r="B420" s="344"/>
      <c r="C420" s="344"/>
      <c r="D420" s="344"/>
      <c r="E420" s="344"/>
      <c r="F420" s="344"/>
      <c r="G420" s="344"/>
      <c r="H420" s="344"/>
      <c r="I420" s="344"/>
      <c r="J420" s="344"/>
      <c r="K420" s="344"/>
      <c r="L420" s="344"/>
      <c r="M420" s="344"/>
      <c r="N420" s="344"/>
      <c r="O420" s="344"/>
      <c r="P420" s="344"/>
      <c r="Q420" s="344"/>
      <c r="R420" s="344"/>
      <c r="S420" s="344"/>
    </row>
    <row r="421" spans="1:19" s="343" customFormat="1" ht="19.5" customHeight="1">
      <c r="A421" s="342"/>
      <c r="B421" s="344"/>
      <c r="C421" s="344"/>
      <c r="D421" s="344"/>
      <c r="E421" s="344"/>
      <c r="F421" s="344"/>
      <c r="G421" s="344"/>
      <c r="H421" s="344"/>
      <c r="I421" s="344"/>
      <c r="J421" s="344"/>
      <c r="K421" s="344"/>
      <c r="L421" s="344"/>
      <c r="M421" s="344"/>
      <c r="N421" s="344"/>
      <c r="O421" s="344"/>
      <c r="P421" s="344"/>
      <c r="Q421" s="344"/>
      <c r="R421" s="344"/>
      <c r="S421" s="344"/>
    </row>
    <row r="422" spans="1:19" s="343" customFormat="1" ht="19.5" customHeight="1">
      <c r="A422" s="342"/>
      <c r="B422" s="344"/>
      <c r="C422" s="344"/>
      <c r="D422" s="344"/>
      <c r="E422" s="344"/>
      <c r="F422" s="344"/>
      <c r="G422" s="344"/>
      <c r="H422" s="344"/>
      <c r="I422" s="344"/>
      <c r="J422" s="344"/>
      <c r="K422" s="344"/>
      <c r="L422" s="344"/>
      <c r="M422" s="344"/>
      <c r="N422" s="344"/>
      <c r="O422" s="344"/>
      <c r="P422" s="344"/>
      <c r="Q422" s="344"/>
      <c r="R422" s="344"/>
      <c r="S422" s="344"/>
    </row>
    <row r="423" spans="1:19" s="343" customFormat="1" ht="19.5" customHeight="1">
      <c r="A423" s="342"/>
      <c r="B423" s="344"/>
      <c r="C423" s="344"/>
      <c r="D423" s="344"/>
      <c r="E423" s="344"/>
      <c r="F423" s="344"/>
      <c r="G423" s="344"/>
      <c r="H423" s="344"/>
      <c r="I423" s="344"/>
      <c r="J423" s="344"/>
      <c r="K423" s="344"/>
      <c r="L423" s="344"/>
      <c r="M423" s="344"/>
      <c r="N423" s="344"/>
      <c r="O423" s="344"/>
      <c r="P423" s="344"/>
      <c r="Q423" s="344"/>
      <c r="R423" s="344"/>
      <c r="S423" s="344"/>
    </row>
    <row r="424" spans="1:19" s="343" customFormat="1" ht="19.5" customHeight="1">
      <c r="A424" s="342"/>
      <c r="B424" s="344"/>
      <c r="C424" s="344"/>
      <c r="D424" s="344"/>
      <c r="E424" s="344"/>
      <c r="F424" s="344"/>
      <c r="G424" s="344"/>
      <c r="H424" s="344"/>
      <c r="I424" s="344"/>
      <c r="J424" s="344"/>
      <c r="K424" s="344"/>
      <c r="L424" s="344"/>
      <c r="M424" s="344"/>
      <c r="N424" s="344"/>
      <c r="O424" s="344"/>
      <c r="P424" s="344"/>
      <c r="Q424" s="344"/>
      <c r="R424" s="344"/>
      <c r="S424" s="344"/>
    </row>
    <row r="425" spans="1:19" s="343" customFormat="1" ht="19.5" customHeight="1">
      <c r="A425" s="342"/>
      <c r="B425" s="344"/>
      <c r="C425" s="344"/>
      <c r="D425" s="344"/>
      <c r="E425" s="344"/>
      <c r="F425" s="344"/>
      <c r="G425" s="344"/>
      <c r="H425" s="344"/>
      <c r="I425" s="344"/>
      <c r="J425" s="344"/>
      <c r="K425" s="344"/>
      <c r="L425" s="344"/>
      <c r="M425" s="344"/>
      <c r="N425" s="344"/>
      <c r="O425" s="344"/>
      <c r="P425" s="344"/>
      <c r="Q425" s="344"/>
      <c r="R425" s="344"/>
      <c r="S425" s="344"/>
    </row>
    <row r="426" spans="1:19" s="343" customFormat="1" ht="19.5" customHeight="1">
      <c r="A426" s="342"/>
      <c r="B426" s="344"/>
      <c r="C426" s="344"/>
      <c r="D426" s="344"/>
      <c r="E426" s="344"/>
      <c r="F426" s="344"/>
      <c r="G426" s="344"/>
      <c r="H426" s="344"/>
      <c r="I426" s="344"/>
      <c r="J426" s="344"/>
      <c r="K426" s="344"/>
      <c r="L426" s="344"/>
      <c r="M426" s="344"/>
      <c r="N426" s="344"/>
      <c r="O426" s="344"/>
      <c r="P426" s="344"/>
      <c r="Q426" s="344"/>
      <c r="R426" s="344"/>
      <c r="S426" s="344"/>
    </row>
    <row r="427" spans="1:19" s="343" customFormat="1" ht="19.5" customHeight="1">
      <c r="A427" s="342"/>
      <c r="B427" s="344"/>
      <c r="C427" s="344"/>
      <c r="D427" s="344"/>
      <c r="E427" s="344"/>
      <c r="F427" s="344"/>
      <c r="G427" s="344"/>
      <c r="H427" s="344"/>
      <c r="I427" s="344"/>
      <c r="J427" s="344"/>
      <c r="K427" s="344"/>
      <c r="L427" s="344"/>
      <c r="M427" s="344"/>
      <c r="N427" s="344"/>
      <c r="O427" s="344"/>
      <c r="P427" s="344"/>
      <c r="Q427" s="344"/>
      <c r="R427" s="344"/>
      <c r="S427" s="344"/>
    </row>
    <row r="428" spans="1:19" s="343" customFormat="1" ht="19.5" customHeight="1">
      <c r="A428" s="342"/>
      <c r="B428" s="344"/>
      <c r="C428" s="344"/>
      <c r="D428" s="344"/>
      <c r="E428" s="344"/>
      <c r="F428" s="344"/>
      <c r="G428" s="344"/>
      <c r="H428" s="344"/>
      <c r="I428" s="344"/>
      <c r="J428" s="344"/>
      <c r="K428" s="344"/>
      <c r="L428" s="344"/>
      <c r="M428" s="344"/>
      <c r="N428" s="344"/>
      <c r="O428" s="344"/>
      <c r="P428" s="344"/>
      <c r="Q428" s="344"/>
      <c r="R428" s="344"/>
      <c r="S428" s="344"/>
    </row>
    <row r="429" spans="1:19" s="343" customFormat="1" ht="19.5" customHeight="1">
      <c r="A429" s="342"/>
      <c r="B429" s="344"/>
      <c r="C429" s="344"/>
      <c r="D429" s="344"/>
      <c r="E429" s="344"/>
      <c r="F429" s="344"/>
      <c r="G429" s="344"/>
      <c r="H429" s="344"/>
      <c r="I429" s="344"/>
      <c r="J429" s="344"/>
      <c r="K429" s="344"/>
      <c r="L429" s="344"/>
      <c r="M429" s="344"/>
      <c r="N429" s="344"/>
      <c r="O429" s="344"/>
      <c r="P429" s="344"/>
      <c r="Q429" s="344"/>
      <c r="R429" s="344"/>
      <c r="S429" s="344"/>
    </row>
    <row r="430" spans="1:19" s="343" customFormat="1" ht="19.5" customHeight="1">
      <c r="A430" s="342"/>
      <c r="B430" s="344"/>
      <c r="C430" s="344"/>
      <c r="D430" s="344"/>
      <c r="E430" s="344"/>
      <c r="F430" s="344"/>
      <c r="G430" s="344"/>
      <c r="H430" s="344"/>
      <c r="I430" s="344"/>
      <c r="J430" s="344"/>
      <c r="K430" s="344"/>
      <c r="L430" s="344"/>
      <c r="M430" s="344"/>
      <c r="N430" s="344"/>
      <c r="O430" s="344"/>
      <c r="P430" s="344"/>
      <c r="Q430" s="344"/>
      <c r="R430" s="344"/>
      <c r="S430" s="344"/>
    </row>
    <row r="431" spans="1:19" s="343" customFormat="1" ht="19.5" customHeight="1">
      <c r="A431" s="342"/>
      <c r="B431" s="344"/>
      <c r="C431" s="344"/>
      <c r="D431" s="344"/>
      <c r="E431" s="344"/>
      <c r="F431" s="344"/>
      <c r="G431" s="344"/>
      <c r="H431" s="344"/>
      <c r="I431" s="344"/>
      <c r="J431" s="344"/>
      <c r="K431" s="344"/>
      <c r="L431" s="344"/>
      <c r="M431" s="344"/>
      <c r="N431" s="344"/>
      <c r="O431" s="344"/>
      <c r="P431" s="344"/>
      <c r="Q431" s="344"/>
      <c r="R431" s="344"/>
      <c r="S431" s="344"/>
    </row>
    <row r="432" spans="1:19" s="343" customFormat="1" ht="19.5" customHeight="1">
      <c r="A432" s="342"/>
      <c r="B432" s="344"/>
      <c r="C432" s="344"/>
      <c r="D432" s="344"/>
      <c r="E432" s="344"/>
      <c r="F432" s="344"/>
      <c r="G432" s="344"/>
      <c r="H432" s="344"/>
      <c r="I432" s="344"/>
      <c r="J432" s="344"/>
      <c r="K432" s="344"/>
      <c r="L432" s="344"/>
      <c r="M432" s="344"/>
      <c r="N432" s="344"/>
      <c r="O432" s="344"/>
      <c r="P432" s="344"/>
      <c r="Q432" s="344"/>
      <c r="R432" s="344"/>
      <c r="S432" s="344"/>
    </row>
    <row r="433" spans="1:19" s="343" customFormat="1" ht="19.5" customHeight="1">
      <c r="A433" s="342"/>
      <c r="B433" s="344"/>
      <c r="C433" s="344"/>
      <c r="D433" s="344"/>
      <c r="E433" s="344"/>
      <c r="F433" s="344"/>
      <c r="G433" s="344"/>
      <c r="H433" s="344"/>
      <c r="I433" s="344"/>
      <c r="J433" s="344"/>
      <c r="K433" s="344"/>
      <c r="L433" s="344"/>
      <c r="M433" s="344"/>
      <c r="N433" s="344"/>
      <c r="O433" s="344"/>
      <c r="P433" s="344"/>
      <c r="Q433" s="344"/>
      <c r="R433" s="344"/>
      <c r="S433" s="344"/>
    </row>
    <row r="434" spans="1:19" s="343" customFormat="1" ht="19.5" customHeight="1">
      <c r="A434" s="342"/>
      <c r="B434" s="344"/>
      <c r="C434" s="344"/>
      <c r="D434" s="344"/>
      <c r="E434" s="344"/>
      <c r="F434" s="344"/>
      <c r="G434" s="344"/>
      <c r="H434" s="344"/>
      <c r="I434" s="344"/>
      <c r="J434" s="344"/>
      <c r="K434" s="344"/>
      <c r="L434" s="344"/>
      <c r="M434" s="344"/>
      <c r="N434" s="344"/>
      <c r="O434" s="344"/>
      <c r="P434" s="344"/>
      <c r="Q434" s="344"/>
      <c r="R434" s="344"/>
      <c r="S434" s="344"/>
    </row>
    <row r="435" spans="1:19" s="343" customFormat="1" ht="19.5" customHeight="1">
      <c r="A435" s="342"/>
      <c r="B435" s="344"/>
      <c r="C435" s="344"/>
      <c r="D435" s="344"/>
      <c r="E435" s="344"/>
      <c r="F435" s="344"/>
      <c r="G435" s="344"/>
      <c r="H435" s="344"/>
      <c r="I435" s="344"/>
      <c r="J435" s="344"/>
      <c r="K435" s="344"/>
      <c r="L435" s="344"/>
      <c r="M435" s="344"/>
      <c r="N435" s="344"/>
      <c r="O435" s="344"/>
      <c r="P435" s="344"/>
      <c r="Q435" s="344"/>
      <c r="R435" s="344"/>
      <c r="S435" s="344"/>
    </row>
    <row r="436" spans="1:19" s="343" customFormat="1" ht="19.5" customHeight="1">
      <c r="A436" s="342"/>
      <c r="B436" s="344"/>
      <c r="C436" s="344"/>
      <c r="D436" s="344"/>
      <c r="E436" s="344"/>
      <c r="F436" s="344"/>
      <c r="G436" s="344"/>
      <c r="H436" s="344"/>
      <c r="I436" s="344"/>
      <c r="J436" s="344"/>
      <c r="K436" s="344"/>
      <c r="L436" s="344"/>
      <c r="M436" s="344"/>
      <c r="N436" s="344"/>
      <c r="O436" s="344"/>
      <c r="P436" s="344"/>
      <c r="Q436" s="344"/>
      <c r="R436" s="344"/>
      <c r="S436" s="344"/>
    </row>
    <row r="437" spans="1:19" s="343" customFormat="1" ht="19.5" customHeight="1">
      <c r="A437" s="342"/>
      <c r="B437" s="344"/>
      <c r="C437" s="344"/>
      <c r="D437" s="344"/>
      <c r="E437" s="344"/>
      <c r="F437" s="344"/>
      <c r="G437" s="344"/>
      <c r="H437" s="344"/>
      <c r="I437" s="344"/>
      <c r="J437" s="344"/>
      <c r="K437" s="344"/>
      <c r="L437" s="344"/>
      <c r="M437" s="344"/>
      <c r="N437" s="344"/>
      <c r="O437" s="344"/>
      <c r="P437" s="344"/>
      <c r="Q437" s="344"/>
      <c r="R437" s="344"/>
      <c r="S437" s="344"/>
    </row>
    <row r="438" spans="1:19" s="343" customFormat="1" ht="19.5" customHeight="1">
      <c r="A438" s="342"/>
      <c r="B438" s="344"/>
      <c r="C438" s="344"/>
      <c r="D438" s="344"/>
      <c r="E438" s="344"/>
      <c r="F438" s="344"/>
      <c r="G438" s="344"/>
      <c r="H438" s="344"/>
      <c r="I438" s="344"/>
      <c r="J438" s="344"/>
      <c r="K438" s="344"/>
      <c r="L438" s="344"/>
      <c r="M438" s="344"/>
      <c r="N438" s="344"/>
      <c r="O438" s="344"/>
      <c r="P438" s="344"/>
      <c r="Q438" s="344"/>
      <c r="R438" s="344"/>
      <c r="S438" s="344"/>
    </row>
    <row r="439" spans="1:19" s="343" customFormat="1" ht="19.5" customHeight="1">
      <c r="A439" s="342"/>
      <c r="B439" s="344"/>
      <c r="C439" s="344"/>
      <c r="D439" s="344"/>
      <c r="E439" s="344"/>
      <c r="F439" s="344"/>
      <c r="G439" s="344"/>
      <c r="H439" s="344"/>
      <c r="I439" s="344"/>
      <c r="J439" s="344"/>
      <c r="K439" s="344"/>
      <c r="L439" s="344"/>
      <c r="M439" s="344"/>
      <c r="N439" s="344"/>
      <c r="O439" s="344"/>
      <c r="P439" s="344"/>
      <c r="Q439" s="344"/>
      <c r="R439" s="344"/>
      <c r="S439" s="344"/>
    </row>
    <row r="440" spans="1:19" s="343" customFormat="1" ht="19.5" customHeight="1">
      <c r="A440" s="342"/>
      <c r="B440" s="344"/>
      <c r="C440" s="344"/>
      <c r="D440" s="344"/>
      <c r="E440" s="344"/>
      <c r="F440" s="344"/>
      <c r="G440" s="344"/>
      <c r="H440" s="344"/>
      <c r="I440" s="344"/>
      <c r="J440" s="344"/>
      <c r="K440" s="344"/>
      <c r="L440" s="344"/>
      <c r="M440" s="344"/>
      <c r="N440" s="344"/>
      <c r="O440" s="344"/>
      <c r="P440" s="344"/>
      <c r="Q440" s="344"/>
      <c r="R440" s="344"/>
      <c r="S440" s="344"/>
    </row>
    <row r="441" spans="1:19" s="343" customFormat="1" ht="19.5" customHeight="1">
      <c r="A441" s="342"/>
      <c r="B441" s="344"/>
      <c r="C441" s="344"/>
      <c r="D441" s="344"/>
      <c r="E441" s="344"/>
      <c r="F441" s="344"/>
      <c r="G441" s="344"/>
      <c r="H441" s="344"/>
      <c r="I441" s="344"/>
      <c r="J441" s="344"/>
      <c r="K441" s="344"/>
      <c r="L441" s="344"/>
      <c r="M441" s="344"/>
      <c r="N441" s="344"/>
      <c r="O441" s="344"/>
      <c r="P441" s="344"/>
      <c r="Q441" s="344"/>
      <c r="R441" s="344"/>
      <c r="S441" s="344"/>
    </row>
    <row r="442" spans="1:19" s="343" customFormat="1" ht="19.5" customHeight="1">
      <c r="A442" s="342"/>
      <c r="B442" s="344"/>
      <c r="C442" s="344"/>
      <c r="D442" s="344"/>
      <c r="E442" s="344"/>
      <c r="F442" s="344"/>
      <c r="G442" s="344"/>
      <c r="H442" s="344"/>
      <c r="I442" s="344"/>
      <c r="J442" s="344"/>
      <c r="K442" s="344"/>
      <c r="L442" s="344"/>
      <c r="M442" s="344"/>
      <c r="N442" s="344"/>
      <c r="O442" s="344"/>
      <c r="P442" s="344"/>
      <c r="Q442" s="344"/>
      <c r="R442" s="344"/>
      <c r="S442" s="344"/>
    </row>
    <row r="443" spans="1:19" s="343" customFormat="1" ht="19.5" customHeight="1">
      <c r="A443" s="342"/>
      <c r="B443" s="344"/>
      <c r="C443" s="344"/>
      <c r="D443" s="344"/>
      <c r="E443" s="344"/>
      <c r="F443" s="344"/>
      <c r="G443" s="344"/>
      <c r="H443" s="344"/>
      <c r="I443" s="344"/>
      <c r="J443" s="344"/>
      <c r="K443" s="344"/>
      <c r="L443" s="344"/>
      <c r="M443" s="344"/>
      <c r="N443" s="344"/>
      <c r="O443" s="344"/>
      <c r="P443" s="344"/>
      <c r="Q443" s="344"/>
      <c r="R443" s="344"/>
      <c r="S443" s="344"/>
    </row>
    <row r="444" spans="1:19" s="343" customFormat="1" ht="19.5" customHeight="1">
      <c r="A444" s="342"/>
      <c r="B444" s="344"/>
      <c r="C444" s="344"/>
      <c r="D444" s="344"/>
      <c r="E444" s="344"/>
      <c r="F444" s="344"/>
      <c r="G444" s="344"/>
      <c r="H444" s="344"/>
      <c r="I444" s="344"/>
      <c r="J444" s="344"/>
      <c r="K444" s="344"/>
      <c r="L444" s="344"/>
      <c r="M444" s="344"/>
      <c r="N444" s="344"/>
      <c r="O444" s="344"/>
      <c r="P444" s="344"/>
      <c r="Q444" s="344"/>
      <c r="R444" s="344"/>
      <c r="S444" s="344"/>
    </row>
    <row r="445" spans="1:19" s="343" customFormat="1" ht="19.5" customHeight="1">
      <c r="A445" s="342"/>
      <c r="B445" s="344"/>
      <c r="C445" s="344"/>
      <c r="D445" s="344"/>
      <c r="E445" s="344"/>
      <c r="F445" s="344"/>
      <c r="G445" s="344"/>
      <c r="H445" s="344"/>
      <c r="I445" s="344"/>
      <c r="J445" s="344"/>
      <c r="K445" s="344"/>
      <c r="L445" s="344"/>
      <c r="M445" s="344"/>
      <c r="N445" s="344"/>
      <c r="O445" s="344"/>
      <c r="P445" s="344"/>
      <c r="Q445" s="344"/>
      <c r="R445" s="344"/>
      <c r="S445" s="344"/>
    </row>
    <row r="446" spans="1:19" s="343" customFormat="1" ht="19.5" customHeight="1">
      <c r="A446" s="342"/>
      <c r="B446" s="344"/>
      <c r="C446" s="344"/>
      <c r="D446" s="344"/>
      <c r="E446" s="344"/>
      <c r="F446" s="344"/>
      <c r="G446" s="344"/>
      <c r="H446" s="344"/>
      <c r="I446" s="344"/>
      <c r="J446" s="344"/>
      <c r="K446" s="344"/>
      <c r="L446" s="344"/>
      <c r="M446" s="344"/>
      <c r="N446" s="344"/>
      <c r="O446" s="344"/>
      <c r="P446" s="344"/>
      <c r="Q446" s="344"/>
      <c r="R446" s="344"/>
      <c r="S446" s="344"/>
    </row>
    <row r="447" spans="1:19" s="343" customFormat="1" ht="19.5" customHeight="1">
      <c r="A447" s="342"/>
      <c r="B447" s="344"/>
      <c r="C447" s="344"/>
      <c r="D447" s="344"/>
      <c r="E447" s="344"/>
      <c r="F447" s="344"/>
      <c r="G447" s="344"/>
      <c r="H447" s="344"/>
      <c r="I447" s="344"/>
      <c r="J447" s="344"/>
      <c r="K447" s="344"/>
      <c r="L447" s="344"/>
      <c r="M447" s="344"/>
      <c r="N447" s="344"/>
      <c r="O447" s="344"/>
      <c r="P447" s="344"/>
      <c r="Q447" s="344"/>
      <c r="R447" s="344"/>
      <c r="S447" s="344"/>
    </row>
    <row r="448" spans="1:19" s="343" customFormat="1" ht="19.5" customHeight="1">
      <c r="A448" s="342"/>
      <c r="B448" s="344"/>
      <c r="C448" s="344"/>
      <c r="D448" s="344"/>
      <c r="E448" s="344"/>
      <c r="F448" s="344"/>
      <c r="G448" s="344"/>
      <c r="H448" s="344"/>
      <c r="I448" s="344"/>
      <c r="J448" s="344"/>
      <c r="K448" s="344"/>
      <c r="L448" s="344"/>
      <c r="M448" s="344"/>
      <c r="N448" s="344"/>
      <c r="O448" s="344"/>
      <c r="P448" s="344"/>
      <c r="Q448" s="344"/>
      <c r="R448" s="344"/>
      <c r="S448" s="344"/>
    </row>
    <row r="449" ht="19.5" customHeight="1"/>
    <row r="450" ht="9.75" customHeight="1"/>
  </sheetData>
  <sheetProtection/>
  <mergeCells count="15">
    <mergeCell ref="O9:S9"/>
    <mergeCell ref="A34:B34"/>
    <mergeCell ref="J8:S8"/>
    <mergeCell ref="A11:A12"/>
    <mergeCell ref="B11:B12"/>
    <mergeCell ref="A2:S2"/>
    <mergeCell ref="A3:S3"/>
    <mergeCell ref="A4:S4"/>
    <mergeCell ref="A6:S6"/>
    <mergeCell ref="A7:S7"/>
    <mergeCell ref="A8:B10"/>
    <mergeCell ref="C8:C11"/>
    <mergeCell ref="D8:D11"/>
    <mergeCell ref="E8:I9"/>
    <mergeCell ref="J9:N9"/>
  </mergeCells>
  <conditionalFormatting sqref="O11:R11 P12:R12 B14:G33 K14:S33">
    <cfRule type="cellIs" priority="33" dxfId="0" operator="equal">
      <formula>0</formula>
    </cfRule>
  </conditionalFormatting>
  <conditionalFormatting sqref="E11:G11">
    <cfRule type="cellIs" priority="32" dxfId="0" operator="equal">
      <formula>0</formula>
    </cfRule>
  </conditionalFormatting>
  <conditionalFormatting sqref="K11:M11">
    <cfRule type="cellIs" priority="31" dxfId="0" operator="equal">
      <formula>0</formula>
    </cfRule>
  </conditionalFormatting>
  <conditionalFormatting sqref="A11:B11">
    <cfRule type="cellIs" priority="28" dxfId="0" operator="equal">
      <formula>0</formula>
    </cfRule>
  </conditionalFormatting>
  <conditionalFormatting sqref="S11">
    <cfRule type="cellIs" priority="22" dxfId="0" operator="equal">
      <formula>0</formula>
    </cfRule>
  </conditionalFormatting>
  <conditionalFormatting sqref="E12:G12 K12:N12">
    <cfRule type="cellIs" priority="21" dxfId="0" operator="equal">
      <formula>0</formula>
    </cfRule>
  </conditionalFormatting>
  <conditionalFormatting sqref="C12:D12">
    <cfRule type="cellIs" priority="18" dxfId="0" operator="equal">
      <formula>0</formula>
    </cfRule>
  </conditionalFormatting>
  <conditionalFormatting sqref="J11">
    <cfRule type="cellIs" priority="17" dxfId="0" operator="equal">
      <formula>0</formula>
    </cfRule>
  </conditionalFormatting>
  <conditionalFormatting sqref="J14:J33">
    <cfRule type="cellIs" priority="16" dxfId="0" operator="equal">
      <formula>0</formula>
    </cfRule>
  </conditionalFormatting>
  <conditionalFormatting sqref="J12">
    <cfRule type="cellIs" priority="15" dxfId="0" operator="equal">
      <formula>0</formula>
    </cfRule>
  </conditionalFormatting>
  <conditionalFormatting sqref="O12">
    <cfRule type="cellIs" priority="12" dxfId="0" operator="equal">
      <formula>0</formula>
    </cfRule>
  </conditionalFormatting>
  <conditionalFormatting sqref="N11">
    <cfRule type="cellIs" priority="8" dxfId="0" operator="equal">
      <formula>0</formula>
    </cfRule>
  </conditionalFormatting>
  <conditionalFormatting sqref="I11 I14:I33">
    <cfRule type="cellIs" priority="5" dxfId="0" operator="equal">
      <formula>0</formula>
    </cfRule>
  </conditionalFormatting>
  <conditionalFormatting sqref="I12">
    <cfRule type="cellIs" priority="4" dxfId="0" operator="equal">
      <formula>0</formula>
    </cfRule>
  </conditionalFormatting>
  <conditionalFormatting sqref="H11 H14:H33">
    <cfRule type="cellIs" priority="3" dxfId="0" operator="equal">
      <formula>0</formula>
    </cfRule>
  </conditionalFormatting>
  <conditionalFormatting sqref="H12">
    <cfRule type="cellIs" priority="2" dxfId="0" operator="equal">
      <formula>0</formula>
    </cfRule>
  </conditionalFormatting>
  <conditionalFormatting sqref="S12">
    <cfRule type="cellIs" priority="1" dxfId="0" operator="equal">
      <formula>0</formula>
    </cfRule>
  </conditionalFormatting>
  <printOptions horizontalCentered="1"/>
  <pageMargins left="0.5118110236220472" right="0.5118110236220472" top="0.7874015748031497" bottom="0.7874015748031497" header="0.31496062992125984" footer="0.31496062992125984"/>
  <pageSetup fitToHeight="1" fitToWidth="1" horizontalDpi="300" verticalDpi="300" orientation="landscape" paperSize="9" scale="19" r:id="rId2"/>
  <drawing r:id="rId1"/>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J447"/>
  <sheetViews>
    <sheetView view="pageBreakPreview" zoomScale="40" zoomScaleNormal="25" zoomScaleSheetLayoutView="40" zoomScalePageLayoutView="0" workbookViewId="0" topLeftCell="A1">
      <selection activeCell="I33" sqref="A1:Q33"/>
    </sheetView>
  </sheetViews>
  <sheetFormatPr defaultColWidth="9.140625" defaultRowHeight="12.75"/>
  <cols>
    <col min="1" max="1" width="22.421875" style="339" customWidth="1"/>
    <col min="2" max="2" width="83.28125" style="344" customWidth="1"/>
    <col min="3" max="4" width="50.7109375" style="344" customWidth="1"/>
    <col min="5" max="7" width="35.7109375" style="344" hidden="1" customWidth="1"/>
    <col min="8" max="9" width="50.7109375" style="344" customWidth="1"/>
    <col min="10" max="14" width="35.7109375" style="344" hidden="1" customWidth="1"/>
    <col min="15" max="15" width="57.8515625" style="344" hidden="1" customWidth="1"/>
    <col min="16" max="16" width="71.57421875" style="344" hidden="1" customWidth="1"/>
    <col min="17" max="17" width="35.7109375" style="344" hidden="1" customWidth="1"/>
    <col min="18" max="18" width="9.140625" style="319" customWidth="1"/>
    <col min="19" max="21" width="15.7109375" style="319" customWidth="1"/>
    <col min="22" max="22" width="21.8515625" style="319" bestFit="1" customWidth="1"/>
    <col min="23" max="23" width="15.7109375" style="319" customWidth="1"/>
    <col min="24" max="24" width="9.140625" style="319" customWidth="1"/>
    <col min="25" max="25" width="18.421875" style="319" bestFit="1" customWidth="1"/>
    <col min="26" max="27" width="19.00390625" style="319" bestFit="1" customWidth="1"/>
    <col min="28" max="28" width="20.140625" style="319" bestFit="1" customWidth="1"/>
    <col min="29" max="29" width="16.7109375" style="319" bestFit="1" customWidth="1"/>
    <col min="30" max="30" width="9.140625" style="319" customWidth="1"/>
    <col min="31" max="31" width="18.421875" style="319" bestFit="1" customWidth="1"/>
    <col min="32" max="32" width="16.7109375" style="319" bestFit="1" customWidth="1"/>
    <col min="33" max="33" width="21.8515625" style="319" bestFit="1" customWidth="1"/>
    <col min="34" max="34" width="16.7109375" style="319" bestFit="1" customWidth="1"/>
    <col min="35" max="35" width="16.7109375" style="319" customWidth="1"/>
    <col min="36" max="36" width="16.7109375" style="319" bestFit="1" customWidth="1"/>
    <col min="37" max="16384" width="9.140625" style="319" customWidth="1"/>
  </cols>
  <sheetData>
    <row r="1" spans="1:17" ht="39.75" customHeight="1">
      <c r="A1" s="945"/>
      <c r="B1" s="946"/>
      <c r="C1" s="946"/>
      <c r="D1" s="946"/>
      <c r="E1" s="946"/>
      <c r="F1" s="946"/>
      <c r="G1" s="946"/>
      <c r="H1" s="946"/>
      <c r="I1" s="946"/>
      <c r="J1" s="946"/>
      <c r="K1" s="946"/>
      <c r="L1" s="946"/>
      <c r="M1" s="946"/>
      <c r="N1" s="946"/>
      <c r="O1" s="946"/>
      <c r="P1" s="946"/>
      <c r="Q1" s="947"/>
    </row>
    <row r="2" spans="1:17" ht="39.75" customHeight="1">
      <c r="A2" s="948" t="s">
        <v>20</v>
      </c>
      <c r="B2" s="676"/>
      <c r="C2" s="676"/>
      <c r="D2" s="676"/>
      <c r="E2" s="676"/>
      <c r="F2" s="676"/>
      <c r="G2" s="676"/>
      <c r="H2" s="676"/>
      <c r="I2" s="676"/>
      <c r="J2" s="676"/>
      <c r="K2" s="676"/>
      <c r="L2" s="676"/>
      <c r="M2" s="676"/>
      <c r="N2" s="676"/>
      <c r="O2" s="676"/>
      <c r="P2" s="676"/>
      <c r="Q2" s="949"/>
    </row>
    <row r="3" spans="1:17" ht="39.75" customHeight="1">
      <c r="A3" s="950" t="s">
        <v>199</v>
      </c>
      <c r="B3" s="678"/>
      <c r="C3" s="678"/>
      <c r="D3" s="678"/>
      <c r="E3" s="678"/>
      <c r="F3" s="678"/>
      <c r="G3" s="678"/>
      <c r="H3" s="678"/>
      <c r="I3" s="678"/>
      <c r="J3" s="678"/>
      <c r="K3" s="678"/>
      <c r="L3" s="678"/>
      <c r="M3" s="678"/>
      <c r="N3" s="678"/>
      <c r="O3" s="678"/>
      <c r="P3" s="678"/>
      <c r="Q3" s="951"/>
    </row>
    <row r="4" spans="1:17" ht="39.75" customHeight="1">
      <c r="A4" s="950" t="s">
        <v>19</v>
      </c>
      <c r="B4" s="678"/>
      <c r="C4" s="678"/>
      <c r="D4" s="678"/>
      <c r="E4" s="678"/>
      <c r="F4" s="678"/>
      <c r="G4" s="678"/>
      <c r="H4" s="678"/>
      <c r="I4" s="678"/>
      <c r="J4" s="678"/>
      <c r="K4" s="678"/>
      <c r="L4" s="678"/>
      <c r="M4" s="678"/>
      <c r="N4" s="678"/>
      <c r="O4" s="678"/>
      <c r="P4" s="678"/>
      <c r="Q4" s="951"/>
    </row>
    <row r="5" spans="1:17" ht="39.75" customHeight="1" thickBot="1">
      <c r="A5" s="952"/>
      <c r="B5" s="387"/>
      <c r="C5" s="387"/>
      <c r="D5" s="387"/>
      <c r="E5" s="387"/>
      <c r="F5" s="387"/>
      <c r="G5" s="387"/>
      <c r="H5" s="387"/>
      <c r="I5" s="387"/>
      <c r="J5" s="387"/>
      <c r="K5" s="387"/>
      <c r="L5" s="387"/>
      <c r="M5" s="387"/>
      <c r="N5" s="387"/>
      <c r="O5" s="387"/>
      <c r="P5" s="387"/>
      <c r="Q5" s="953"/>
    </row>
    <row r="6" spans="1:17" s="357" customFormat="1" ht="54.75" customHeight="1" thickBot="1" thickTop="1">
      <c r="A6" s="954" t="s">
        <v>435</v>
      </c>
      <c r="B6" s="680"/>
      <c r="C6" s="680"/>
      <c r="D6" s="680"/>
      <c r="E6" s="680"/>
      <c r="F6" s="680"/>
      <c r="G6" s="680"/>
      <c r="H6" s="680"/>
      <c r="I6" s="680"/>
      <c r="J6" s="680"/>
      <c r="K6" s="680"/>
      <c r="L6" s="680"/>
      <c r="M6" s="680"/>
      <c r="N6" s="680"/>
      <c r="O6" s="680"/>
      <c r="P6" s="680"/>
      <c r="Q6" s="955"/>
    </row>
    <row r="7" spans="1:17" ht="92.25" customHeight="1" thickBot="1" thickTop="1">
      <c r="A7" s="956" t="str">
        <f>'ORÇAMENTO GERAL'!C7</f>
        <v>EXECUÇÃO DOS SERVIÇOS DE DRENAGEM SUPERFICIAL E PROFUNDA NA RUA DO PORTO E RUA DO PORTO 2 - DISTRITO INDUSTRIAL - NO MUNICÍPIO DE ANANINDEUA - PA.</v>
      </c>
      <c r="B7" s="703"/>
      <c r="C7" s="703"/>
      <c r="D7" s="703"/>
      <c r="E7" s="703"/>
      <c r="F7" s="703"/>
      <c r="G7" s="703"/>
      <c r="H7" s="703"/>
      <c r="I7" s="703"/>
      <c r="J7" s="703"/>
      <c r="K7" s="703"/>
      <c r="L7" s="703"/>
      <c r="M7" s="703"/>
      <c r="N7" s="703"/>
      <c r="O7" s="703"/>
      <c r="P7" s="703"/>
      <c r="Q7" s="957"/>
    </row>
    <row r="8" spans="1:17" ht="39.75" customHeight="1">
      <c r="A8" s="717" t="s">
        <v>415</v>
      </c>
      <c r="B8" s="704"/>
      <c r="C8" s="715" t="s">
        <v>425</v>
      </c>
      <c r="D8" s="717" t="s">
        <v>423</v>
      </c>
      <c r="E8" s="712" t="s">
        <v>427</v>
      </c>
      <c r="F8" s="713"/>
      <c r="G8" s="714"/>
      <c r="H8" s="708" t="s">
        <v>486</v>
      </c>
      <c r="I8" s="709"/>
      <c r="J8" s="552" t="s">
        <v>487</v>
      </c>
      <c r="K8" s="705" t="s">
        <v>418</v>
      </c>
      <c r="L8" s="706"/>
      <c r="M8" s="706"/>
      <c r="N8" s="706"/>
      <c r="O8" s="707"/>
      <c r="P8" s="710" t="s">
        <v>628</v>
      </c>
      <c r="Q8" s="958" t="s">
        <v>12</v>
      </c>
    </row>
    <row r="9" spans="1:17" ht="57">
      <c r="A9" s="717"/>
      <c r="B9" s="704"/>
      <c r="C9" s="715"/>
      <c r="D9" s="717"/>
      <c r="E9" s="555" t="s">
        <v>423</v>
      </c>
      <c r="F9" s="556" t="s">
        <v>424</v>
      </c>
      <c r="G9" s="557" t="s">
        <v>426</v>
      </c>
      <c r="H9" s="556" t="s">
        <v>429</v>
      </c>
      <c r="I9" s="558" t="s">
        <v>430</v>
      </c>
      <c r="J9" s="382" t="s">
        <v>488</v>
      </c>
      <c r="K9" s="346" t="s">
        <v>433</v>
      </c>
      <c r="L9" s="346" t="s">
        <v>434</v>
      </c>
      <c r="M9" s="346" t="s">
        <v>422</v>
      </c>
      <c r="N9" s="346" t="s">
        <v>632</v>
      </c>
      <c r="O9" s="347" t="s">
        <v>420</v>
      </c>
      <c r="P9" s="711"/>
      <c r="Q9" s="959"/>
    </row>
    <row r="10" spans="1:17" ht="39.75" customHeight="1">
      <c r="A10" s="719" t="s">
        <v>7</v>
      </c>
      <c r="B10" s="719" t="s">
        <v>421</v>
      </c>
      <c r="C10" s="716"/>
      <c r="D10" s="718"/>
      <c r="E10" s="559"/>
      <c r="F10" s="560">
        <v>0.1</v>
      </c>
      <c r="G10" s="561"/>
      <c r="H10" s="562"/>
      <c r="I10" s="563"/>
      <c r="J10" s="383"/>
      <c r="K10" s="351"/>
      <c r="L10" s="551"/>
      <c r="M10" s="551"/>
      <c r="N10" s="349"/>
      <c r="O10" s="385">
        <v>25</v>
      </c>
      <c r="P10" s="499">
        <v>0.2</v>
      </c>
      <c r="Q10" s="960"/>
    </row>
    <row r="11" spans="1:17" ht="39.75" customHeight="1" thickBot="1">
      <c r="A11" s="720"/>
      <c r="B11" s="720"/>
      <c r="C11" s="564" t="s">
        <v>53</v>
      </c>
      <c r="D11" s="565" t="s">
        <v>56</v>
      </c>
      <c r="E11" s="566" t="s">
        <v>16</v>
      </c>
      <c r="F11" s="567" t="s">
        <v>428</v>
      </c>
      <c r="G11" s="568" t="s">
        <v>450</v>
      </c>
      <c r="H11" s="567" t="s">
        <v>567</v>
      </c>
      <c r="I11" s="569" t="s">
        <v>566</v>
      </c>
      <c r="J11" s="381" t="s">
        <v>568</v>
      </c>
      <c r="K11" s="355" t="s">
        <v>569</v>
      </c>
      <c r="L11" s="356" t="s">
        <v>570</v>
      </c>
      <c r="M11" s="356" t="s">
        <v>504</v>
      </c>
      <c r="N11" s="356" t="s">
        <v>633</v>
      </c>
      <c r="O11" s="386" t="s">
        <v>571</v>
      </c>
      <c r="P11" s="500" t="s">
        <v>630</v>
      </c>
      <c r="Q11" s="961" t="s">
        <v>607</v>
      </c>
    </row>
    <row r="12" spans="1:36" ht="73.5" customHeight="1" thickBot="1" thickTop="1">
      <c r="A12" s="962"/>
      <c r="B12" s="570"/>
      <c r="C12" s="570"/>
      <c r="D12" s="570"/>
      <c r="E12" s="570"/>
      <c r="F12" s="570"/>
      <c r="G12" s="570"/>
      <c r="H12" s="570"/>
      <c r="I12" s="570"/>
      <c r="J12" s="389"/>
      <c r="K12" s="389"/>
      <c r="L12" s="389"/>
      <c r="M12" s="389"/>
      <c r="N12" s="389"/>
      <c r="O12" s="389"/>
      <c r="P12" s="389"/>
      <c r="Q12" s="963"/>
      <c r="S12" s="360"/>
      <c r="T12" s="447" t="s">
        <v>561</v>
      </c>
      <c r="U12" s="447" t="s">
        <v>560</v>
      </c>
      <c r="V12" s="447" t="s">
        <v>562</v>
      </c>
      <c r="W12" s="447" t="s">
        <v>24</v>
      </c>
      <c r="Y12" s="447" t="s">
        <v>547</v>
      </c>
      <c r="Z12" s="447" t="s">
        <v>563</v>
      </c>
      <c r="AA12" s="447" t="s">
        <v>564</v>
      </c>
      <c r="AB12" s="447" t="s">
        <v>562</v>
      </c>
      <c r="AC12" s="447" t="s">
        <v>24</v>
      </c>
      <c r="AE12" s="448" t="str">
        <f>K9</f>
        <v>IMPRIMAÇAO (m²)</v>
      </c>
      <c r="AF12" s="448" t="str">
        <f>L9</f>
        <v>PINT. LIG.  (m²)</v>
      </c>
      <c r="AG12" s="448" t="str">
        <f>N9</f>
        <v>CBUQ (m³)</v>
      </c>
      <c r="AH12" s="448" t="str">
        <f>O9</f>
        <v>TRANSPORTE CBUQ</v>
      </c>
      <c r="AI12" s="448" t="s">
        <v>627</v>
      </c>
      <c r="AJ12" s="447" t="s">
        <v>24</v>
      </c>
    </row>
    <row r="13" spans="1:36" ht="54.75" customHeight="1" hidden="1" thickTop="1">
      <c r="A13" s="964">
        <f>DADOS!A9</f>
        <v>1</v>
      </c>
      <c r="B13" s="571" t="str">
        <f>DADOS!B9</f>
        <v>TV. SÃO SEBASTIÃO</v>
      </c>
      <c r="C13" s="572">
        <f>DADOS!E9</f>
        <v>0</v>
      </c>
      <c r="D13" s="573">
        <f>DADOS!F9</f>
        <v>0</v>
      </c>
      <c r="E13" s="573"/>
      <c r="F13" s="573">
        <f>C13*E13*$F$10</f>
        <v>0</v>
      </c>
      <c r="G13" s="573">
        <f>C13*E13*2</f>
        <v>0</v>
      </c>
      <c r="H13" s="573">
        <f>I13*0.43*0.1</f>
        <v>0</v>
      </c>
      <c r="I13" s="573">
        <f>C13*2</f>
        <v>0</v>
      </c>
      <c r="J13" s="345">
        <f>F13+H13</f>
        <v>0</v>
      </c>
      <c r="K13" s="345"/>
      <c r="L13" s="345"/>
      <c r="M13" s="345"/>
      <c r="N13" s="345"/>
      <c r="O13" s="384"/>
      <c r="P13" s="384"/>
      <c r="Q13" s="965">
        <f>C13*D13</f>
        <v>0</v>
      </c>
      <c r="S13" s="390">
        <f aca="true" t="shared" si="0" ref="S13:S32">A13</f>
        <v>1</v>
      </c>
      <c r="T13" s="393">
        <f>'ORÇAMENTO GERAL'!$J$18</f>
        <v>318.13</v>
      </c>
      <c r="U13" s="393">
        <f>'ORÇAMENTO GERAL'!$J$22</f>
        <v>109.39</v>
      </c>
      <c r="V13" s="393">
        <f>'ORÇAMENTO GERAL'!$J$19</f>
        <v>117.35</v>
      </c>
      <c r="W13" s="393">
        <f>(F13*T13)+(G13*U13)+(F13*V13)</f>
        <v>0</v>
      </c>
      <c r="Y13" s="393">
        <f>'ORÇAMENTO GERAL'!$J$23</f>
        <v>18.85</v>
      </c>
      <c r="Z13" s="393">
        <f>'ORÇAMENTO GERAL'!$J$24</f>
        <v>55.16</v>
      </c>
      <c r="AA13" s="393">
        <f>'ORÇAMENTO GERAL'!$J$25</f>
        <v>43.99</v>
      </c>
      <c r="AB13" s="393">
        <f>'ORÇAMENTO GERAL'!$J$19</f>
        <v>117.35</v>
      </c>
      <c r="AC13" s="393">
        <f>(H13*Y13)+(I13*Z13)+(I13*AA13)+(H13*AB13)</f>
        <v>0</v>
      </c>
      <c r="AE13" s="393">
        <f>'ORÇAMENTO GERAL'!$J$116</f>
        <v>14.8</v>
      </c>
      <c r="AF13" s="393">
        <f>'ORÇAMENTO GERAL'!$J$117</f>
        <v>3.72</v>
      </c>
      <c r="AG13" s="393">
        <f>'ORÇAMENTO GERAL'!$J$120</f>
        <v>3058.06</v>
      </c>
      <c r="AH13" s="393">
        <f>'ORÇAMENTO GERAL'!$J$121</f>
        <v>3.14</v>
      </c>
      <c r="AI13" s="393">
        <f>'ORÇAMENTO GERAL'!$J$122</f>
        <v>235.94</v>
      </c>
      <c r="AJ13" s="393">
        <f>(K13*AE13)+(L13*AF13)+(N13*AG13)+(O13*AH13)+(P13*AI13)</f>
        <v>0</v>
      </c>
    </row>
    <row r="14" spans="1:36" s="343" customFormat="1" ht="79.5" customHeight="1" thickTop="1">
      <c r="A14" s="966">
        <v>1</v>
      </c>
      <c r="B14" s="571" t="str">
        <f>DADOS!B10</f>
        <v>RUA DO PORTO</v>
      </c>
      <c r="C14" s="572">
        <f>DADOS!E10</f>
        <v>230.91</v>
      </c>
      <c r="D14" s="573">
        <f>DADOS!F10</f>
        <v>5</v>
      </c>
      <c r="E14" s="573"/>
      <c r="F14" s="573">
        <f aca="true" t="shared" si="1" ref="F14:F32">C14*E14*$F$10</f>
        <v>0</v>
      </c>
      <c r="G14" s="573">
        <f aca="true" t="shared" si="2" ref="G14:G32">C14*E14*2</f>
        <v>0</v>
      </c>
      <c r="H14" s="573">
        <f aca="true" t="shared" si="3" ref="H14:H32">I14*0.43*0.1</f>
        <v>19.86</v>
      </c>
      <c r="I14" s="573">
        <f aca="true" t="shared" si="4" ref="I14:I32">C14*2</f>
        <v>461.82</v>
      </c>
      <c r="J14" s="345">
        <f>F14+H14*0</f>
        <v>0</v>
      </c>
      <c r="K14" s="345"/>
      <c r="L14" s="345"/>
      <c r="M14" s="345"/>
      <c r="N14" s="345"/>
      <c r="O14" s="384"/>
      <c r="P14" s="384"/>
      <c r="Q14" s="967">
        <f aca="true" t="shared" si="5" ref="Q14:Q32">C14*D14</f>
        <v>1154.55</v>
      </c>
      <c r="S14" s="390">
        <f t="shared" si="0"/>
        <v>1</v>
      </c>
      <c r="T14" s="393">
        <f>'ORÇAMENTO GERAL'!$J$18</f>
        <v>318.13</v>
      </c>
      <c r="U14" s="393">
        <f>'ORÇAMENTO GERAL'!$J$22</f>
        <v>109.39</v>
      </c>
      <c r="V14" s="393">
        <f>'ORÇAMENTO GERAL'!$J$19</f>
        <v>117.35</v>
      </c>
      <c r="W14" s="393">
        <f aca="true" t="shared" si="6" ref="W14:W32">(F14*T14)+(G14*U14)+(F14*V14)</f>
        <v>0</v>
      </c>
      <c r="Y14" s="393">
        <f>'ORÇAMENTO GERAL'!$J$23</f>
        <v>18.85</v>
      </c>
      <c r="Z14" s="393">
        <f>'ORÇAMENTO GERAL'!$J$24</f>
        <v>55.16</v>
      </c>
      <c r="AA14" s="393">
        <f>'ORÇAMENTO GERAL'!$J$25</f>
        <v>43.99</v>
      </c>
      <c r="AB14" s="393">
        <f>'ORÇAMENTO GERAL'!$J$19</f>
        <v>117.35</v>
      </c>
      <c r="AC14" s="393">
        <f aca="true" t="shared" si="7" ref="AC14:AC32">(H14*Y14)+(I14*Z14)+(I14*AA14)+(H14*AB14)</f>
        <v>48494.39</v>
      </c>
      <c r="AE14" s="393">
        <f>'ORÇAMENTO GERAL'!$J$116</f>
        <v>14.8</v>
      </c>
      <c r="AF14" s="393">
        <f>'ORÇAMENTO GERAL'!$J$117</f>
        <v>3.72</v>
      </c>
      <c r="AG14" s="393">
        <f>'ORÇAMENTO GERAL'!$J$120</f>
        <v>3058.06</v>
      </c>
      <c r="AH14" s="393">
        <f>'ORÇAMENTO GERAL'!$J$121</f>
        <v>3.14</v>
      </c>
      <c r="AI14" s="393">
        <f>'ORÇAMENTO GERAL'!$J$122</f>
        <v>235.94</v>
      </c>
      <c r="AJ14" s="393">
        <f aca="true" t="shared" si="8" ref="AJ14:AJ32">(K14*AE14)+(L14*AF14)+(N14*AG14)+(O14*AH14)+(P14*AI14)</f>
        <v>0</v>
      </c>
    </row>
    <row r="15" spans="1:36" s="343" customFormat="1" ht="79.5" customHeight="1">
      <c r="A15" s="964">
        <v>2</v>
      </c>
      <c r="B15" s="571" t="str">
        <f>DADOS!B11</f>
        <v>RUA DO PORTO 2</v>
      </c>
      <c r="C15" s="572">
        <f>DADOS!E11</f>
        <v>137.79</v>
      </c>
      <c r="D15" s="573">
        <f>DADOS!F11</f>
        <v>5</v>
      </c>
      <c r="E15" s="573"/>
      <c r="F15" s="573">
        <f t="shared" si="1"/>
        <v>0</v>
      </c>
      <c r="G15" s="573">
        <f t="shared" si="2"/>
        <v>0</v>
      </c>
      <c r="H15" s="573">
        <f t="shared" si="3"/>
        <v>11.85</v>
      </c>
      <c r="I15" s="573">
        <f t="shared" si="4"/>
        <v>275.58</v>
      </c>
      <c r="J15" s="345">
        <f>F15+H15*0</f>
        <v>0</v>
      </c>
      <c r="K15" s="345"/>
      <c r="L15" s="345"/>
      <c r="M15" s="345"/>
      <c r="N15" s="345"/>
      <c r="O15" s="384"/>
      <c r="P15" s="384"/>
      <c r="Q15" s="967">
        <f t="shared" si="5"/>
        <v>688.95</v>
      </c>
      <c r="S15" s="390">
        <f t="shared" si="0"/>
        <v>2</v>
      </c>
      <c r="T15" s="393">
        <f>'ORÇAMENTO GERAL'!$J$18</f>
        <v>318.13</v>
      </c>
      <c r="U15" s="393">
        <f>'ORÇAMENTO GERAL'!$J$22</f>
        <v>109.39</v>
      </c>
      <c r="V15" s="393">
        <f>'ORÇAMENTO GERAL'!$J$19</f>
        <v>117.35</v>
      </c>
      <c r="W15" s="393">
        <f t="shared" si="6"/>
        <v>0</v>
      </c>
      <c r="Y15" s="393">
        <f>'ORÇAMENTO GERAL'!$J$23</f>
        <v>18.85</v>
      </c>
      <c r="Z15" s="393">
        <f>'ORÇAMENTO GERAL'!$J$24</f>
        <v>55.16</v>
      </c>
      <c r="AA15" s="393">
        <f>'ORÇAMENTO GERAL'!$J$25</f>
        <v>43.99</v>
      </c>
      <c r="AB15" s="393">
        <f>'ORÇAMENTO GERAL'!$J$19</f>
        <v>117.35</v>
      </c>
      <c r="AC15" s="393">
        <f t="shared" si="7"/>
        <v>28937.73</v>
      </c>
      <c r="AE15" s="393">
        <f>'ORÇAMENTO GERAL'!$J$116</f>
        <v>14.8</v>
      </c>
      <c r="AF15" s="393">
        <f>'ORÇAMENTO GERAL'!$J$117</f>
        <v>3.72</v>
      </c>
      <c r="AG15" s="393">
        <f>'ORÇAMENTO GERAL'!$J$120</f>
        <v>3058.06</v>
      </c>
      <c r="AH15" s="393">
        <f>'ORÇAMENTO GERAL'!$J$121</f>
        <v>3.14</v>
      </c>
      <c r="AI15" s="393">
        <f>'ORÇAMENTO GERAL'!$J$122</f>
        <v>235.94</v>
      </c>
      <c r="AJ15" s="393">
        <f t="shared" si="8"/>
        <v>0</v>
      </c>
    </row>
    <row r="16" spans="1:36" s="343" customFormat="1" ht="79.5" customHeight="1" thickBot="1">
      <c r="A16" s="966">
        <v>3</v>
      </c>
      <c r="B16" s="571">
        <f>DADOS!B12</f>
        <v>0</v>
      </c>
      <c r="C16" s="572">
        <f>DADOS!E12</f>
        <v>0</v>
      </c>
      <c r="D16" s="573">
        <f>DADOS!F12</f>
        <v>0</v>
      </c>
      <c r="E16" s="573"/>
      <c r="F16" s="573">
        <f t="shared" si="1"/>
        <v>0</v>
      </c>
      <c r="G16" s="573">
        <f t="shared" si="2"/>
        <v>0</v>
      </c>
      <c r="H16" s="573">
        <f t="shared" si="3"/>
        <v>0</v>
      </c>
      <c r="I16" s="573">
        <f t="shared" si="4"/>
        <v>0</v>
      </c>
      <c r="J16" s="345">
        <f aca="true" t="shared" si="9" ref="J16:J32">F16+H16</f>
        <v>0</v>
      </c>
      <c r="K16" s="345">
        <f aca="true" t="shared" si="10" ref="K16:K32">C16*D16</f>
        <v>0</v>
      </c>
      <c r="L16" s="345">
        <f aca="true" t="shared" si="11" ref="L16:L32">C16*D16</f>
        <v>0</v>
      </c>
      <c r="M16" s="345">
        <v>0.03</v>
      </c>
      <c r="N16" s="345">
        <f aca="true" t="shared" si="12" ref="N16:N32">L16*M16</f>
        <v>0</v>
      </c>
      <c r="O16" s="384">
        <f aca="true" t="shared" si="13" ref="O16:O32">N16*$O$10</f>
        <v>0</v>
      </c>
      <c r="P16" s="384">
        <f aca="true" t="shared" si="14" ref="P16:P32">(30%*C16)*(20%*D16)*$P$10*2</f>
        <v>0</v>
      </c>
      <c r="Q16" s="967">
        <f t="shared" si="5"/>
        <v>0</v>
      </c>
      <c r="S16" s="390">
        <f t="shared" si="0"/>
        <v>3</v>
      </c>
      <c r="T16" s="393">
        <f>'ORÇAMENTO GERAL'!$J$18</f>
        <v>318.13</v>
      </c>
      <c r="U16" s="393">
        <f>'ORÇAMENTO GERAL'!$J$22</f>
        <v>109.39</v>
      </c>
      <c r="V16" s="393">
        <f>'ORÇAMENTO GERAL'!$J$19</f>
        <v>117.35</v>
      </c>
      <c r="W16" s="393">
        <f t="shared" si="6"/>
        <v>0</v>
      </c>
      <c r="Y16" s="393">
        <f>'ORÇAMENTO GERAL'!$J$23</f>
        <v>18.85</v>
      </c>
      <c r="Z16" s="393">
        <f>'ORÇAMENTO GERAL'!$J$24</f>
        <v>55.16</v>
      </c>
      <c r="AA16" s="393">
        <f>'ORÇAMENTO GERAL'!$J$25</f>
        <v>43.99</v>
      </c>
      <c r="AB16" s="393">
        <f>'ORÇAMENTO GERAL'!$J$19</f>
        <v>117.35</v>
      </c>
      <c r="AC16" s="393">
        <f t="shared" si="7"/>
        <v>0</v>
      </c>
      <c r="AE16" s="393">
        <f>'ORÇAMENTO GERAL'!$J$116</f>
        <v>14.8</v>
      </c>
      <c r="AF16" s="393">
        <f>'ORÇAMENTO GERAL'!$J$117</f>
        <v>3.72</v>
      </c>
      <c r="AG16" s="393">
        <f>'ORÇAMENTO GERAL'!$J$120</f>
        <v>3058.06</v>
      </c>
      <c r="AH16" s="393">
        <f>'ORÇAMENTO GERAL'!$J$121</f>
        <v>3.14</v>
      </c>
      <c r="AI16" s="393">
        <f>'ORÇAMENTO GERAL'!$J$122</f>
        <v>235.94</v>
      </c>
      <c r="AJ16" s="393">
        <f t="shared" si="8"/>
        <v>0</v>
      </c>
    </row>
    <row r="17" spans="1:36" s="343" customFormat="1" ht="54.75" customHeight="1" hidden="1">
      <c r="A17" s="307">
        <v>4</v>
      </c>
      <c r="B17" s="353">
        <f>DADOS!B13</f>
        <v>0</v>
      </c>
      <c r="C17" s="354">
        <f>DADOS!E13</f>
        <v>0</v>
      </c>
      <c r="D17" s="345">
        <f>DADOS!F13</f>
        <v>0</v>
      </c>
      <c r="E17" s="345"/>
      <c r="F17" s="345">
        <f t="shared" si="1"/>
        <v>0</v>
      </c>
      <c r="G17" s="345">
        <f t="shared" si="2"/>
        <v>0</v>
      </c>
      <c r="H17" s="345">
        <f t="shared" si="3"/>
        <v>0</v>
      </c>
      <c r="I17" s="345">
        <f t="shared" si="4"/>
        <v>0</v>
      </c>
      <c r="J17" s="345">
        <f t="shared" si="9"/>
        <v>0</v>
      </c>
      <c r="K17" s="345">
        <f t="shared" si="10"/>
        <v>0</v>
      </c>
      <c r="L17" s="345">
        <f t="shared" si="11"/>
        <v>0</v>
      </c>
      <c r="M17" s="345">
        <v>0.03</v>
      </c>
      <c r="N17" s="345">
        <f t="shared" si="12"/>
        <v>0</v>
      </c>
      <c r="O17" s="384">
        <f t="shared" si="13"/>
        <v>0</v>
      </c>
      <c r="P17" s="384">
        <f t="shared" si="14"/>
        <v>0</v>
      </c>
      <c r="Q17" s="967">
        <f t="shared" si="5"/>
        <v>0</v>
      </c>
      <c r="S17" s="390">
        <f t="shared" si="0"/>
        <v>4</v>
      </c>
      <c r="T17" s="393">
        <f>'ORÇAMENTO GERAL'!$J$18</f>
        <v>318.13</v>
      </c>
      <c r="U17" s="393">
        <f>'ORÇAMENTO GERAL'!$J$22</f>
        <v>109.39</v>
      </c>
      <c r="V17" s="393">
        <f>'ORÇAMENTO GERAL'!$J$19</f>
        <v>117.35</v>
      </c>
      <c r="W17" s="393">
        <f t="shared" si="6"/>
        <v>0</v>
      </c>
      <c r="Y17" s="393">
        <f>'ORÇAMENTO GERAL'!$J$23</f>
        <v>18.85</v>
      </c>
      <c r="Z17" s="393">
        <f>'ORÇAMENTO GERAL'!$J$24</f>
        <v>55.16</v>
      </c>
      <c r="AA17" s="393">
        <f>'ORÇAMENTO GERAL'!$J$25</f>
        <v>43.99</v>
      </c>
      <c r="AB17" s="393">
        <f>'ORÇAMENTO GERAL'!$J$19</f>
        <v>117.35</v>
      </c>
      <c r="AC17" s="393">
        <f t="shared" si="7"/>
        <v>0</v>
      </c>
      <c r="AE17" s="393">
        <f>'ORÇAMENTO GERAL'!$J$116</f>
        <v>14.8</v>
      </c>
      <c r="AF17" s="393">
        <f>'ORÇAMENTO GERAL'!$J$117</f>
        <v>3.72</v>
      </c>
      <c r="AG17" s="393">
        <f>'ORÇAMENTO GERAL'!$J$120</f>
        <v>3058.06</v>
      </c>
      <c r="AH17" s="393">
        <f>'ORÇAMENTO GERAL'!$J$121</f>
        <v>3.14</v>
      </c>
      <c r="AI17" s="393">
        <f>'ORÇAMENTO GERAL'!$J$122</f>
        <v>235.94</v>
      </c>
      <c r="AJ17" s="393">
        <f t="shared" si="8"/>
        <v>0</v>
      </c>
    </row>
    <row r="18" spans="1:36" s="343" customFormat="1" ht="54.75" customHeight="1" hidden="1">
      <c r="A18" s="968">
        <v>5</v>
      </c>
      <c r="B18" s="353">
        <f>DADOS!B14</f>
        <v>0</v>
      </c>
      <c r="C18" s="354">
        <f>DADOS!E14</f>
        <v>0</v>
      </c>
      <c r="D18" s="345">
        <f>DADOS!F14</f>
        <v>0</v>
      </c>
      <c r="E18" s="345"/>
      <c r="F18" s="345">
        <f t="shared" si="1"/>
        <v>0</v>
      </c>
      <c r="G18" s="345">
        <f t="shared" si="2"/>
        <v>0</v>
      </c>
      <c r="H18" s="345">
        <f t="shared" si="3"/>
        <v>0</v>
      </c>
      <c r="I18" s="345">
        <f t="shared" si="4"/>
        <v>0</v>
      </c>
      <c r="J18" s="345">
        <f t="shared" si="9"/>
        <v>0</v>
      </c>
      <c r="K18" s="345">
        <f t="shared" si="10"/>
        <v>0</v>
      </c>
      <c r="L18" s="345">
        <f t="shared" si="11"/>
        <v>0</v>
      </c>
      <c r="M18" s="345">
        <v>0.03</v>
      </c>
      <c r="N18" s="345">
        <f t="shared" si="12"/>
        <v>0</v>
      </c>
      <c r="O18" s="384">
        <f t="shared" si="13"/>
        <v>0</v>
      </c>
      <c r="P18" s="384">
        <f t="shared" si="14"/>
        <v>0</v>
      </c>
      <c r="Q18" s="967">
        <f t="shared" si="5"/>
        <v>0</v>
      </c>
      <c r="S18" s="390">
        <f t="shared" si="0"/>
        <v>5</v>
      </c>
      <c r="T18" s="393">
        <f>'ORÇAMENTO GERAL'!$J$18</f>
        <v>318.13</v>
      </c>
      <c r="U18" s="393">
        <f>'ORÇAMENTO GERAL'!$J$22</f>
        <v>109.39</v>
      </c>
      <c r="V18" s="393">
        <f>'ORÇAMENTO GERAL'!$J$19</f>
        <v>117.35</v>
      </c>
      <c r="W18" s="393">
        <f t="shared" si="6"/>
        <v>0</v>
      </c>
      <c r="Y18" s="393">
        <f>'ORÇAMENTO GERAL'!$J$23</f>
        <v>18.85</v>
      </c>
      <c r="Z18" s="393">
        <f>'ORÇAMENTO GERAL'!$J$24</f>
        <v>55.16</v>
      </c>
      <c r="AA18" s="393">
        <f>'ORÇAMENTO GERAL'!$J$25</f>
        <v>43.99</v>
      </c>
      <c r="AB18" s="393">
        <f>'ORÇAMENTO GERAL'!$J$19</f>
        <v>117.35</v>
      </c>
      <c r="AC18" s="393">
        <f t="shared" si="7"/>
        <v>0</v>
      </c>
      <c r="AE18" s="393">
        <f>'ORÇAMENTO GERAL'!$J$116</f>
        <v>14.8</v>
      </c>
      <c r="AF18" s="393">
        <f>'ORÇAMENTO GERAL'!$J$117</f>
        <v>3.72</v>
      </c>
      <c r="AG18" s="393">
        <f>'ORÇAMENTO GERAL'!$J$120</f>
        <v>3058.06</v>
      </c>
      <c r="AH18" s="393">
        <f>'ORÇAMENTO GERAL'!$J$121</f>
        <v>3.14</v>
      </c>
      <c r="AI18" s="393">
        <f>'ORÇAMENTO GERAL'!$J$122</f>
        <v>235.94</v>
      </c>
      <c r="AJ18" s="393">
        <f t="shared" si="8"/>
        <v>0</v>
      </c>
    </row>
    <row r="19" spans="1:36" s="343" customFormat="1" ht="54.75" customHeight="1" hidden="1">
      <c r="A19" s="307">
        <v>6</v>
      </c>
      <c r="B19" s="353">
        <f>DADOS!B15</f>
        <v>0</v>
      </c>
      <c r="C19" s="354">
        <f>DADOS!E15</f>
        <v>0</v>
      </c>
      <c r="D19" s="345">
        <f>DADOS!F15</f>
        <v>0</v>
      </c>
      <c r="E19" s="345"/>
      <c r="F19" s="345">
        <f t="shared" si="1"/>
        <v>0</v>
      </c>
      <c r="G19" s="345">
        <f t="shared" si="2"/>
        <v>0</v>
      </c>
      <c r="H19" s="345">
        <f t="shared" si="3"/>
        <v>0</v>
      </c>
      <c r="I19" s="345">
        <f t="shared" si="4"/>
        <v>0</v>
      </c>
      <c r="J19" s="345">
        <f t="shared" si="9"/>
        <v>0</v>
      </c>
      <c r="K19" s="345">
        <f t="shared" si="10"/>
        <v>0</v>
      </c>
      <c r="L19" s="345">
        <f t="shared" si="11"/>
        <v>0</v>
      </c>
      <c r="M19" s="345">
        <v>0.03</v>
      </c>
      <c r="N19" s="345">
        <f t="shared" si="12"/>
        <v>0</v>
      </c>
      <c r="O19" s="384">
        <f t="shared" si="13"/>
        <v>0</v>
      </c>
      <c r="P19" s="384">
        <f t="shared" si="14"/>
        <v>0</v>
      </c>
      <c r="Q19" s="967">
        <f t="shared" si="5"/>
        <v>0</v>
      </c>
      <c r="S19" s="390">
        <f t="shared" si="0"/>
        <v>6</v>
      </c>
      <c r="T19" s="393">
        <f>'ORÇAMENTO GERAL'!$J$18</f>
        <v>318.13</v>
      </c>
      <c r="U19" s="393">
        <f>'ORÇAMENTO GERAL'!$J$22</f>
        <v>109.39</v>
      </c>
      <c r="V19" s="393">
        <f>'ORÇAMENTO GERAL'!$J$19</f>
        <v>117.35</v>
      </c>
      <c r="W19" s="393">
        <f t="shared" si="6"/>
        <v>0</v>
      </c>
      <c r="Y19" s="393">
        <f>'ORÇAMENTO GERAL'!$J$23</f>
        <v>18.85</v>
      </c>
      <c r="Z19" s="393">
        <f>'ORÇAMENTO GERAL'!$J$24</f>
        <v>55.16</v>
      </c>
      <c r="AA19" s="393">
        <f>'ORÇAMENTO GERAL'!$J$25</f>
        <v>43.99</v>
      </c>
      <c r="AB19" s="393">
        <f>'ORÇAMENTO GERAL'!$J$19</f>
        <v>117.35</v>
      </c>
      <c r="AC19" s="393">
        <f t="shared" si="7"/>
        <v>0</v>
      </c>
      <c r="AE19" s="393">
        <f>'ORÇAMENTO GERAL'!$J$116</f>
        <v>14.8</v>
      </c>
      <c r="AF19" s="393">
        <f>'ORÇAMENTO GERAL'!$J$117</f>
        <v>3.72</v>
      </c>
      <c r="AG19" s="393">
        <f>'ORÇAMENTO GERAL'!$J$120</f>
        <v>3058.06</v>
      </c>
      <c r="AH19" s="393">
        <f>'ORÇAMENTO GERAL'!$J$121</f>
        <v>3.14</v>
      </c>
      <c r="AI19" s="393">
        <f>'ORÇAMENTO GERAL'!$J$122</f>
        <v>235.94</v>
      </c>
      <c r="AJ19" s="393">
        <f t="shared" si="8"/>
        <v>0</v>
      </c>
    </row>
    <row r="20" spans="1:36" ht="54.75" customHeight="1" hidden="1">
      <c r="A20" s="968">
        <v>7</v>
      </c>
      <c r="B20" s="353">
        <f>DADOS!B16</f>
        <v>0</v>
      </c>
      <c r="C20" s="354">
        <f>DADOS!E16</f>
        <v>0</v>
      </c>
      <c r="D20" s="345">
        <f>DADOS!F16</f>
        <v>0</v>
      </c>
      <c r="E20" s="345"/>
      <c r="F20" s="345">
        <f t="shared" si="1"/>
        <v>0</v>
      </c>
      <c r="G20" s="345">
        <f t="shared" si="2"/>
        <v>0</v>
      </c>
      <c r="H20" s="345">
        <f t="shared" si="3"/>
        <v>0</v>
      </c>
      <c r="I20" s="345">
        <f t="shared" si="4"/>
        <v>0</v>
      </c>
      <c r="J20" s="345">
        <f t="shared" si="9"/>
        <v>0</v>
      </c>
      <c r="K20" s="345">
        <f t="shared" si="10"/>
        <v>0</v>
      </c>
      <c r="L20" s="345">
        <f t="shared" si="11"/>
        <v>0</v>
      </c>
      <c r="M20" s="345">
        <v>0.03</v>
      </c>
      <c r="N20" s="345">
        <f t="shared" si="12"/>
        <v>0</v>
      </c>
      <c r="O20" s="384">
        <f t="shared" si="13"/>
        <v>0</v>
      </c>
      <c r="P20" s="384">
        <f t="shared" si="14"/>
        <v>0</v>
      </c>
      <c r="Q20" s="967">
        <f t="shared" si="5"/>
        <v>0</v>
      </c>
      <c r="S20" s="390">
        <f t="shared" si="0"/>
        <v>7</v>
      </c>
      <c r="T20" s="393">
        <f>'ORÇAMENTO GERAL'!$J$18</f>
        <v>318.13</v>
      </c>
      <c r="U20" s="393">
        <f>'ORÇAMENTO GERAL'!$J$22</f>
        <v>109.39</v>
      </c>
      <c r="V20" s="393">
        <f>'ORÇAMENTO GERAL'!$J$19</f>
        <v>117.35</v>
      </c>
      <c r="W20" s="393">
        <f t="shared" si="6"/>
        <v>0</v>
      </c>
      <c r="Y20" s="393">
        <f>'ORÇAMENTO GERAL'!$J$23</f>
        <v>18.85</v>
      </c>
      <c r="Z20" s="393">
        <f>'ORÇAMENTO GERAL'!$J$24</f>
        <v>55.16</v>
      </c>
      <c r="AA20" s="393">
        <f>'ORÇAMENTO GERAL'!$J$25</f>
        <v>43.99</v>
      </c>
      <c r="AB20" s="393">
        <f>'ORÇAMENTO GERAL'!$J$19</f>
        <v>117.35</v>
      </c>
      <c r="AC20" s="393">
        <f t="shared" si="7"/>
        <v>0</v>
      </c>
      <c r="AE20" s="393">
        <f>'ORÇAMENTO GERAL'!$J$116</f>
        <v>14.8</v>
      </c>
      <c r="AF20" s="393">
        <f>'ORÇAMENTO GERAL'!$J$117</f>
        <v>3.72</v>
      </c>
      <c r="AG20" s="393">
        <f>'ORÇAMENTO GERAL'!$J$120</f>
        <v>3058.06</v>
      </c>
      <c r="AH20" s="393">
        <f>'ORÇAMENTO GERAL'!$J$121</f>
        <v>3.14</v>
      </c>
      <c r="AI20" s="393">
        <f>'ORÇAMENTO GERAL'!$J$122</f>
        <v>235.94</v>
      </c>
      <c r="AJ20" s="393">
        <f t="shared" si="8"/>
        <v>0</v>
      </c>
    </row>
    <row r="21" spans="1:36" ht="54.75" customHeight="1" hidden="1">
      <c r="A21" s="307">
        <v>8</v>
      </c>
      <c r="B21" s="353">
        <f>DADOS!B17</f>
        <v>0</v>
      </c>
      <c r="C21" s="354">
        <f>DADOS!E17</f>
        <v>0</v>
      </c>
      <c r="D21" s="345">
        <f>DADOS!F17</f>
        <v>0</v>
      </c>
      <c r="E21" s="345"/>
      <c r="F21" s="345">
        <f t="shared" si="1"/>
        <v>0</v>
      </c>
      <c r="G21" s="345">
        <f t="shared" si="2"/>
        <v>0</v>
      </c>
      <c r="H21" s="345">
        <f t="shared" si="3"/>
        <v>0</v>
      </c>
      <c r="I21" s="345">
        <f t="shared" si="4"/>
        <v>0</v>
      </c>
      <c r="J21" s="345">
        <f t="shared" si="9"/>
        <v>0</v>
      </c>
      <c r="K21" s="345">
        <f t="shared" si="10"/>
        <v>0</v>
      </c>
      <c r="L21" s="345">
        <f t="shared" si="11"/>
        <v>0</v>
      </c>
      <c r="M21" s="345">
        <v>0.03</v>
      </c>
      <c r="N21" s="345">
        <f t="shared" si="12"/>
        <v>0</v>
      </c>
      <c r="O21" s="384">
        <f t="shared" si="13"/>
        <v>0</v>
      </c>
      <c r="P21" s="384">
        <f t="shared" si="14"/>
        <v>0</v>
      </c>
      <c r="Q21" s="967">
        <f t="shared" si="5"/>
        <v>0</v>
      </c>
      <c r="S21" s="390">
        <f t="shared" si="0"/>
        <v>8</v>
      </c>
      <c r="T21" s="393">
        <f>'ORÇAMENTO GERAL'!$J$18</f>
        <v>318.13</v>
      </c>
      <c r="U21" s="393">
        <f>'ORÇAMENTO GERAL'!$J$22</f>
        <v>109.39</v>
      </c>
      <c r="V21" s="393">
        <f>'ORÇAMENTO GERAL'!$J$19</f>
        <v>117.35</v>
      </c>
      <c r="W21" s="393">
        <f t="shared" si="6"/>
        <v>0</v>
      </c>
      <c r="Y21" s="393">
        <f>'ORÇAMENTO GERAL'!$J$23</f>
        <v>18.85</v>
      </c>
      <c r="Z21" s="393">
        <f>'ORÇAMENTO GERAL'!$J$24</f>
        <v>55.16</v>
      </c>
      <c r="AA21" s="393">
        <f>'ORÇAMENTO GERAL'!$J$25</f>
        <v>43.99</v>
      </c>
      <c r="AB21" s="393">
        <f>'ORÇAMENTO GERAL'!$J$19</f>
        <v>117.35</v>
      </c>
      <c r="AC21" s="393">
        <f t="shared" si="7"/>
        <v>0</v>
      </c>
      <c r="AE21" s="393">
        <f>'ORÇAMENTO GERAL'!$J$116</f>
        <v>14.8</v>
      </c>
      <c r="AF21" s="393">
        <f>'ORÇAMENTO GERAL'!$J$117</f>
        <v>3.72</v>
      </c>
      <c r="AG21" s="393">
        <f>'ORÇAMENTO GERAL'!$J$120</f>
        <v>3058.06</v>
      </c>
      <c r="AH21" s="393">
        <f>'ORÇAMENTO GERAL'!$J$121</f>
        <v>3.14</v>
      </c>
      <c r="AI21" s="393">
        <f>'ORÇAMENTO GERAL'!$J$122</f>
        <v>235.94</v>
      </c>
      <c r="AJ21" s="393">
        <f t="shared" si="8"/>
        <v>0</v>
      </c>
    </row>
    <row r="22" spans="1:36" ht="54.75" customHeight="1" hidden="1">
      <c r="A22" s="968">
        <v>9</v>
      </c>
      <c r="B22" s="353">
        <f>DADOS!B18</f>
        <v>0</v>
      </c>
      <c r="C22" s="354">
        <f>DADOS!E18</f>
        <v>0</v>
      </c>
      <c r="D22" s="345">
        <f>DADOS!F18</f>
        <v>0</v>
      </c>
      <c r="E22" s="345"/>
      <c r="F22" s="345">
        <f t="shared" si="1"/>
        <v>0</v>
      </c>
      <c r="G22" s="345">
        <f t="shared" si="2"/>
        <v>0</v>
      </c>
      <c r="H22" s="345">
        <f t="shared" si="3"/>
        <v>0</v>
      </c>
      <c r="I22" s="345">
        <f t="shared" si="4"/>
        <v>0</v>
      </c>
      <c r="J22" s="345">
        <f t="shared" si="9"/>
        <v>0</v>
      </c>
      <c r="K22" s="345">
        <f t="shared" si="10"/>
        <v>0</v>
      </c>
      <c r="L22" s="345">
        <f t="shared" si="11"/>
        <v>0</v>
      </c>
      <c r="M22" s="345">
        <v>0.03</v>
      </c>
      <c r="N22" s="345">
        <f t="shared" si="12"/>
        <v>0</v>
      </c>
      <c r="O22" s="384">
        <f t="shared" si="13"/>
        <v>0</v>
      </c>
      <c r="P22" s="384">
        <f t="shared" si="14"/>
        <v>0</v>
      </c>
      <c r="Q22" s="967">
        <f t="shared" si="5"/>
        <v>0</v>
      </c>
      <c r="S22" s="390">
        <f t="shared" si="0"/>
        <v>9</v>
      </c>
      <c r="T22" s="393">
        <f>'ORÇAMENTO GERAL'!$J$18</f>
        <v>318.13</v>
      </c>
      <c r="U22" s="393">
        <f>'ORÇAMENTO GERAL'!$J$22</f>
        <v>109.39</v>
      </c>
      <c r="V22" s="393">
        <f>'ORÇAMENTO GERAL'!$J$19</f>
        <v>117.35</v>
      </c>
      <c r="W22" s="393">
        <f t="shared" si="6"/>
        <v>0</v>
      </c>
      <c r="Y22" s="393">
        <f>'ORÇAMENTO GERAL'!$J$23</f>
        <v>18.85</v>
      </c>
      <c r="Z22" s="393">
        <f>'ORÇAMENTO GERAL'!$J$24</f>
        <v>55.16</v>
      </c>
      <c r="AA22" s="393">
        <f>'ORÇAMENTO GERAL'!$J$25</f>
        <v>43.99</v>
      </c>
      <c r="AB22" s="393">
        <f>'ORÇAMENTO GERAL'!$J$19</f>
        <v>117.35</v>
      </c>
      <c r="AC22" s="393">
        <f t="shared" si="7"/>
        <v>0</v>
      </c>
      <c r="AE22" s="393">
        <f>'ORÇAMENTO GERAL'!$J$116</f>
        <v>14.8</v>
      </c>
      <c r="AF22" s="393">
        <f>'ORÇAMENTO GERAL'!$J$117</f>
        <v>3.72</v>
      </c>
      <c r="AG22" s="393">
        <f>'ORÇAMENTO GERAL'!$J$120</f>
        <v>3058.06</v>
      </c>
      <c r="AH22" s="393">
        <f>'ORÇAMENTO GERAL'!$J$121</f>
        <v>3.14</v>
      </c>
      <c r="AI22" s="393">
        <f>'ORÇAMENTO GERAL'!$J$122</f>
        <v>235.94</v>
      </c>
      <c r="AJ22" s="393">
        <f t="shared" si="8"/>
        <v>0</v>
      </c>
    </row>
    <row r="23" spans="1:36" ht="54.75" customHeight="1" hidden="1">
      <c r="A23" s="307">
        <v>10</v>
      </c>
      <c r="B23" s="353">
        <f>DADOS!B19</f>
        <v>0</v>
      </c>
      <c r="C23" s="354">
        <f>DADOS!E19</f>
        <v>0</v>
      </c>
      <c r="D23" s="345">
        <f>DADOS!F19</f>
        <v>0</v>
      </c>
      <c r="E23" s="345"/>
      <c r="F23" s="345">
        <f t="shared" si="1"/>
        <v>0</v>
      </c>
      <c r="G23" s="345">
        <f t="shared" si="2"/>
        <v>0</v>
      </c>
      <c r="H23" s="345">
        <f t="shared" si="3"/>
        <v>0</v>
      </c>
      <c r="I23" s="345">
        <f t="shared" si="4"/>
        <v>0</v>
      </c>
      <c r="J23" s="345">
        <f t="shared" si="9"/>
        <v>0</v>
      </c>
      <c r="K23" s="345">
        <f t="shared" si="10"/>
        <v>0</v>
      </c>
      <c r="L23" s="345">
        <f t="shared" si="11"/>
        <v>0</v>
      </c>
      <c r="M23" s="345">
        <v>0.03</v>
      </c>
      <c r="N23" s="345">
        <f t="shared" si="12"/>
        <v>0</v>
      </c>
      <c r="O23" s="384">
        <f t="shared" si="13"/>
        <v>0</v>
      </c>
      <c r="P23" s="384">
        <f t="shared" si="14"/>
        <v>0</v>
      </c>
      <c r="Q23" s="967">
        <f t="shared" si="5"/>
        <v>0</v>
      </c>
      <c r="S23" s="390">
        <f t="shared" si="0"/>
        <v>10</v>
      </c>
      <c r="T23" s="393">
        <f>'ORÇAMENTO GERAL'!$J$18</f>
        <v>318.13</v>
      </c>
      <c r="U23" s="393">
        <f>'ORÇAMENTO GERAL'!$J$22</f>
        <v>109.39</v>
      </c>
      <c r="V23" s="393">
        <f>'ORÇAMENTO GERAL'!$J$19</f>
        <v>117.35</v>
      </c>
      <c r="W23" s="393">
        <f t="shared" si="6"/>
        <v>0</v>
      </c>
      <c r="Y23" s="393">
        <f>'ORÇAMENTO GERAL'!$J$23</f>
        <v>18.85</v>
      </c>
      <c r="Z23" s="393">
        <f>'ORÇAMENTO GERAL'!$J$24</f>
        <v>55.16</v>
      </c>
      <c r="AA23" s="393">
        <f>'ORÇAMENTO GERAL'!$J$25</f>
        <v>43.99</v>
      </c>
      <c r="AB23" s="393">
        <f>'ORÇAMENTO GERAL'!$J$19</f>
        <v>117.35</v>
      </c>
      <c r="AC23" s="393">
        <f t="shared" si="7"/>
        <v>0</v>
      </c>
      <c r="AE23" s="393">
        <f>'ORÇAMENTO GERAL'!$J$116</f>
        <v>14.8</v>
      </c>
      <c r="AF23" s="393">
        <f>'ORÇAMENTO GERAL'!$J$117</f>
        <v>3.72</v>
      </c>
      <c r="AG23" s="393">
        <f>'ORÇAMENTO GERAL'!$J$120</f>
        <v>3058.06</v>
      </c>
      <c r="AH23" s="393">
        <f>'ORÇAMENTO GERAL'!$J$121</f>
        <v>3.14</v>
      </c>
      <c r="AI23" s="393">
        <f>'ORÇAMENTO GERAL'!$J$122</f>
        <v>235.94</v>
      </c>
      <c r="AJ23" s="393">
        <f t="shared" si="8"/>
        <v>0</v>
      </c>
    </row>
    <row r="24" spans="1:36" s="343" customFormat="1" ht="54.75" customHeight="1" hidden="1">
      <c r="A24" s="968">
        <v>11</v>
      </c>
      <c r="B24" s="353">
        <f>DADOS!B20</f>
        <v>0</v>
      </c>
      <c r="C24" s="354">
        <f>DADOS!E20</f>
        <v>0</v>
      </c>
      <c r="D24" s="345">
        <f>DADOS!F20</f>
        <v>0</v>
      </c>
      <c r="E24" s="345"/>
      <c r="F24" s="345">
        <f t="shared" si="1"/>
        <v>0</v>
      </c>
      <c r="G24" s="345">
        <f t="shared" si="2"/>
        <v>0</v>
      </c>
      <c r="H24" s="345">
        <f t="shared" si="3"/>
        <v>0</v>
      </c>
      <c r="I24" s="345">
        <f t="shared" si="4"/>
        <v>0</v>
      </c>
      <c r="J24" s="345">
        <f t="shared" si="9"/>
        <v>0</v>
      </c>
      <c r="K24" s="345">
        <f t="shared" si="10"/>
        <v>0</v>
      </c>
      <c r="L24" s="345">
        <f t="shared" si="11"/>
        <v>0</v>
      </c>
      <c r="M24" s="345">
        <v>0.03</v>
      </c>
      <c r="N24" s="345">
        <f t="shared" si="12"/>
        <v>0</v>
      </c>
      <c r="O24" s="384">
        <f t="shared" si="13"/>
        <v>0</v>
      </c>
      <c r="P24" s="384">
        <f t="shared" si="14"/>
        <v>0</v>
      </c>
      <c r="Q24" s="967">
        <f t="shared" si="5"/>
        <v>0</v>
      </c>
      <c r="S24" s="390">
        <f t="shared" si="0"/>
        <v>11</v>
      </c>
      <c r="T24" s="393">
        <f>'ORÇAMENTO GERAL'!$J$18</f>
        <v>318.13</v>
      </c>
      <c r="U24" s="393">
        <f>'ORÇAMENTO GERAL'!$J$22</f>
        <v>109.39</v>
      </c>
      <c r="V24" s="393">
        <f>'ORÇAMENTO GERAL'!$J$19</f>
        <v>117.35</v>
      </c>
      <c r="W24" s="393">
        <f t="shared" si="6"/>
        <v>0</v>
      </c>
      <c r="Y24" s="393">
        <f>'ORÇAMENTO GERAL'!$J$23</f>
        <v>18.85</v>
      </c>
      <c r="Z24" s="393">
        <f>'ORÇAMENTO GERAL'!$J$24</f>
        <v>55.16</v>
      </c>
      <c r="AA24" s="393">
        <f>'ORÇAMENTO GERAL'!$J$25</f>
        <v>43.99</v>
      </c>
      <c r="AB24" s="393">
        <f>'ORÇAMENTO GERAL'!$J$19</f>
        <v>117.35</v>
      </c>
      <c r="AC24" s="393">
        <f t="shared" si="7"/>
        <v>0</v>
      </c>
      <c r="AE24" s="393">
        <f>'ORÇAMENTO GERAL'!$J$116</f>
        <v>14.8</v>
      </c>
      <c r="AF24" s="393">
        <f>'ORÇAMENTO GERAL'!$J$117</f>
        <v>3.72</v>
      </c>
      <c r="AG24" s="393">
        <f>'ORÇAMENTO GERAL'!$J$120</f>
        <v>3058.06</v>
      </c>
      <c r="AH24" s="393">
        <f>'ORÇAMENTO GERAL'!$J$121</f>
        <v>3.14</v>
      </c>
      <c r="AI24" s="393">
        <f>'ORÇAMENTO GERAL'!$J$122</f>
        <v>235.94</v>
      </c>
      <c r="AJ24" s="393">
        <f t="shared" si="8"/>
        <v>0</v>
      </c>
    </row>
    <row r="25" spans="1:36" s="343" customFormat="1" ht="54.75" customHeight="1" hidden="1">
      <c r="A25" s="307">
        <v>12</v>
      </c>
      <c r="B25" s="353">
        <f>DADOS!B21</f>
        <v>0</v>
      </c>
      <c r="C25" s="354">
        <f>DADOS!E21</f>
        <v>0</v>
      </c>
      <c r="D25" s="345">
        <f>DADOS!F21</f>
        <v>0</v>
      </c>
      <c r="E25" s="345"/>
      <c r="F25" s="345">
        <f t="shared" si="1"/>
        <v>0</v>
      </c>
      <c r="G25" s="345">
        <f t="shared" si="2"/>
        <v>0</v>
      </c>
      <c r="H25" s="345">
        <f t="shared" si="3"/>
        <v>0</v>
      </c>
      <c r="I25" s="345">
        <f t="shared" si="4"/>
        <v>0</v>
      </c>
      <c r="J25" s="345">
        <f t="shared" si="9"/>
        <v>0</v>
      </c>
      <c r="K25" s="345">
        <f t="shared" si="10"/>
        <v>0</v>
      </c>
      <c r="L25" s="345">
        <f t="shared" si="11"/>
        <v>0</v>
      </c>
      <c r="M25" s="345">
        <v>0.03</v>
      </c>
      <c r="N25" s="345">
        <f t="shared" si="12"/>
        <v>0</v>
      </c>
      <c r="O25" s="384">
        <f t="shared" si="13"/>
        <v>0</v>
      </c>
      <c r="P25" s="384">
        <f t="shared" si="14"/>
        <v>0</v>
      </c>
      <c r="Q25" s="967">
        <f t="shared" si="5"/>
        <v>0</v>
      </c>
      <c r="S25" s="390">
        <f t="shared" si="0"/>
        <v>12</v>
      </c>
      <c r="T25" s="393">
        <f>'ORÇAMENTO GERAL'!$J$18</f>
        <v>318.13</v>
      </c>
      <c r="U25" s="393">
        <f>'ORÇAMENTO GERAL'!$J$22</f>
        <v>109.39</v>
      </c>
      <c r="V25" s="393">
        <f>'ORÇAMENTO GERAL'!$J$19</f>
        <v>117.35</v>
      </c>
      <c r="W25" s="393">
        <f t="shared" si="6"/>
        <v>0</v>
      </c>
      <c r="Y25" s="393">
        <f>'ORÇAMENTO GERAL'!$J$23</f>
        <v>18.85</v>
      </c>
      <c r="Z25" s="393">
        <f>'ORÇAMENTO GERAL'!$J$24</f>
        <v>55.16</v>
      </c>
      <c r="AA25" s="393">
        <f>'ORÇAMENTO GERAL'!$J$25</f>
        <v>43.99</v>
      </c>
      <c r="AB25" s="393">
        <f>'ORÇAMENTO GERAL'!$J$19</f>
        <v>117.35</v>
      </c>
      <c r="AC25" s="393">
        <f t="shared" si="7"/>
        <v>0</v>
      </c>
      <c r="AE25" s="393">
        <f>'ORÇAMENTO GERAL'!$J$116</f>
        <v>14.8</v>
      </c>
      <c r="AF25" s="393">
        <f>'ORÇAMENTO GERAL'!$J$117</f>
        <v>3.72</v>
      </c>
      <c r="AG25" s="393">
        <f>'ORÇAMENTO GERAL'!$J$120</f>
        <v>3058.06</v>
      </c>
      <c r="AH25" s="393">
        <f>'ORÇAMENTO GERAL'!$J$121</f>
        <v>3.14</v>
      </c>
      <c r="AI25" s="393">
        <f>'ORÇAMENTO GERAL'!$J$122</f>
        <v>235.94</v>
      </c>
      <c r="AJ25" s="393">
        <f t="shared" si="8"/>
        <v>0</v>
      </c>
    </row>
    <row r="26" spans="1:36" s="343" customFormat="1" ht="54.75" customHeight="1" hidden="1">
      <c r="A26" s="968">
        <v>13</v>
      </c>
      <c r="B26" s="353">
        <f>DADOS!B22</f>
        <v>0</v>
      </c>
      <c r="C26" s="354">
        <f>DADOS!E22</f>
        <v>0</v>
      </c>
      <c r="D26" s="345">
        <f>DADOS!F22</f>
        <v>0</v>
      </c>
      <c r="E26" s="345"/>
      <c r="F26" s="345">
        <f t="shared" si="1"/>
        <v>0</v>
      </c>
      <c r="G26" s="345">
        <f t="shared" si="2"/>
        <v>0</v>
      </c>
      <c r="H26" s="345">
        <f t="shared" si="3"/>
        <v>0</v>
      </c>
      <c r="I26" s="345">
        <f t="shared" si="4"/>
        <v>0</v>
      </c>
      <c r="J26" s="345">
        <f t="shared" si="9"/>
        <v>0</v>
      </c>
      <c r="K26" s="345">
        <f t="shared" si="10"/>
        <v>0</v>
      </c>
      <c r="L26" s="345">
        <f t="shared" si="11"/>
        <v>0</v>
      </c>
      <c r="M26" s="345">
        <v>0.03</v>
      </c>
      <c r="N26" s="345">
        <f t="shared" si="12"/>
        <v>0</v>
      </c>
      <c r="O26" s="384">
        <f t="shared" si="13"/>
        <v>0</v>
      </c>
      <c r="P26" s="384">
        <f t="shared" si="14"/>
        <v>0</v>
      </c>
      <c r="Q26" s="967">
        <f t="shared" si="5"/>
        <v>0</v>
      </c>
      <c r="S26" s="390">
        <f t="shared" si="0"/>
        <v>13</v>
      </c>
      <c r="T26" s="393">
        <f>'ORÇAMENTO GERAL'!$J$18</f>
        <v>318.13</v>
      </c>
      <c r="U26" s="393">
        <f>'ORÇAMENTO GERAL'!$J$22</f>
        <v>109.39</v>
      </c>
      <c r="V26" s="393">
        <f>'ORÇAMENTO GERAL'!$J$19</f>
        <v>117.35</v>
      </c>
      <c r="W26" s="393">
        <f t="shared" si="6"/>
        <v>0</v>
      </c>
      <c r="Y26" s="393">
        <f>'ORÇAMENTO GERAL'!$J$23</f>
        <v>18.85</v>
      </c>
      <c r="Z26" s="393">
        <f>'ORÇAMENTO GERAL'!$J$24</f>
        <v>55.16</v>
      </c>
      <c r="AA26" s="393">
        <f>'ORÇAMENTO GERAL'!$J$25</f>
        <v>43.99</v>
      </c>
      <c r="AB26" s="393">
        <f>'ORÇAMENTO GERAL'!$J$19</f>
        <v>117.35</v>
      </c>
      <c r="AC26" s="393">
        <f t="shared" si="7"/>
        <v>0</v>
      </c>
      <c r="AE26" s="393">
        <f>'ORÇAMENTO GERAL'!$J$116</f>
        <v>14.8</v>
      </c>
      <c r="AF26" s="393">
        <f>'ORÇAMENTO GERAL'!$J$117</f>
        <v>3.72</v>
      </c>
      <c r="AG26" s="393">
        <f>'ORÇAMENTO GERAL'!$J$120</f>
        <v>3058.06</v>
      </c>
      <c r="AH26" s="393">
        <f>'ORÇAMENTO GERAL'!$J$121</f>
        <v>3.14</v>
      </c>
      <c r="AI26" s="393">
        <f>'ORÇAMENTO GERAL'!$J$122</f>
        <v>235.94</v>
      </c>
      <c r="AJ26" s="393">
        <f t="shared" si="8"/>
        <v>0</v>
      </c>
    </row>
    <row r="27" spans="1:36" s="343" customFormat="1" ht="54.75" customHeight="1" hidden="1">
      <c r="A27" s="307">
        <v>14</v>
      </c>
      <c r="B27" s="353">
        <f>DADOS!B23</f>
        <v>0</v>
      </c>
      <c r="C27" s="354">
        <f>DADOS!E23</f>
        <v>0</v>
      </c>
      <c r="D27" s="345">
        <f>DADOS!F23</f>
        <v>0</v>
      </c>
      <c r="E27" s="345"/>
      <c r="F27" s="345">
        <f t="shared" si="1"/>
        <v>0</v>
      </c>
      <c r="G27" s="345">
        <f t="shared" si="2"/>
        <v>0</v>
      </c>
      <c r="H27" s="345">
        <f t="shared" si="3"/>
        <v>0</v>
      </c>
      <c r="I27" s="345">
        <f t="shared" si="4"/>
        <v>0</v>
      </c>
      <c r="J27" s="345">
        <f t="shared" si="9"/>
        <v>0</v>
      </c>
      <c r="K27" s="345">
        <f t="shared" si="10"/>
        <v>0</v>
      </c>
      <c r="L27" s="345">
        <f t="shared" si="11"/>
        <v>0</v>
      </c>
      <c r="M27" s="345">
        <v>0.03</v>
      </c>
      <c r="N27" s="345">
        <f t="shared" si="12"/>
        <v>0</v>
      </c>
      <c r="O27" s="384">
        <f t="shared" si="13"/>
        <v>0</v>
      </c>
      <c r="P27" s="384">
        <f t="shared" si="14"/>
        <v>0</v>
      </c>
      <c r="Q27" s="967">
        <f t="shared" si="5"/>
        <v>0</v>
      </c>
      <c r="S27" s="390">
        <f t="shared" si="0"/>
        <v>14</v>
      </c>
      <c r="T27" s="393">
        <f>'ORÇAMENTO GERAL'!$J$18</f>
        <v>318.13</v>
      </c>
      <c r="U27" s="393">
        <f>'ORÇAMENTO GERAL'!$J$22</f>
        <v>109.39</v>
      </c>
      <c r="V27" s="393">
        <f>'ORÇAMENTO GERAL'!$J$19</f>
        <v>117.35</v>
      </c>
      <c r="W27" s="393">
        <f t="shared" si="6"/>
        <v>0</v>
      </c>
      <c r="Y27" s="393">
        <f>'ORÇAMENTO GERAL'!$J$23</f>
        <v>18.85</v>
      </c>
      <c r="Z27" s="393">
        <f>'ORÇAMENTO GERAL'!$J$24</f>
        <v>55.16</v>
      </c>
      <c r="AA27" s="393">
        <f>'ORÇAMENTO GERAL'!$J$25</f>
        <v>43.99</v>
      </c>
      <c r="AB27" s="393">
        <f>'ORÇAMENTO GERAL'!$J$19</f>
        <v>117.35</v>
      </c>
      <c r="AC27" s="393">
        <f t="shared" si="7"/>
        <v>0</v>
      </c>
      <c r="AE27" s="393">
        <f>'ORÇAMENTO GERAL'!$J$116</f>
        <v>14.8</v>
      </c>
      <c r="AF27" s="393">
        <f>'ORÇAMENTO GERAL'!$J$117</f>
        <v>3.72</v>
      </c>
      <c r="AG27" s="393">
        <f>'ORÇAMENTO GERAL'!$J$120</f>
        <v>3058.06</v>
      </c>
      <c r="AH27" s="393">
        <f>'ORÇAMENTO GERAL'!$J$121</f>
        <v>3.14</v>
      </c>
      <c r="AI27" s="393">
        <f>'ORÇAMENTO GERAL'!$J$122</f>
        <v>235.94</v>
      </c>
      <c r="AJ27" s="393">
        <f t="shared" si="8"/>
        <v>0</v>
      </c>
    </row>
    <row r="28" spans="1:36" s="343" customFormat="1" ht="54.75" customHeight="1" hidden="1">
      <c r="A28" s="968">
        <v>16</v>
      </c>
      <c r="B28" s="353">
        <f>DADOS!B24</f>
        <v>0</v>
      </c>
      <c r="C28" s="354">
        <f>DADOS!E24</f>
        <v>0</v>
      </c>
      <c r="D28" s="345">
        <f>DADOS!F24</f>
        <v>0</v>
      </c>
      <c r="E28" s="345"/>
      <c r="F28" s="345">
        <f t="shared" si="1"/>
        <v>0</v>
      </c>
      <c r="G28" s="345">
        <f t="shared" si="2"/>
        <v>0</v>
      </c>
      <c r="H28" s="345">
        <f t="shared" si="3"/>
        <v>0</v>
      </c>
      <c r="I28" s="345">
        <f t="shared" si="4"/>
        <v>0</v>
      </c>
      <c r="J28" s="345">
        <f t="shared" si="9"/>
        <v>0</v>
      </c>
      <c r="K28" s="345">
        <f t="shared" si="10"/>
        <v>0</v>
      </c>
      <c r="L28" s="345">
        <f t="shared" si="11"/>
        <v>0</v>
      </c>
      <c r="M28" s="345">
        <v>0.03</v>
      </c>
      <c r="N28" s="345">
        <f t="shared" si="12"/>
        <v>0</v>
      </c>
      <c r="O28" s="384">
        <f t="shared" si="13"/>
        <v>0</v>
      </c>
      <c r="P28" s="384">
        <f t="shared" si="14"/>
        <v>0</v>
      </c>
      <c r="Q28" s="967">
        <f t="shared" si="5"/>
        <v>0</v>
      </c>
      <c r="S28" s="390">
        <f t="shared" si="0"/>
        <v>16</v>
      </c>
      <c r="T28" s="393">
        <f>'ORÇAMENTO GERAL'!$J$18</f>
        <v>318.13</v>
      </c>
      <c r="U28" s="393">
        <f>'ORÇAMENTO GERAL'!$J$22</f>
        <v>109.39</v>
      </c>
      <c r="V28" s="393">
        <f>'ORÇAMENTO GERAL'!$J$19</f>
        <v>117.35</v>
      </c>
      <c r="W28" s="393">
        <f t="shared" si="6"/>
        <v>0</v>
      </c>
      <c r="Y28" s="393">
        <f>'ORÇAMENTO GERAL'!$J$23</f>
        <v>18.85</v>
      </c>
      <c r="Z28" s="393">
        <f>'ORÇAMENTO GERAL'!$J$24</f>
        <v>55.16</v>
      </c>
      <c r="AA28" s="393">
        <f>'ORÇAMENTO GERAL'!$J$25</f>
        <v>43.99</v>
      </c>
      <c r="AB28" s="393">
        <f>'ORÇAMENTO GERAL'!$J$19</f>
        <v>117.35</v>
      </c>
      <c r="AC28" s="393">
        <f t="shared" si="7"/>
        <v>0</v>
      </c>
      <c r="AE28" s="393">
        <f>'ORÇAMENTO GERAL'!$J$116</f>
        <v>14.8</v>
      </c>
      <c r="AF28" s="393">
        <f>'ORÇAMENTO GERAL'!$J$117</f>
        <v>3.72</v>
      </c>
      <c r="AG28" s="393">
        <f>'ORÇAMENTO GERAL'!$J$120</f>
        <v>3058.06</v>
      </c>
      <c r="AH28" s="393">
        <f>'ORÇAMENTO GERAL'!$J$121</f>
        <v>3.14</v>
      </c>
      <c r="AI28" s="393">
        <f>'ORÇAMENTO GERAL'!$J$122</f>
        <v>235.94</v>
      </c>
      <c r="AJ28" s="393">
        <f t="shared" si="8"/>
        <v>0</v>
      </c>
    </row>
    <row r="29" spans="1:36" ht="54.75" customHeight="1" hidden="1">
      <c r="A29" s="307">
        <v>17</v>
      </c>
      <c r="B29" s="353">
        <f>DADOS!B25</f>
        <v>0</v>
      </c>
      <c r="C29" s="354">
        <f>DADOS!E25</f>
        <v>0</v>
      </c>
      <c r="D29" s="345">
        <f>DADOS!F25</f>
        <v>0</v>
      </c>
      <c r="E29" s="345"/>
      <c r="F29" s="345">
        <f t="shared" si="1"/>
        <v>0</v>
      </c>
      <c r="G29" s="345">
        <f t="shared" si="2"/>
        <v>0</v>
      </c>
      <c r="H29" s="345">
        <f t="shared" si="3"/>
        <v>0</v>
      </c>
      <c r="I29" s="345">
        <f t="shared" si="4"/>
        <v>0</v>
      </c>
      <c r="J29" s="345">
        <f t="shared" si="9"/>
        <v>0</v>
      </c>
      <c r="K29" s="345">
        <f t="shared" si="10"/>
        <v>0</v>
      </c>
      <c r="L29" s="345">
        <f t="shared" si="11"/>
        <v>0</v>
      </c>
      <c r="M29" s="345">
        <v>0.03</v>
      </c>
      <c r="N29" s="345">
        <f t="shared" si="12"/>
        <v>0</v>
      </c>
      <c r="O29" s="384">
        <f t="shared" si="13"/>
        <v>0</v>
      </c>
      <c r="P29" s="384">
        <f t="shared" si="14"/>
        <v>0</v>
      </c>
      <c r="Q29" s="967">
        <f t="shared" si="5"/>
        <v>0</v>
      </c>
      <c r="S29" s="390">
        <f t="shared" si="0"/>
        <v>17</v>
      </c>
      <c r="T29" s="393">
        <f>'ORÇAMENTO GERAL'!$J$18</f>
        <v>318.13</v>
      </c>
      <c r="U29" s="393">
        <f>'ORÇAMENTO GERAL'!$J$22</f>
        <v>109.39</v>
      </c>
      <c r="V29" s="393">
        <f>'ORÇAMENTO GERAL'!$J$19</f>
        <v>117.35</v>
      </c>
      <c r="W29" s="393">
        <f t="shared" si="6"/>
        <v>0</v>
      </c>
      <c r="Y29" s="393">
        <f>'ORÇAMENTO GERAL'!$J$23</f>
        <v>18.85</v>
      </c>
      <c r="Z29" s="393">
        <f>'ORÇAMENTO GERAL'!$J$24</f>
        <v>55.16</v>
      </c>
      <c r="AA29" s="393">
        <f>'ORÇAMENTO GERAL'!$J$25</f>
        <v>43.99</v>
      </c>
      <c r="AB29" s="393">
        <f>'ORÇAMENTO GERAL'!$J$19</f>
        <v>117.35</v>
      </c>
      <c r="AC29" s="393">
        <f t="shared" si="7"/>
        <v>0</v>
      </c>
      <c r="AE29" s="393">
        <f>'ORÇAMENTO GERAL'!$J$116</f>
        <v>14.8</v>
      </c>
      <c r="AF29" s="393">
        <f>'ORÇAMENTO GERAL'!$J$117</f>
        <v>3.72</v>
      </c>
      <c r="AG29" s="393">
        <f>'ORÇAMENTO GERAL'!$J$120</f>
        <v>3058.06</v>
      </c>
      <c r="AH29" s="393">
        <f>'ORÇAMENTO GERAL'!$J$121</f>
        <v>3.14</v>
      </c>
      <c r="AI29" s="393">
        <f>'ORÇAMENTO GERAL'!$J$122</f>
        <v>235.94</v>
      </c>
      <c r="AJ29" s="393">
        <f t="shared" si="8"/>
        <v>0</v>
      </c>
    </row>
    <row r="30" spans="1:36" ht="54.75" customHeight="1" hidden="1">
      <c r="A30" s="968">
        <v>18</v>
      </c>
      <c r="B30" s="353">
        <f>DADOS!B26</f>
        <v>0</v>
      </c>
      <c r="C30" s="354">
        <f>DADOS!E26</f>
        <v>0</v>
      </c>
      <c r="D30" s="345">
        <f>DADOS!F26</f>
        <v>0</v>
      </c>
      <c r="E30" s="345"/>
      <c r="F30" s="345">
        <f t="shared" si="1"/>
        <v>0</v>
      </c>
      <c r="G30" s="345">
        <f t="shared" si="2"/>
        <v>0</v>
      </c>
      <c r="H30" s="345">
        <f t="shared" si="3"/>
        <v>0</v>
      </c>
      <c r="I30" s="345">
        <f t="shared" si="4"/>
        <v>0</v>
      </c>
      <c r="J30" s="345">
        <f t="shared" si="9"/>
        <v>0</v>
      </c>
      <c r="K30" s="345">
        <f t="shared" si="10"/>
        <v>0</v>
      </c>
      <c r="L30" s="345">
        <f t="shared" si="11"/>
        <v>0</v>
      </c>
      <c r="M30" s="345">
        <v>0.03</v>
      </c>
      <c r="N30" s="345">
        <f t="shared" si="12"/>
        <v>0</v>
      </c>
      <c r="O30" s="384">
        <f t="shared" si="13"/>
        <v>0</v>
      </c>
      <c r="P30" s="384">
        <f t="shared" si="14"/>
        <v>0</v>
      </c>
      <c r="Q30" s="967">
        <f t="shared" si="5"/>
        <v>0</v>
      </c>
      <c r="S30" s="390">
        <f t="shared" si="0"/>
        <v>18</v>
      </c>
      <c r="T30" s="393">
        <f>'ORÇAMENTO GERAL'!$J$18</f>
        <v>318.13</v>
      </c>
      <c r="U30" s="393">
        <f>'ORÇAMENTO GERAL'!$J$22</f>
        <v>109.39</v>
      </c>
      <c r="V30" s="393">
        <f>'ORÇAMENTO GERAL'!$J$19</f>
        <v>117.35</v>
      </c>
      <c r="W30" s="393">
        <f t="shared" si="6"/>
        <v>0</v>
      </c>
      <c r="Y30" s="393">
        <f>'ORÇAMENTO GERAL'!$J$23</f>
        <v>18.85</v>
      </c>
      <c r="Z30" s="393">
        <f>'ORÇAMENTO GERAL'!$J$24</f>
        <v>55.16</v>
      </c>
      <c r="AA30" s="393">
        <f>'ORÇAMENTO GERAL'!$J$25</f>
        <v>43.99</v>
      </c>
      <c r="AB30" s="393">
        <f>'ORÇAMENTO GERAL'!$J$19</f>
        <v>117.35</v>
      </c>
      <c r="AC30" s="393">
        <f t="shared" si="7"/>
        <v>0</v>
      </c>
      <c r="AE30" s="393">
        <f>'ORÇAMENTO GERAL'!$J$116</f>
        <v>14.8</v>
      </c>
      <c r="AF30" s="393">
        <f>'ORÇAMENTO GERAL'!$J$117</f>
        <v>3.72</v>
      </c>
      <c r="AG30" s="393">
        <f>'ORÇAMENTO GERAL'!$J$120</f>
        <v>3058.06</v>
      </c>
      <c r="AH30" s="393">
        <f>'ORÇAMENTO GERAL'!$J$121</f>
        <v>3.14</v>
      </c>
      <c r="AI30" s="393">
        <f>'ORÇAMENTO GERAL'!$J$122</f>
        <v>235.94</v>
      </c>
      <c r="AJ30" s="393">
        <f t="shared" si="8"/>
        <v>0</v>
      </c>
    </row>
    <row r="31" spans="1:36" ht="54.75" customHeight="1" hidden="1">
      <c r="A31" s="307">
        <v>19</v>
      </c>
      <c r="B31" s="353">
        <f>DADOS!B27</f>
        <v>0</v>
      </c>
      <c r="C31" s="354">
        <f>DADOS!E27</f>
        <v>0</v>
      </c>
      <c r="D31" s="345">
        <f>DADOS!F27</f>
        <v>0</v>
      </c>
      <c r="E31" s="345"/>
      <c r="F31" s="345">
        <f t="shared" si="1"/>
        <v>0</v>
      </c>
      <c r="G31" s="345">
        <f t="shared" si="2"/>
        <v>0</v>
      </c>
      <c r="H31" s="345">
        <f t="shared" si="3"/>
        <v>0</v>
      </c>
      <c r="I31" s="345">
        <f t="shared" si="4"/>
        <v>0</v>
      </c>
      <c r="J31" s="345">
        <f t="shared" si="9"/>
        <v>0</v>
      </c>
      <c r="K31" s="345">
        <f t="shared" si="10"/>
        <v>0</v>
      </c>
      <c r="L31" s="345">
        <f t="shared" si="11"/>
        <v>0</v>
      </c>
      <c r="M31" s="345">
        <v>0.03</v>
      </c>
      <c r="N31" s="345">
        <f t="shared" si="12"/>
        <v>0</v>
      </c>
      <c r="O31" s="384">
        <f t="shared" si="13"/>
        <v>0</v>
      </c>
      <c r="P31" s="384">
        <f t="shared" si="14"/>
        <v>0</v>
      </c>
      <c r="Q31" s="967">
        <f t="shared" si="5"/>
        <v>0</v>
      </c>
      <c r="S31" s="390">
        <f t="shared" si="0"/>
        <v>19</v>
      </c>
      <c r="T31" s="393">
        <f>'ORÇAMENTO GERAL'!$J$18</f>
        <v>318.13</v>
      </c>
      <c r="U31" s="393">
        <f>'ORÇAMENTO GERAL'!$J$22</f>
        <v>109.39</v>
      </c>
      <c r="V31" s="393">
        <f>'ORÇAMENTO GERAL'!$J$19</f>
        <v>117.35</v>
      </c>
      <c r="W31" s="393">
        <f t="shared" si="6"/>
        <v>0</v>
      </c>
      <c r="Y31" s="393">
        <f>'ORÇAMENTO GERAL'!$J$23</f>
        <v>18.85</v>
      </c>
      <c r="Z31" s="393">
        <f>'ORÇAMENTO GERAL'!$J$24</f>
        <v>55.16</v>
      </c>
      <c r="AA31" s="393">
        <f>'ORÇAMENTO GERAL'!$J$25</f>
        <v>43.99</v>
      </c>
      <c r="AB31" s="393">
        <f>'ORÇAMENTO GERAL'!$J$19</f>
        <v>117.35</v>
      </c>
      <c r="AC31" s="393">
        <f t="shared" si="7"/>
        <v>0</v>
      </c>
      <c r="AE31" s="393">
        <f>'ORÇAMENTO GERAL'!$J$116</f>
        <v>14.8</v>
      </c>
      <c r="AF31" s="393">
        <f>'ORÇAMENTO GERAL'!$J$117</f>
        <v>3.72</v>
      </c>
      <c r="AG31" s="393">
        <f>'ORÇAMENTO GERAL'!$J$120</f>
        <v>3058.06</v>
      </c>
      <c r="AH31" s="393">
        <f>'ORÇAMENTO GERAL'!$J$121</f>
        <v>3.14</v>
      </c>
      <c r="AI31" s="393">
        <f>'ORÇAMENTO GERAL'!$J$122</f>
        <v>235.94</v>
      </c>
      <c r="AJ31" s="393">
        <f t="shared" si="8"/>
        <v>0</v>
      </c>
    </row>
    <row r="32" spans="1:36" ht="54.75" customHeight="1" hidden="1" thickBot="1">
      <c r="A32" s="969">
        <v>20</v>
      </c>
      <c r="B32" s="353">
        <f>DADOS!B28</f>
        <v>0</v>
      </c>
      <c r="C32" s="354">
        <f>DADOS!E28</f>
        <v>0</v>
      </c>
      <c r="D32" s="345">
        <f>DADOS!F28</f>
        <v>0</v>
      </c>
      <c r="E32" s="345"/>
      <c r="F32" s="345">
        <f t="shared" si="1"/>
        <v>0</v>
      </c>
      <c r="G32" s="345">
        <f t="shared" si="2"/>
        <v>0</v>
      </c>
      <c r="H32" s="345">
        <f t="shared" si="3"/>
        <v>0</v>
      </c>
      <c r="I32" s="345">
        <f t="shared" si="4"/>
        <v>0</v>
      </c>
      <c r="J32" s="345">
        <f t="shared" si="9"/>
        <v>0</v>
      </c>
      <c r="K32" s="345">
        <f t="shared" si="10"/>
        <v>0</v>
      </c>
      <c r="L32" s="345">
        <f t="shared" si="11"/>
        <v>0</v>
      </c>
      <c r="M32" s="345">
        <v>0.03</v>
      </c>
      <c r="N32" s="345">
        <f t="shared" si="12"/>
        <v>0</v>
      </c>
      <c r="O32" s="384">
        <f t="shared" si="13"/>
        <v>0</v>
      </c>
      <c r="P32" s="384">
        <f t="shared" si="14"/>
        <v>0</v>
      </c>
      <c r="Q32" s="967">
        <f t="shared" si="5"/>
        <v>0</v>
      </c>
      <c r="S32" s="390">
        <f t="shared" si="0"/>
        <v>20</v>
      </c>
      <c r="T32" s="393">
        <f>'ORÇAMENTO GERAL'!$J$18</f>
        <v>318.13</v>
      </c>
      <c r="U32" s="393">
        <f>'ORÇAMENTO GERAL'!$J$22</f>
        <v>109.39</v>
      </c>
      <c r="V32" s="393">
        <f>'ORÇAMENTO GERAL'!$J$19</f>
        <v>117.35</v>
      </c>
      <c r="W32" s="393">
        <f t="shared" si="6"/>
        <v>0</v>
      </c>
      <c r="Y32" s="393">
        <f>'ORÇAMENTO GERAL'!$J$23</f>
        <v>18.85</v>
      </c>
      <c r="Z32" s="393">
        <f>'ORÇAMENTO GERAL'!$J$24</f>
        <v>55.16</v>
      </c>
      <c r="AA32" s="393">
        <f>'ORÇAMENTO GERAL'!$J$25</f>
        <v>43.99</v>
      </c>
      <c r="AB32" s="393">
        <f>'ORÇAMENTO GERAL'!$J$19</f>
        <v>117.35</v>
      </c>
      <c r="AC32" s="393">
        <f t="shared" si="7"/>
        <v>0</v>
      </c>
      <c r="AE32" s="393">
        <f>'ORÇAMENTO GERAL'!$J$116</f>
        <v>14.8</v>
      </c>
      <c r="AF32" s="393">
        <f>'ORÇAMENTO GERAL'!$J$117</f>
        <v>3.72</v>
      </c>
      <c r="AG32" s="393">
        <f>'ORÇAMENTO GERAL'!$J$120</f>
        <v>3058.06</v>
      </c>
      <c r="AH32" s="393">
        <f>'ORÇAMENTO GERAL'!$J$121</f>
        <v>3.14</v>
      </c>
      <c r="AI32" s="393">
        <f>'ORÇAMENTO GERAL'!$J$122</f>
        <v>235.94</v>
      </c>
      <c r="AJ32" s="393">
        <f t="shared" si="8"/>
        <v>0</v>
      </c>
    </row>
    <row r="33" spans="1:17" s="554" customFormat="1" ht="99.75" customHeight="1">
      <c r="A33" s="970" t="s">
        <v>414</v>
      </c>
      <c r="B33" s="971"/>
      <c r="C33" s="972">
        <f aca="true" t="shared" si="15" ref="C33:Q33">SUM(C13:C32)</f>
        <v>368.7</v>
      </c>
      <c r="D33" s="972"/>
      <c r="E33" s="972"/>
      <c r="F33" s="973">
        <f t="shared" si="15"/>
        <v>0</v>
      </c>
      <c r="G33" s="973">
        <f t="shared" si="15"/>
        <v>0</v>
      </c>
      <c r="H33" s="973">
        <f t="shared" si="15"/>
        <v>31.71</v>
      </c>
      <c r="I33" s="973">
        <f t="shared" si="15"/>
        <v>737.4</v>
      </c>
      <c r="J33" s="973">
        <f t="shared" si="15"/>
        <v>0</v>
      </c>
      <c r="K33" s="973">
        <f t="shared" si="15"/>
        <v>0</v>
      </c>
      <c r="L33" s="973">
        <f t="shared" si="15"/>
        <v>0</v>
      </c>
      <c r="M33" s="973"/>
      <c r="N33" s="973">
        <f t="shared" si="15"/>
        <v>0</v>
      </c>
      <c r="O33" s="973">
        <f t="shared" si="15"/>
        <v>0</v>
      </c>
      <c r="P33" s="973">
        <f t="shared" si="15"/>
        <v>0</v>
      </c>
      <c r="Q33" s="972">
        <f t="shared" si="15"/>
        <v>1843.5</v>
      </c>
    </row>
    <row r="34" spans="1:17" s="343" customFormat="1" ht="19.5" customHeight="1">
      <c r="A34" s="342"/>
      <c r="B34" s="344"/>
      <c r="C34" s="344"/>
      <c r="D34" s="344"/>
      <c r="E34" s="344"/>
      <c r="F34" s="344"/>
      <c r="G34" s="344"/>
      <c r="H34" s="344"/>
      <c r="I34" s="344"/>
      <c r="J34" s="344"/>
      <c r="K34" s="344"/>
      <c r="L34" s="344"/>
      <c r="M34" s="344"/>
      <c r="N34" s="344"/>
      <c r="O34" s="344"/>
      <c r="P34" s="344"/>
      <c r="Q34" s="344"/>
    </row>
    <row r="35" spans="1:17" s="343" customFormat="1" ht="19.5" customHeight="1">
      <c r="A35" s="342"/>
      <c r="B35" s="344"/>
      <c r="C35" s="344"/>
      <c r="D35" s="344"/>
      <c r="E35" s="344"/>
      <c r="F35" s="344"/>
      <c r="G35" s="344"/>
      <c r="H35" s="344"/>
      <c r="I35" s="344"/>
      <c r="J35" s="344"/>
      <c r="K35" s="344"/>
      <c r="L35" s="344"/>
      <c r="M35" s="344"/>
      <c r="N35" s="344"/>
      <c r="O35" s="344"/>
      <c r="P35" s="344"/>
      <c r="Q35" s="344"/>
    </row>
    <row r="36" spans="1:17" s="343" customFormat="1" ht="19.5" customHeight="1">
      <c r="A36" s="342"/>
      <c r="B36" s="344"/>
      <c r="C36" s="344"/>
      <c r="D36" s="344"/>
      <c r="E36" s="344"/>
      <c r="F36" s="344"/>
      <c r="G36" s="344"/>
      <c r="H36" s="344"/>
      <c r="I36" s="344"/>
      <c r="J36" s="344"/>
      <c r="K36" s="344"/>
      <c r="L36" s="344"/>
      <c r="M36" s="344"/>
      <c r="N36" s="344"/>
      <c r="O36" s="344"/>
      <c r="P36" s="344"/>
      <c r="Q36" s="344"/>
    </row>
    <row r="37" spans="1:17" s="343" customFormat="1" ht="19.5" customHeight="1">
      <c r="A37" s="342"/>
      <c r="B37" s="344"/>
      <c r="C37" s="344"/>
      <c r="D37" s="344"/>
      <c r="E37" s="344"/>
      <c r="F37" s="344"/>
      <c r="G37" s="344"/>
      <c r="H37" s="344"/>
      <c r="I37" s="344"/>
      <c r="J37" s="344"/>
      <c r="K37" s="344"/>
      <c r="L37" s="344"/>
      <c r="M37" s="344"/>
      <c r="N37" s="344"/>
      <c r="O37" s="344"/>
      <c r="P37" s="344"/>
      <c r="Q37" s="344"/>
    </row>
    <row r="38" spans="1:17" s="343" customFormat="1" ht="19.5" customHeight="1">
      <c r="A38" s="342"/>
      <c r="B38" s="344"/>
      <c r="C38" s="344"/>
      <c r="D38" s="344"/>
      <c r="E38" s="344"/>
      <c r="F38" s="344"/>
      <c r="G38" s="344"/>
      <c r="H38" s="344"/>
      <c r="I38" s="344"/>
      <c r="J38" s="344"/>
      <c r="K38" s="344"/>
      <c r="L38" s="344"/>
      <c r="M38" s="344"/>
      <c r="N38" s="344"/>
      <c r="O38" s="344"/>
      <c r="P38" s="344"/>
      <c r="Q38" s="344"/>
    </row>
    <row r="39" spans="1:17" s="343" customFormat="1" ht="19.5" customHeight="1">
      <c r="A39" s="342"/>
      <c r="B39" s="344"/>
      <c r="C39" s="344"/>
      <c r="D39" s="344"/>
      <c r="E39" s="344"/>
      <c r="F39" s="344"/>
      <c r="G39" s="344"/>
      <c r="H39" s="344"/>
      <c r="I39" s="344"/>
      <c r="J39" s="344"/>
      <c r="K39" s="344"/>
      <c r="L39" s="344"/>
      <c r="M39" s="344"/>
      <c r="N39" s="344"/>
      <c r="O39" s="344"/>
      <c r="P39" s="344"/>
      <c r="Q39" s="344"/>
    </row>
    <row r="40" spans="1:17" s="343" customFormat="1" ht="19.5" customHeight="1">
      <c r="A40" s="342"/>
      <c r="B40" s="344"/>
      <c r="C40" s="344"/>
      <c r="D40" s="344"/>
      <c r="E40" s="344"/>
      <c r="F40" s="344"/>
      <c r="G40" s="344"/>
      <c r="H40" s="344"/>
      <c r="I40" s="344"/>
      <c r="J40" s="344"/>
      <c r="K40" s="344"/>
      <c r="L40" s="344"/>
      <c r="M40" s="344"/>
      <c r="N40" s="344"/>
      <c r="O40" s="344"/>
      <c r="P40" s="344"/>
      <c r="Q40" s="344"/>
    </row>
    <row r="41" spans="1:17" s="343" customFormat="1" ht="19.5" customHeight="1">
      <c r="A41" s="342"/>
      <c r="B41" s="344"/>
      <c r="C41" s="344"/>
      <c r="D41" s="344"/>
      <c r="E41" s="344"/>
      <c r="F41" s="344"/>
      <c r="G41" s="344"/>
      <c r="H41" s="344"/>
      <c r="I41" s="344"/>
      <c r="J41" s="344"/>
      <c r="K41" s="344"/>
      <c r="L41" s="344"/>
      <c r="M41" s="344"/>
      <c r="N41" s="344"/>
      <c r="O41" s="344"/>
      <c r="P41" s="344"/>
      <c r="Q41" s="344"/>
    </row>
    <row r="42" spans="1:17" s="343" customFormat="1" ht="19.5" customHeight="1">
      <c r="A42" s="342"/>
      <c r="B42" s="344"/>
      <c r="C42" s="344"/>
      <c r="D42" s="344"/>
      <c r="E42" s="344"/>
      <c r="F42" s="344"/>
      <c r="G42" s="344"/>
      <c r="H42" s="344"/>
      <c r="I42" s="344"/>
      <c r="J42" s="344"/>
      <c r="K42" s="344"/>
      <c r="L42" s="344"/>
      <c r="M42" s="344"/>
      <c r="N42" s="344"/>
      <c r="O42" s="344"/>
      <c r="P42" s="344"/>
      <c r="Q42" s="344"/>
    </row>
    <row r="43" spans="1:17" s="343" customFormat="1" ht="19.5" customHeight="1">
      <c r="A43" s="342"/>
      <c r="B43" s="344"/>
      <c r="C43" s="344"/>
      <c r="D43" s="344"/>
      <c r="E43" s="344"/>
      <c r="F43" s="344"/>
      <c r="G43" s="344"/>
      <c r="H43" s="344"/>
      <c r="I43" s="344"/>
      <c r="J43" s="344"/>
      <c r="K43" s="344"/>
      <c r="L43" s="344"/>
      <c r="M43" s="344"/>
      <c r="N43" s="344"/>
      <c r="O43" s="344"/>
      <c r="P43" s="344"/>
      <c r="Q43" s="344"/>
    </row>
    <row r="44" spans="1:17" s="343" customFormat="1" ht="19.5" customHeight="1">
      <c r="A44" s="342"/>
      <c r="B44" s="344"/>
      <c r="C44" s="344"/>
      <c r="D44" s="344"/>
      <c r="E44" s="344"/>
      <c r="F44" s="344"/>
      <c r="G44" s="344"/>
      <c r="H44" s="344"/>
      <c r="I44" s="344"/>
      <c r="J44" s="344"/>
      <c r="K44" s="344"/>
      <c r="L44" s="344"/>
      <c r="M44" s="344"/>
      <c r="N44" s="344"/>
      <c r="O44" s="344"/>
      <c r="P44" s="344"/>
      <c r="Q44" s="344"/>
    </row>
    <row r="45" spans="1:17" s="343" customFormat="1" ht="19.5" customHeight="1">
      <c r="A45" s="342"/>
      <c r="B45" s="344"/>
      <c r="C45" s="344"/>
      <c r="D45" s="344"/>
      <c r="E45" s="344"/>
      <c r="F45" s="344"/>
      <c r="G45" s="344"/>
      <c r="H45" s="344"/>
      <c r="I45" s="344"/>
      <c r="J45" s="344"/>
      <c r="K45" s="344"/>
      <c r="L45" s="344"/>
      <c r="M45" s="344"/>
      <c r="N45" s="344"/>
      <c r="O45" s="344"/>
      <c r="P45" s="344"/>
      <c r="Q45" s="344"/>
    </row>
    <row r="46" spans="1:17" s="343" customFormat="1" ht="19.5" customHeight="1">
      <c r="A46" s="342"/>
      <c r="B46" s="344"/>
      <c r="C46" s="344"/>
      <c r="D46" s="344"/>
      <c r="E46" s="344"/>
      <c r="F46" s="344"/>
      <c r="G46" s="344"/>
      <c r="H46" s="344"/>
      <c r="I46" s="344"/>
      <c r="J46" s="344"/>
      <c r="K46" s="344"/>
      <c r="L46" s="344"/>
      <c r="M46" s="344"/>
      <c r="N46" s="344"/>
      <c r="O46" s="344"/>
      <c r="P46" s="344"/>
      <c r="Q46" s="344"/>
    </row>
    <row r="47" spans="1:17" s="343" customFormat="1" ht="19.5" customHeight="1">
      <c r="A47" s="342"/>
      <c r="B47" s="344"/>
      <c r="C47" s="344"/>
      <c r="D47" s="344"/>
      <c r="E47" s="344"/>
      <c r="F47" s="344"/>
      <c r="G47" s="344"/>
      <c r="H47" s="344"/>
      <c r="I47" s="344"/>
      <c r="J47" s="344"/>
      <c r="K47" s="344"/>
      <c r="L47" s="344"/>
      <c r="M47" s="344"/>
      <c r="N47" s="344"/>
      <c r="O47" s="344"/>
      <c r="P47" s="344"/>
      <c r="Q47" s="344"/>
    </row>
    <row r="48" spans="1:17" s="343" customFormat="1" ht="19.5" customHeight="1">
      <c r="A48" s="342"/>
      <c r="B48" s="344"/>
      <c r="C48" s="344"/>
      <c r="D48" s="344"/>
      <c r="E48" s="344"/>
      <c r="F48" s="344"/>
      <c r="G48" s="344"/>
      <c r="H48" s="344"/>
      <c r="I48" s="344"/>
      <c r="J48" s="344"/>
      <c r="K48" s="344"/>
      <c r="L48" s="344"/>
      <c r="M48" s="344"/>
      <c r="N48" s="344"/>
      <c r="O48" s="344"/>
      <c r="P48" s="344"/>
      <c r="Q48" s="344"/>
    </row>
    <row r="49" spans="1:17" s="343" customFormat="1" ht="19.5" customHeight="1">
      <c r="A49" s="342"/>
      <c r="B49" s="344"/>
      <c r="C49" s="344"/>
      <c r="D49" s="344"/>
      <c r="E49" s="344"/>
      <c r="F49" s="344"/>
      <c r="G49" s="344"/>
      <c r="H49" s="344"/>
      <c r="I49" s="344"/>
      <c r="J49" s="344"/>
      <c r="K49" s="344"/>
      <c r="L49" s="344"/>
      <c r="M49" s="344"/>
      <c r="N49" s="344"/>
      <c r="O49" s="344"/>
      <c r="P49" s="344"/>
      <c r="Q49" s="344"/>
    </row>
    <row r="50" spans="1:17" s="343" customFormat="1" ht="19.5" customHeight="1">
      <c r="A50" s="342"/>
      <c r="B50" s="344"/>
      <c r="C50" s="344"/>
      <c r="D50" s="344"/>
      <c r="E50" s="344"/>
      <c r="F50" s="344"/>
      <c r="G50" s="344"/>
      <c r="H50" s="344"/>
      <c r="I50" s="344"/>
      <c r="J50" s="344"/>
      <c r="K50" s="344"/>
      <c r="L50" s="344"/>
      <c r="M50" s="344"/>
      <c r="N50" s="344"/>
      <c r="O50" s="344"/>
      <c r="P50" s="344"/>
      <c r="Q50" s="344"/>
    </row>
    <row r="51" spans="1:17" s="343" customFormat="1" ht="19.5" customHeight="1">
      <c r="A51" s="342"/>
      <c r="B51" s="344"/>
      <c r="C51" s="344"/>
      <c r="D51" s="344"/>
      <c r="E51" s="344"/>
      <c r="F51" s="344"/>
      <c r="G51" s="344"/>
      <c r="H51" s="344"/>
      <c r="I51" s="344"/>
      <c r="J51" s="344"/>
      <c r="K51" s="344"/>
      <c r="L51" s="344"/>
      <c r="M51" s="344"/>
      <c r="N51" s="344"/>
      <c r="O51" s="344"/>
      <c r="P51" s="344"/>
      <c r="Q51" s="344"/>
    </row>
    <row r="52" spans="1:17" s="343" customFormat="1" ht="19.5" customHeight="1">
      <c r="A52" s="342"/>
      <c r="B52" s="344"/>
      <c r="C52" s="344"/>
      <c r="D52" s="344"/>
      <c r="E52" s="344"/>
      <c r="F52" s="344"/>
      <c r="G52" s="344"/>
      <c r="H52" s="344"/>
      <c r="I52" s="344"/>
      <c r="J52" s="344"/>
      <c r="K52" s="344"/>
      <c r="L52" s="344"/>
      <c r="M52" s="344"/>
      <c r="N52" s="344"/>
      <c r="O52" s="344"/>
      <c r="P52" s="344"/>
      <c r="Q52" s="344"/>
    </row>
    <row r="53" spans="1:17" s="343" customFormat="1" ht="19.5" customHeight="1">
      <c r="A53" s="342"/>
      <c r="B53" s="344"/>
      <c r="C53" s="344"/>
      <c r="D53" s="344"/>
      <c r="E53" s="344"/>
      <c r="F53" s="344"/>
      <c r="G53" s="344"/>
      <c r="H53" s="344"/>
      <c r="I53" s="344"/>
      <c r="J53" s="344"/>
      <c r="K53" s="344"/>
      <c r="L53" s="344"/>
      <c r="M53" s="344"/>
      <c r="N53" s="344"/>
      <c r="O53" s="344"/>
      <c r="P53" s="344"/>
      <c r="Q53" s="344"/>
    </row>
    <row r="54" spans="1:17" s="343" customFormat="1" ht="19.5" customHeight="1">
      <c r="A54" s="342"/>
      <c r="B54" s="344"/>
      <c r="C54" s="344"/>
      <c r="D54" s="344"/>
      <c r="E54" s="344"/>
      <c r="F54" s="344"/>
      <c r="G54" s="344"/>
      <c r="H54" s="344"/>
      <c r="I54" s="344"/>
      <c r="J54" s="344"/>
      <c r="K54" s="344"/>
      <c r="L54" s="344"/>
      <c r="M54" s="344"/>
      <c r="N54" s="344"/>
      <c r="O54" s="344"/>
      <c r="P54" s="344"/>
      <c r="Q54" s="344"/>
    </row>
    <row r="55" spans="1:17" s="343" customFormat="1" ht="19.5" customHeight="1">
      <c r="A55" s="342"/>
      <c r="B55" s="344"/>
      <c r="C55" s="344"/>
      <c r="D55" s="344"/>
      <c r="E55" s="344"/>
      <c r="F55" s="344"/>
      <c r="G55" s="344"/>
      <c r="H55" s="344"/>
      <c r="I55" s="344"/>
      <c r="J55" s="344"/>
      <c r="K55" s="344"/>
      <c r="L55" s="344"/>
      <c r="M55" s="344"/>
      <c r="N55" s="344"/>
      <c r="O55" s="344"/>
      <c r="P55" s="344"/>
      <c r="Q55" s="344"/>
    </row>
    <row r="56" spans="1:17" s="343" customFormat="1" ht="19.5" customHeight="1">
      <c r="A56" s="342"/>
      <c r="B56" s="344"/>
      <c r="C56" s="344"/>
      <c r="D56" s="344"/>
      <c r="E56" s="344"/>
      <c r="F56" s="344"/>
      <c r="G56" s="344"/>
      <c r="H56" s="344"/>
      <c r="I56" s="344"/>
      <c r="J56" s="344"/>
      <c r="K56" s="344"/>
      <c r="L56" s="344"/>
      <c r="M56" s="344"/>
      <c r="N56" s="344"/>
      <c r="O56" s="344"/>
      <c r="P56" s="344"/>
      <c r="Q56" s="344"/>
    </row>
    <row r="57" spans="1:17" s="343" customFormat="1" ht="19.5" customHeight="1">
      <c r="A57" s="342"/>
      <c r="B57" s="344"/>
      <c r="C57" s="344"/>
      <c r="D57" s="344"/>
      <c r="E57" s="344"/>
      <c r="F57" s="344"/>
      <c r="G57" s="344"/>
      <c r="H57" s="344"/>
      <c r="I57" s="344"/>
      <c r="J57" s="344"/>
      <c r="K57" s="344"/>
      <c r="L57" s="344"/>
      <c r="M57" s="344"/>
      <c r="N57" s="344"/>
      <c r="O57" s="344"/>
      <c r="P57" s="344"/>
      <c r="Q57" s="344"/>
    </row>
    <row r="58" spans="1:17" s="343" customFormat="1" ht="19.5" customHeight="1">
      <c r="A58" s="342"/>
      <c r="B58" s="344"/>
      <c r="C58" s="344"/>
      <c r="D58" s="344"/>
      <c r="E58" s="344"/>
      <c r="F58" s="344"/>
      <c r="G58" s="344"/>
      <c r="H58" s="344"/>
      <c r="I58" s="344"/>
      <c r="J58" s="344"/>
      <c r="K58" s="344"/>
      <c r="L58" s="344"/>
      <c r="M58" s="344"/>
      <c r="N58" s="344"/>
      <c r="O58" s="344"/>
      <c r="P58" s="344"/>
      <c r="Q58" s="344"/>
    </row>
    <row r="59" spans="1:17" s="343" customFormat="1" ht="19.5" customHeight="1">
      <c r="A59" s="342"/>
      <c r="B59" s="344"/>
      <c r="C59" s="344"/>
      <c r="D59" s="344"/>
      <c r="E59" s="344"/>
      <c r="F59" s="344"/>
      <c r="G59" s="344"/>
      <c r="H59" s="344"/>
      <c r="I59" s="344"/>
      <c r="J59" s="344"/>
      <c r="K59" s="344"/>
      <c r="L59" s="344"/>
      <c r="M59" s="344"/>
      <c r="N59" s="344"/>
      <c r="O59" s="344"/>
      <c r="P59" s="344"/>
      <c r="Q59" s="344"/>
    </row>
    <row r="60" spans="1:17" s="343" customFormat="1" ht="19.5" customHeight="1">
      <c r="A60" s="342"/>
      <c r="B60" s="344"/>
      <c r="C60" s="344"/>
      <c r="D60" s="344"/>
      <c r="E60" s="344"/>
      <c r="F60" s="344"/>
      <c r="G60" s="344"/>
      <c r="H60" s="344"/>
      <c r="I60" s="344"/>
      <c r="J60" s="344"/>
      <c r="K60" s="344"/>
      <c r="L60" s="344"/>
      <c r="M60" s="344"/>
      <c r="N60" s="344"/>
      <c r="O60" s="344"/>
      <c r="P60" s="344"/>
      <c r="Q60" s="344"/>
    </row>
    <row r="61" spans="1:17" s="343" customFormat="1" ht="19.5" customHeight="1">
      <c r="A61" s="342"/>
      <c r="B61" s="344"/>
      <c r="C61" s="344"/>
      <c r="D61" s="344"/>
      <c r="E61" s="344"/>
      <c r="F61" s="344"/>
      <c r="G61" s="344"/>
      <c r="H61" s="344"/>
      <c r="I61" s="344"/>
      <c r="J61" s="344"/>
      <c r="K61" s="344"/>
      <c r="L61" s="344"/>
      <c r="M61" s="344"/>
      <c r="N61" s="344"/>
      <c r="O61" s="344"/>
      <c r="P61" s="344"/>
      <c r="Q61" s="344"/>
    </row>
    <row r="62" spans="1:17" s="343" customFormat="1" ht="19.5" customHeight="1">
      <c r="A62" s="342"/>
      <c r="B62" s="344"/>
      <c r="C62" s="344"/>
      <c r="D62" s="344"/>
      <c r="E62" s="344"/>
      <c r="F62" s="344"/>
      <c r="G62" s="344"/>
      <c r="H62" s="344"/>
      <c r="I62" s="344"/>
      <c r="J62" s="344"/>
      <c r="K62" s="344"/>
      <c r="L62" s="344"/>
      <c r="M62" s="344"/>
      <c r="N62" s="344"/>
      <c r="O62" s="344"/>
      <c r="P62" s="344"/>
      <c r="Q62" s="344"/>
    </row>
    <row r="63" spans="1:17" s="343" customFormat="1" ht="19.5" customHeight="1">
      <c r="A63" s="342"/>
      <c r="B63" s="344"/>
      <c r="C63" s="344"/>
      <c r="D63" s="344"/>
      <c r="E63" s="344"/>
      <c r="F63" s="344"/>
      <c r="G63" s="344"/>
      <c r="H63" s="344"/>
      <c r="I63" s="344"/>
      <c r="J63" s="344"/>
      <c r="K63" s="344"/>
      <c r="L63" s="344"/>
      <c r="M63" s="344"/>
      <c r="N63" s="344"/>
      <c r="O63" s="344"/>
      <c r="P63" s="344"/>
      <c r="Q63" s="344"/>
    </row>
    <row r="64" spans="1:17" s="343" customFormat="1" ht="19.5" customHeight="1">
      <c r="A64" s="342"/>
      <c r="B64" s="344"/>
      <c r="C64" s="344"/>
      <c r="D64" s="344"/>
      <c r="E64" s="344"/>
      <c r="F64" s="344"/>
      <c r="G64" s="344"/>
      <c r="H64" s="344"/>
      <c r="I64" s="344"/>
      <c r="J64" s="344"/>
      <c r="K64" s="344"/>
      <c r="L64" s="344"/>
      <c r="M64" s="344"/>
      <c r="N64" s="344"/>
      <c r="O64" s="344"/>
      <c r="P64" s="344"/>
      <c r="Q64" s="344"/>
    </row>
    <row r="65" spans="1:17" s="343" customFormat="1" ht="19.5" customHeight="1">
      <c r="A65" s="342"/>
      <c r="B65" s="344"/>
      <c r="C65" s="344"/>
      <c r="D65" s="344"/>
      <c r="E65" s="344"/>
      <c r="F65" s="344"/>
      <c r="G65" s="344"/>
      <c r="H65" s="344"/>
      <c r="I65" s="344"/>
      <c r="J65" s="344"/>
      <c r="K65" s="344"/>
      <c r="L65" s="344"/>
      <c r="M65" s="344"/>
      <c r="N65" s="344"/>
      <c r="O65" s="344"/>
      <c r="P65" s="344"/>
      <c r="Q65" s="344"/>
    </row>
    <row r="66" spans="1:17" s="343" customFormat="1" ht="19.5" customHeight="1">
      <c r="A66" s="342"/>
      <c r="B66" s="344"/>
      <c r="C66" s="344"/>
      <c r="D66" s="344"/>
      <c r="E66" s="344"/>
      <c r="F66" s="344"/>
      <c r="G66" s="344"/>
      <c r="H66" s="344"/>
      <c r="I66" s="344"/>
      <c r="J66" s="344"/>
      <c r="K66" s="344"/>
      <c r="L66" s="344"/>
      <c r="M66" s="344"/>
      <c r="N66" s="344"/>
      <c r="O66" s="344"/>
      <c r="P66" s="344"/>
      <c r="Q66" s="344"/>
    </row>
    <row r="67" spans="1:17" s="343" customFormat="1" ht="19.5" customHeight="1">
      <c r="A67" s="342"/>
      <c r="B67" s="344"/>
      <c r="C67" s="344"/>
      <c r="D67" s="344"/>
      <c r="E67" s="344"/>
      <c r="F67" s="344"/>
      <c r="G67" s="344"/>
      <c r="H67" s="344"/>
      <c r="I67" s="344"/>
      <c r="J67" s="344"/>
      <c r="K67" s="344"/>
      <c r="L67" s="344"/>
      <c r="M67" s="344"/>
      <c r="N67" s="344"/>
      <c r="O67" s="344"/>
      <c r="P67" s="344"/>
      <c r="Q67" s="344"/>
    </row>
    <row r="68" ht="19.5" customHeight="1"/>
    <row r="69" ht="9.75" customHeight="1"/>
    <row r="70" ht="19.5" customHeight="1"/>
    <row r="71" ht="19.5" customHeight="1"/>
    <row r="72" ht="19.5" customHeight="1"/>
    <row r="73" spans="1:17" s="343" customFormat="1" ht="19.5" customHeight="1">
      <c r="A73" s="342"/>
      <c r="B73" s="344"/>
      <c r="C73" s="344"/>
      <c r="D73" s="344"/>
      <c r="E73" s="344"/>
      <c r="F73" s="344"/>
      <c r="G73" s="344"/>
      <c r="H73" s="344"/>
      <c r="I73" s="344"/>
      <c r="J73" s="344"/>
      <c r="K73" s="344"/>
      <c r="L73" s="344"/>
      <c r="M73" s="344"/>
      <c r="N73" s="344"/>
      <c r="O73" s="344"/>
      <c r="P73" s="344"/>
      <c r="Q73" s="344"/>
    </row>
    <row r="74" spans="1:17" s="343" customFormat="1" ht="19.5" customHeight="1">
      <c r="A74" s="342"/>
      <c r="B74" s="344"/>
      <c r="C74" s="344"/>
      <c r="D74" s="344"/>
      <c r="E74" s="344"/>
      <c r="F74" s="344"/>
      <c r="G74" s="344"/>
      <c r="H74" s="344"/>
      <c r="I74" s="344"/>
      <c r="J74" s="344"/>
      <c r="K74" s="344"/>
      <c r="L74" s="344"/>
      <c r="M74" s="344"/>
      <c r="N74" s="344"/>
      <c r="O74" s="344"/>
      <c r="P74" s="344"/>
      <c r="Q74" s="344"/>
    </row>
    <row r="75" spans="1:17" s="343" customFormat="1" ht="19.5" customHeight="1">
      <c r="A75" s="342"/>
      <c r="B75" s="344"/>
      <c r="C75" s="344"/>
      <c r="D75" s="344"/>
      <c r="E75" s="344"/>
      <c r="F75" s="344"/>
      <c r="G75" s="344"/>
      <c r="H75" s="344"/>
      <c r="I75" s="344"/>
      <c r="J75" s="344"/>
      <c r="K75" s="344"/>
      <c r="L75" s="344"/>
      <c r="M75" s="344"/>
      <c r="N75" s="344"/>
      <c r="O75" s="344"/>
      <c r="P75" s="344"/>
      <c r="Q75" s="344"/>
    </row>
    <row r="76" spans="1:17" s="343" customFormat="1" ht="19.5" customHeight="1">
      <c r="A76" s="342"/>
      <c r="B76" s="344"/>
      <c r="C76" s="344"/>
      <c r="D76" s="344"/>
      <c r="E76" s="344"/>
      <c r="F76" s="344"/>
      <c r="G76" s="344"/>
      <c r="H76" s="344"/>
      <c r="I76" s="344"/>
      <c r="J76" s="344"/>
      <c r="K76" s="344"/>
      <c r="L76" s="344"/>
      <c r="M76" s="344"/>
      <c r="N76" s="344"/>
      <c r="O76" s="344"/>
      <c r="P76" s="344"/>
      <c r="Q76" s="344"/>
    </row>
    <row r="77" spans="1:17" s="343" customFormat="1" ht="19.5" customHeight="1">
      <c r="A77" s="342"/>
      <c r="B77" s="344"/>
      <c r="C77" s="344"/>
      <c r="D77" s="344"/>
      <c r="E77" s="344"/>
      <c r="F77" s="344"/>
      <c r="G77" s="344"/>
      <c r="H77" s="344"/>
      <c r="I77" s="344"/>
      <c r="J77" s="344"/>
      <c r="K77" s="344"/>
      <c r="L77" s="344"/>
      <c r="M77" s="344"/>
      <c r="N77" s="344"/>
      <c r="O77" s="344"/>
      <c r="P77" s="344"/>
      <c r="Q77" s="344"/>
    </row>
    <row r="78" spans="1:17" s="343" customFormat="1" ht="19.5" customHeight="1">
      <c r="A78" s="342"/>
      <c r="B78" s="344"/>
      <c r="C78" s="344"/>
      <c r="D78" s="344"/>
      <c r="E78" s="344"/>
      <c r="F78" s="344"/>
      <c r="G78" s="344"/>
      <c r="H78" s="344"/>
      <c r="I78" s="344"/>
      <c r="J78" s="344"/>
      <c r="K78" s="344"/>
      <c r="L78" s="344"/>
      <c r="M78" s="344"/>
      <c r="N78" s="344"/>
      <c r="O78" s="344"/>
      <c r="P78" s="344"/>
      <c r="Q78" s="344"/>
    </row>
    <row r="79" spans="1:17" s="343" customFormat="1" ht="19.5" customHeight="1">
      <c r="A79" s="342"/>
      <c r="B79" s="344"/>
      <c r="C79" s="344"/>
      <c r="D79" s="344"/>
      <c r="E79" s="344"/>
      <c r="F79" s="344"/>
      <c r="G79" s="344"/>
      <c r="H79" s="344"/>
      <c r="I79" s="344"/>
      <c r="J79" s="344"/>
      <c r="K79" s="344"/>
      <c r="L79" s="344"/>
      <c r="M79" s="344"/>
      <c r="N79" s="344"/>
      <c r="O79" s="344"/>
      <c r="P79" s="344"/>
      <c r="Q79" s="344"/>
    </row>
    <row r="80" spans="1:17" s="343" customFormat="1" ht="19.5" customHeight="1">
      <c r="A80" s="342"/>
      <c r="B80" s="344"/>
      <c r="C80" s="344"/>
      <c r="D80" s="344"/>
      <c r="E80" s="344"/>
      <c r="F80" s="344"/>
      <c r="G80" s="344"/>
      <c r="H80" s="344"/>
      <c r="I80" s="344"/>
      <c r="J80" s="344"/>
      <c r="K80" s="344"/>
      <c r="L80" s="344"/>
      <c r="M80" s="344"/>
      <c r="N80" s="344"/>
      <c r="O80" s="344"/>
      <c r="P80" s="344"/>
      <c r="Q80" s="344"/>
    </row>
    <row r="81" spans="1:17" s="343" customFormat="1" ht="19.5" customHeight="1">
      <c r="A81" s="342"/>
      <c r="B81" s="344"/>
      <c r="C81" s="344"/>
      <c r="D81" s="344"/>
      <c r="E81" s="344"/>
      <c r="F81" s="344"/>
      <c r="G81" s="344"/>
      <c r="H81" s="344"/>
      <c r="I81" s="344"/>
      <c r="J81" s="344"/>
      <c r="K81" s="344"/>
      <c r="L81" s="344"/>
      <c r="M81" s="344"/>
      <c r="N81" s="344"/>
      <c r="O81" s="344"/>
      <c r="P81" s="344"/>
      <c r="Q81" s="344"/>
    </row>
    <row r="82" spans="1:17" s="343" customFormat="1" ht="19.5" customHeight="1">
      <c r="A82" s="342"/>
      <c r="B82" s="344"/>
      <c r="C82" s="344"/>
      <c r="D82" s="344"/>
      <c r="E82" s="344"/>
      <c r="F82" s="344"/>
      <c r="G82" s="344"/>
      <c r="H82" s="344"/>
      <c r="I82" s="344"/>
      <c r="J82" s="344"/>
      <c r="K82" s="344"/>
      <c r="L82" s="344"/>
      <c r="M82" s="344"/>
      <c r="N82" s="344"/>
      <c r="O82" s="344"/>
      <c r="P82" s="344"/>
      <c r="Q82" s="344"/>
    </row>
    <row r="83" spans="1:17" s="343" customFormat="1" ht="19.5" customHeight="1">
      <c r="A83" s="342"/>
      <c r="B83" s="344"/>
      <c r="C83" s="344"/>
      <c r="D83" s="344"/>
      <c r="E83" s="344"/>
      <c r="F83" s="344"/>
      <c r="G83" s="344"/>
      <c r="H83" s="344"/>
      <c r="I83" s="344"/>
      <c r="J83" s="344"/>
      <c r="K83" s="344"/>
      <c r="L83" s="344"/>
      <c r="M83" s="344"/>
      <c r="N83" s="344"/>
      <c r="O83" s="344"/>
      <c r="P83" s="344"/>
      <c r="Q83" s="344"/>
    </row>
    <row r="84" spans="1:17" s="343" customFormat="1" ht="19.5" customHeight="1">
      <c r="A84" s="342"/>
      <c r="B84" s="344"/>
      <c r="C84" s="344"/>
      <c r="D84" s="344"/>
      <c r="E84" s="344"/>
      <c r="F84" s="344"/>
      <c r="G84" s="344"/>
      <c r="H84" s="344"/>
      <c r="I84" s="344"/>
      <c r="J84" s="344"/>
      <c r="K84" s="344"/>
      <c r="L84" s="344"/>
      <c r="M84" s="344"/>
      <c r="N84" s="344"/>
      <c r="O84" s="344"/>
      <c r="P84" s="344"/>
      <c r="Q84" s="344"/>
    </row>
    <row r="85" spans="1:17" s="343" customFormat="1" ht="19.5" customHeight="1">
      <c r="A85" s="342"/>
      <c r="B85" s="344"/>
      <c r="C85" s="344"/>
      <c r="D85" s="344"/>
      <c r="E85" s="344"/>
      <c r="F85" s="344"/>
      <c r="G85" s="344"/>
      <c r="H85" s="344"/>
      <c r="I85" s="344"/>
      <c r="J85" s="344"/>
      <c r="K85" s="344"/>
      <c r="L85" s="344"/>
      <c r="M85" s="344"/>
      <c r="N85" s="344"/>
      <c r="O85" s="344"/>
      <c r="P85" s="344"/>
      <c r="Q85" s="344"/>
    </row>
    <row r="86" spans="1:17" s="343" customFormat="1" ht="19.5" customHeight="1">
      <c r="A86" s="342"/>
      <c r="B86" s="344"/>
      <c r="C86" s="344"/>
      <c r="D86" s="344"/>
      <c r="E86" s="344"/>
      <c r="F86" s="344"/>
      <c r="G86" s="344"/>
      <c r="H86" s="344"/>
      <c r="I86" s="344"/>
      <c r="J86" s="344"/>
      <c r="K86" s="344"/>
      <c r="L86" s="344"/>
      <c r="M86" s="344"/>
      <c r="N86" s="344"/>
      <c r="O86" s="344"/>
      <c r="P86" s="344"/>
      <c r="Q86" s="344"/>
    </row>
    <row r="87" spans="1:17" s="343" customFormat="1" ht="19.5" customHeight="1">
      <c r="A87" s="342"/>
      <c r="B87" s="344"/>
      <c r="C87" s="344"/>
      <c r="D87" s="344"/>
      <c r="E87" s="344"/>
      <c r="F87" s="344"/>
      <c r="G87" s="344"/>
      <c r="H87" s="344"/>
      <c r="I87" s="344"/>
      <c r="J87" s="344"/>
      <c r="K87" s="344"/>
      <c r="L87" s="344"/>
      <c r="M87" s="344"/>
      <c r="N87" s="344"/>
      <c r="O87" s="344"/>
      <c r="P87" s="344"/>
      <c r="Q87" s="344"/>
    </row>
    <row r="88" spans="1:17" s="343" customFormat="1" ht="19.5" customHeight="1">
      <c r="A88" s="342"/>
      <c r="B88" s="344"/>
      <c r="C88" s="344"/>
      <c r="D88" s="344"/>
      <c r="E88" s="344"/>
      <c r="F88" s="344"/>
      <c r="G88" s="344"/>
      <c r="H88" s="344"/>
      <c r="I88" s="344"/>
      <c r="J88" s="344"/>
      <c r="K88" s="344"/>
      <c r="L88" s="344"/>
      <c r="M88" s="344"/>
      <c r="N88" s="344"/>
      <c r="O88" s="344"/>
      <c r="P88" s="344"/>
      <c r="Q88" s="344"/>
    </row>
    <row r="89" spans="1:17" s="343" customFormat="1" ht="19.5" customHeight="1">
      <c r="A89" s="342"/>
      <c r="B89" s="344"/>
      <c r="C89" s="344"/>
      <c r="D89" s="344"/>
      <c r="E89" s="344"/>
      <c r="F89" s="344"/>
      <c r="G89" s="344"/>
      <c r="H89" s="344"/>
      <c r="I89" s="344"/>
      <c r="J89" s="344"/>
      <c r="K89" s="344"/>
      <c r="L89" s="344"/>
      <c r="M89" s="344"/>
      <c r="N89" s="344"/>
      <c r="O89" s="344"/>
      <c r="P89" s="344"/>
      <c r="Q89" s="344"/>
    </row>
    <row r="90" spans="1:17" s="343" customFormat="1" ht="19.5" customHeight="1">
      <c r="A90" s="342"/>
      <c r="B90" s="344"/>
      <c r="C90" s="344"/>
      <c r="D90" s="344"/>
      <c r="E90" s="344"/>
      <c r="F90" s="344"/>
      <c r="G90" s="344"/>
      <c r="H90" s="344"/>
      <c r="I90" s="344"/>
      <c r="J90" s="344"/>
      <c r="K90" s="344"/>
      <c r="L90" s="344"/>
      <c r="M90" s="344"/>
      <c r="N90" s="344"/>
      <c r="O90" s="344"/>
      <c r="P90" s="344"/>
      <c r="Q90" s="344"/>
    </row>
    <row r="91" spans="1:17" s="343" customFormat="1" ht="19.5" customHeight="1">
      <c r="A91" s="342"/>
      <c r="B91" s="344"/>
      <c r="C91" s="344"/>
      <c r="D91" s="344"/>
      <c r="E91" s="344"/>
      <c r="F91" s="344"/>
      <c r="G91" s="344"/>
      <c r="H91" s="344"/>
      <c r="I91" s="344"/>
      <c r="J91" s="344"/>
      <c r="K91" s="344"/>
      <c r="L91" s="344"/>
      <c r="M91" s="344"/>
      <c r="N91" s="344"/>
      <c r="O91" s="344"/>
      <c r="P91" s="344"/>
      <c r="Q91" s="344"/>
    </row>
    <row r="92" spans="1:17" s="343" customFormat="1" ht="19.5" customHeight="1">
      <c r="A92" s="342"/>
      <c r="B92" s="344"/>
      <c r="C92" s="344"/>
      <c r="D92" s="344"/>
      <c r="E92" s="344"/>
      <c r="F92" s="344"/>
      <c r="G92" s="344"/>
      <c r="H92" s="344"/>
      <c r="I92" s="344"/>
      <c r="J92" s="344"/>
      <c r="K92" s="344"/>
      <c r="L92" s="344"/>
      <c r="M92" s="344"/>
      <c r="N92" s="344"/>
      <c r="O92" s="344"/>
      <c r="P92" s="344"/>
      <c r="Q92" s="344"/>
    </row>
    <row r="93" spans="1:17" s="343" customFormat="1" ht="19.5" customHeight="1">
      <c r="A93" s="342"/>
      <c r="B93" s="344"/>
      <c r="C93" s="344"/>
      <c r="D93" s="344"/>
      <c r="E93" s="344"/>
      <c r="F93" s="344"/>
      <c r="G93" s="344"/>
      <c r="H93" s="344"/>
      <c r="I93" s="344"/>
      <c r="J93" s="344"/>
      <c r="K93" s="344"/>
      <c r="L93" s="344"/>
      <c r="M93" s="344"/>
      <c r="N93" s="344"/>
      <c r="O93" s="344"/>
      <c r="P93" s="344"/>
      <c r="Q93" s="344"/>
    </row>
    <row r="94" spans="1:17" s="343" customFormat="1" ht="19.5" customHeight="1">
      <c r="A94" s="342"/>
      <c r="B94" s="344"/>
      <c r="C94" s="344"/>
      <c r="D94" s="344"/>
      <c r="E94" s="344"/>
      <c r="F94" s="344"/>
      <c r="G94" s="344"/>
      <c r="H94" s="344"/>
      <c r="I94" s="344"/>
      <c r="J94" s="344"/>
      <c r="K94" s="344"/>
      <c r="L94" s="344"/>
      <c r="M94" s="344"/>
      <c r="N94" s="344"/>
      <c r="O94" s="344"/>
      <c r="P94" s="344"/>
      <c r="Q94" s="344"/>
    </row>
    <row r="95" spans="1:17" s="343" customFormat="1" ht="19.5" customHeight="1">
      <c r="A95" s="342"/>
      <c r="B95" s="344"/>
      <c r="C95" s="344"/>
      <c r="D95" s="344"/>
      <c r="E95" s="344"/>
      <c r="F95" s="344"/>
      <c r="G95" s="344"/>
      <c r="H95" s="344"/>
      <c r="I95" s="344"/>
      <c r="J95" s="344"/>
      <c r="K95" s="344"/>
      <c r="L95" s="344"/>
      <c r="M95" s="344"/>
      <c r="N95" s="344"/>
      <c r="O95" s="344"/>
      <c r="P95" s="344"/>
      <c r="Q95" s="344"/>
    </row>
    <row r="96" spans="1:17" s="343" customFormat="1" ht="19.5" customHeight="1">
      <c r="A96" s="342"/>
      <c r="B96" s="344"/>
      <c r="C96" s="344"/>
      <c r="D96" s="344"/>
      <c r="E96" s="344"/>
      <c r="F96" s="344"/>
      <c r="G96" s="344"/>
      <c r="H96" s="344"/>
      <c r="I96" s="344"/>
      <c r="J96" s="344"/>
      <c r="K96" s="344"/>
      <c r="L96" s="344"/>
      <c r="M96" s="344"/>
      <c r="N96" s="344"/>
      <c r="O96" s="344"/>
      <c r="P96" s="344"/>
      <c r="Q96" s="344"/>
    </row>
    <row r="97" spans="1:17" s="343" customFormat="1" ht="19.5" customHeight="1">
      <c r="A97" s="342"/>
      <c r="B97" s="344"/>
      <c r="C97" s="344"/>
      <c r="D97" s="344"/>
      <c r="E97" s="344"/>
      <c r="F97" s="344"/>
      <c r="G97" s="344"/>
      <c r="H97" s="344"/>
      <c r="I97" s="344"/>
      <c r="J97" s="344"/>
      <c r="K97" s="344"/>
      <c r="L97" s="344"/>
      <c r="M97" s="344"/>
      <c r="N97" s="344"/>
      <c r="O97" s="344"/>
      <c r="P97" s="344"/>
      <c r="Q97" s="344"/>
    </row>
    <row r="98" spans="1:17" s="343" customFormat="1" ht="19.5" customHeight="1">
      <c r="A98" s="342"/>
      <c r="B98" s="344"/>
      <c r="C98" s="344"/>
      <c r="D98" s="344"/>
      <c r="E98" s="344"/>
      <c r="F98" s="344"/>
      <c r="G98" s="344"/>
      <c r="H98" s="344"/>
      <c r="I98" s="344"/>
      <c r="J98" s="344"/>
      <c r="K98" s="344"/>
      <c r="L98" s="344"/>
      <c r="M98" s="344"/>
      <c r="N98" s="344"/>
      <c r="O98" s="344"/>
      <c r="P98" s="344"/>
      <c r="Q98" s="344"/>
    </row>
    <row r="99" spans="1:17" s="343" customFormat="1" ht="19.5" customHeight="1">
      <c r="A99" s="342"/>
      <c r="B99" s="344"/>
      <c r="C99" s="344"/>
      <c r="D99" s="344"/>
      <c r="E99" s="344"/>
      <c r="F99" s="344"/>
      <c r="G99" s="344"/>
      <c r="H99" s="344"/>
      <c r="I99" s="344"/>
      <c r="J99" s="344"/>
      <c r="K99" s="344"/>
      <c r="L99" s="344"/>
      <c r="M99" s="344"/>
      <c r="N99" s="344"/>
      <c r="O99" s="344"/>
      <c r="P99" s="344"/>
      <c r="Q99" s="344"/>
    </row>
    <row r="100" spans="1:17" s="343" customFormat="1" ht="19.5" customHeight="1">
      <c r="A100" s="342"/>
      <c r="B100" s="344"/>
      <c r="C100" s="344"/>
      <c r="D100" s="344"/>
      <c r="E100" s="344"/>
      <c r="F100" s="344"/>
      <c r="G100" s="344"/>
      <c r="H100" s="344"/>
      <c r="I100" s="344"/>
      <c r="J100" s="344"/>
      <c r="K100" s="344"/>
      <c r="L100" s="344"/>
      <c r="M100" s="344"/>
      <c r="N100" s="344"/>
      <c r="O100" s="344"/>
      <c r="P100" s="344"/>
      <c r="Q100" s="344"/>
    </row>
    <row r="101" spans="1:17" s="343" customFormat="1" ht="19.5" customHeight="1">
      <c r="A101" s="342"/>
      <c r="B101" s="344"/>
      <c r="C101" s="344"/>
      <c r="D101" s="344"/>
      <c r="E101" s="344"/>
      <c r="F101" s="344"/>
      <c r="G101" s="344"/>
      <c r="H101" s="344"/>
      <c r="I101" s="344"/>
      <c r="J101" s="344"/>
      <c r="K101" s="344"/>
      <c r="L101" s="344"/>
      <c r="M101" s="344"/>
      <c r="N101" s="344"/>
      <c r="O101" s="344"/>
      <c r="P101" s="344"/>
      <c r="Q101" s="344"/>
    </row>
    <row r="102" spans="1:17" s="343" customFormat="1" ht="19.5" customHeight="1">
      <c r="A102" s="342"/>
      <c r="B102" s="344"/>
      <c r="C102" s="344"/>
      <c r="D102" s="344"/>
      <c r="E102" s="344"/>
      <c r="F102" s="344"/>
      <c r="G102" s="344"/>
      <c r="H102" s="344"/>
      <c r="I102" s="344"/>
      <c r="J102" s="344"/>
      <c r="K102" s="344"/>
      <c r="L102" s="344"/>
      <c r="M102" s="344"/>
      <c r="N102" s="344"/>
      <c r="O102" s="344"/>
      <c r="P102" s="344"/>
      <c r="Q102" s="344"/>
    </row>
    <row r="103" spans="1:17" s="343" customFormat="1" ht="19.5" customHeight="1">
      <c r="A103" s="342"/>
      <c r="B103" s="344"/>
      <c r="C103" s="344"/>
      <c r="D103" s="344"/>
      <c r="E103" s="344"/>
      <c r="F103" s="344"/>
      <c r="G103" s="344"/>
      <c r="H103" s="344"/>
      <c r="I103" s="344"/>
      <c r="J103" s="344"/>
      <c r="K103" s="344"/>
      <c r="L103" s="344"/>
      <c r="M103" s="344"/>
      <c r="N103" s="344"/>
      <c r="O103" s="344"/>
      <c r="P103" s="344"/>
      <c r="Q103" s="344"/>
    </row>
    <row r="104" spans="1:17" s="343" customFormat="1" ht="19.5" customHeight="1">
      <c r="A104" s="342"/>
      <c r="B104" s="344"/>
      <c r="C104" s="344"/>
      <c r="D104" s="344"/>
      <c r="E104" s="344"/>
      <c r="F104" s="344"/>
      <c r="G104" s="344"/>
      <c r="H104" s="344"/>
      <c r="I104" s="344"/>
      <c r="J104" s="344"/>
      <c r="K104" s="344"/>
      <c r="L104" s="344"/>
      <c r="M104" s="344"/>
      <c r="N104" s="344"/>
      <c r="O104" s="344"/>
      <c r="P104" s="344"/>
      <c r="Q104" s="344"/>
    </row>
    <row r="105" spans="1:17" s="343" customFormat="1" ht="19.5" customHeight="1">
      <c r="A105" s="342"/>
      <c r="B105" s="344"/>
      <c r="C105" s="344"/>
      <c r="D105" s="344"/>
      <c r="E105" s="344"/>
      <c r="F105" s="344"/>
      <c r="G105" s="344"/>
      <c r="H105" s="344"/>
      <c r="I105" s="344"/>
      <c r="J105" s="344"/>
      <c r="K105" s="344"/>
      <c r="L105" s="344"/>
      <c r="M105" s="344"/>
      <c r="N105" s="344"/>
      <c r="O105" s="344"/>
      <c r="P105" s="344"/>
      <c r="Q105" s="344"/>
    </row>
    <row r="106" spans="1:17" s="343" customFormat="1" ht="19.5" customHeight="1">
      <c r="A106" s="342"/>
      <c r="B106" s="344"/>
      <c r="C106" s="344"/>
      <c r="D106" s="344"/>
      <c r="E106" s="344"/>
      <c r="F106" s="344"/>
      <c r="G106" s="344"/>
      <c r="H106" s="344"/>
      <c r="I106" s="344"/>
      <c r="J106" s="344"/>
      <c r="K106" s="344"/>
      <c r="L106" s="344"/>
      <c r="M106" s="344"/>
      <c r="N106" s="344"/>
      <c r="O106" s="344"/>
      <c r="P106" s="344"/>
      <c r="Q106" s="344"/>
    </row>
    <row r="107" spans="1:17" s="343" customFormat="1" ht="19.5" customHeight="1">
      <c r="A107" s="342"/>
      <c r="B107" s="344"/>
      <c r="C107" s="344"/>
      <c r="D107" s="344"/>
      <c r="E107" s="344"/>
      <c r="F107" s="344"/>
      <c r="G107" s="344"/>
      <c r="H107" s="344"/>
      <c r="I107" s="344"/>
      <c r="J107" s="344"/>
      <c r="K107" s="344"/>
      <c r="L107" s="344"/>
      <c r="M107" s="344"/>
      <c r="N107" s="344"/>
      <c r="O107" s="344"/>
      <c r="P107" s="344"/>
      <c r="Q107" s="344"/>
    </row>
    <row r="108" spans="1:17" s="343" customFormat="1" ht="19.5" customHeight="1">
      <c r="A108" s="342"/>
      <c r="B108" s="344"/>
      <c r="C108" s="344"/>
      <c r="D108" s="344"/>
      <c r="E108" s="344"/>
      <c r="F108" s="344"/>
      <c r="G108" s="344"/>
      <c r="H108" s="344"/>
      <c r="I108" s="344"/>
      <c r="J108" s="344"/>
      <c r="K108" s="344"/>
      <c r="L108" s="344"/>
      <c r="M108" s="344"/>
      <c r="N108" s="344"/>
      <c r="O108" s="344"/>
      <c r="P108" s="344"/>
      <c r="Q108" s="344"/>
    </row>
    <row r="109" spans="1:17" s="343" customFormat="1" ht="19.5" customHeight="1">
      <c r="A109" s="342"/>
      <c r="B109" s="344"/>
      <c r="C109" s="344"/>
      <c r="D109" s="344"/>
      <c r="E109" s="344"/>
      <c r="F109" s="344"/>
      <c r="G109" s="344"/>
      <c r="H109" s="344"/>
      <c r="I109" s="344"/>
      <c r="J109" s="344"/>
      <c r="K109" s="344"/>
      <c r="L109" s="344"/>
      <c r="M109" s="344"/>
      <c r="N109" s="344"/>
      <c r="O109" s="344"/>
      <c r="P109" s="344"/>
      <c r="Q109" s="344"/>
    </row>
    <row r="110" ht="19.5" customHeight="1"/>
    <row r="111" ht="9.75" customHeight="1"/>
    <row r="112" ht="19.5" customHeight="1"/>
    <row r="113" ht="19.5" customHeight="1"/>
    <row r="114" ht="19.5" customHeight="1"/>
    <row r="115" ht="19.5" customHeight="1"/>
    <row r="116" spans="1:17" s="343" customFormat="1" ht="19.5" customHeight="1">
      <c r="A116" s="342"/>
      <c r="B116" s="344"/>
      <c r="C116" s="344"/>
      <c r="D116" s="344"/>
      <c r="E116" s="344"/>
      <c r="F116" s="344"/>
      <c r="G116" s="344"/>
      <c r="H116" s="344"/>
      <c r="I116" s="344"/>
      <c r="J116" s="344"/>
      <c r="K116" s="344"/>
      <c r="L116" s="344"/>
      <c r="M116" s="344"/>
      <c r="N116" s="344"/>
      <c r="O116" s="344"/>
      <c r="P116" s="344"/>
      <c r="Q116" s="344"/>
    </row>
    <row r="117" spans="1:17" s="343" customFormat="1" ht="19.5" customHeight="1">
      <c r="A117" s="342"/>
      <c r="B117" s="344"/>
      <c r="C117" s="344"/>
      <c r="D117" s="344"/>
      <c r="E117" s="344"/>
      <c r="F117" s="344"/>
      <c r="G117" s="344"/>
      <c r="H117" s="344"/>
      <c r="I117" s="344"/>
      <c r="J117" s="344"/>
      <c r="K117" s="344"/>
      <c r="L117" s="344"/>
      <c r="M117" s="344"/>
      <c r="N117" s="344"/>
      <c r="O117" s="344"/>
      <c r="P117" s="344"/>
      <c r="Q117" s="344"/>
    </row>
    <row r="118" spans="1:17" s="343" customFormat="1" ht="19.5" customHeight="1">
      <c r="A118" s="342"/>
      <c r="B118" s="344"/>
      <c r="C118" s="344"/>
      <c r="D118" s="344"/>
      <c r="E118" s="344"/>
      <c r="F118" s="344"/>
      <c r="G118" s="344"/>
      <c r="H118" s="344"/>
      <c r="I118" s="344"/>
      <c r="J118" s="344"/>
      <c r="K118" s="344"/>
      <c r="L118" s="344"/>
      <c r="M118" s="344"/>
      <c r="N118" s="344"/>
      <c r="O118" s="344"/>
      <c r="P118" s="344"/>
      <c r="Q118" s="344"/>
    </row>
    <row r="119" spans="1:17" s="343" customFormat="1" ht="19.5" customHeight="1">
      <c r="A119" s="342"/>
      <c r="B119" s="344"/>
      <c r="C119" s="344"/>
      <c r="D119" s="344"/>
      <c r="E119" s="344"/>
      <c r="F119" s="344"/>
      <c r="G119" s="344"/>
      <c r="H119" s="344"/>
      <c r="I119" s="344"/>
      <c r="J119" s="344"/>
      <c r="K119" s="344"/>
      <c r="L119" s="344"/>
      <c r="M119" s="344"/>
      <c r="N119" s="344"/>
      <c r="O119" s="344"/>
      <c r="P119" s="344"/>
      <c r="Q119" s="344"/>
    </row>
    <row r="120" spans="1:17" s="343" customFormat="1" ht="19.5" customHeight="1">
      <c r="A120" s="342"/>
      <c r="B120" s="344"/>
      <c r="C120" s="344"/>
      <c r="D120" s="344"/>
      <c r="E120" s="344"/>
      <c r="F120" s="344"/>
      <c r="G120" s="344"/>
      <c r="H120" s="344"/>
      <c r="I120" s="344"/>
      <c r="J120" s="344"/>
      <c r="K120" s="344"/>
      <c r="L120" s="344"/>
      <c r="M120" s="344"/>
      <c r="N120" s="344"/>
      <c r="O120" s="344"/>
      <c r="P120" s="344"/>
      <c r="Q120" s="344"/>
    </row>
    <row r="121" spans="1:17" s="343" customFormat="1" ht="19.5" customHeight="1">
      <c r="A121" s="342"/>
      <c r="B121" s="344"/>
      <c r="C121" s="344"/>
      <c r="D121" s="344"/>
      <c r="E121" s="344"/>
      <c r="F121" s="344"/>
      <c r="G121" s="344"/>
      <c r="H121" s="344"/>
      <c r="I121" s="344"/>
      <c r="J121" s="344"/>
      <c r="K121" s="344"/>
      <c r="L121" s="344"/>
      <c r="M121" s="344"/>
      <c r="N121" s="344"/>
      <c r="O121" s="344"/>
      <c r="P121" s="344"/>
      <c r="Q121" s="344"/>
    </row>
    <row r="122" spans="1:17" s="343" customFormat="1" ht="19.5" customHeight="1">
      <c r="A122" s="342"/>
      <c r="B122" s="344"/>
      <c r="C122" s="344"/>
      <c r="D122" s="344"/>
      <c r="E122" s="344"/>
      <c r="F122" s="344"/>
      <c r="G122" s="344"/>
      <c r="H122" s="344"/>
      <c r="I122" s="344"/>
      <c r="J122" s="344"/>
      <c r="K122" s="344"/>
      <c r="L122" s="344"/>
      <c r="M122" s="344"/>
      <c r="N122" s="344"/>
      <c r="O122" s="344"/>
      <c r="P122" s="344"/>
      <c r="Q122" s="344"/>
    </row>
    <row r="123" spans="1:17" s="343" customFormat="1" ht="19.5" customHeight="1">
      <c r="A123" s="342"/>
      <c r="B123" s="344"/>
      <c r="C123" s="344"/>
      <c r="D123" s="344"/>
      <c r="E123" s="344"/>
      <c r="F123" s="344"/>
      <c r="G123" s="344"/>
      <c r="H123" s="344"/>
      <c r="I123" s="344"/>
      <c r="J123" s="344"/>
      <c r="K123" s="344"/>
      <c r="L123" s="344"/>
      <c r="M123" s="344"/>
      <c r="N123" s="344"/>
      <c r="O123" s="344"/>
      <c r="P123" s="344"/>
      <c r="Q123" s="344"/>
    </row>
    <row r="124" spans="1:17" s="343" customFormat="1" ht="19.5" customHeight="1">
      <c r="A124" s="342"/>
      <c r="B124" s="344"/>
      <c r="C124" s="344"/>
      <c r="D124" s="344"/>
      <c r="E124" s="344"/>
      <c r="F124" s="344"/>
      <c r="G124" s="344"/>
      <c r="H124" s="344"/>
      <c r="I124" s="344"/>
      <c r="J124" s="344"/>
      <c r="K124" s="344"/>
      <c r="L124" s="344"/>
      <c r="M124" s="344"/>
      <c r="N124" s="344"/>
      <c r="O124" s="344"/>
      <c r="P124" s="344"/>
      <c r="Q124" s="344"/>
    </row>
    <row r="125" spans="1:17" s="343" customFormat="1" ht="19.5" customHeight="1">
      <c r="A125" s="342"/>
      <c r="B125" s="344"/>
      <c r="C125" s="344"/>
      <c r="D125" s="344"/>
      <c r="E125" s="344"/>
      <c r="F125" s="344"/>
      <c r="G125" s="344"/>
      <c r="H125" s="344"/>
      <c r="I125" s="344"/>
      <c r="J125" s="344"/>
      <c r="K125" s="344"/>
      <c r="L125" s="344"/>
      <c r="M125" s="344"/>
      <c r="N125" s="344"/>
      <c r="O125" s="344"/>
      <c r="P125" s="344"/>
      <c r="Q125" s="344"/>
    </row>
    <row r="126" spans="1:17" s="343" customFormat="1" ht="19.5" customHeight="1">
      <c r="A126" s="342"/>
      <c r="B126" s="344"/>
      <c r="C126" s="344"/>
      <c r="D126" s="344"/>
      <c r="E126" s="344"/>
      <c r="F126" s="344"/>
      <c r="G126" s="344"/>
      <c r="H126" s="344"/>
      <c r="I126" s="344"/>
      <c r="J126" s="344"/>
      <c r="K126" s="344"/>
      <c r="L126" s="344"/>
      <c r="M126" s="344"/>
      <c r="N126" s="344"/>
      <c r="O126" s="344"/>
      <c r="P126" s="344"/>
      <c r="Q126" s="344"/>
    </row>
    <row r="127" spans="1:17" s="343" customFormat="1" ht="19.5" customHeight="1">
      <c r="A127" s="342"/>
      <c r="B127" s="344"/>
      <c r="C127" s="344"/>
      <c r="D127" s="344"/>
      <c r="E127" s="344"/>
      <c r="F127" s="344"/>
      <c r="G127" s="344"/>
      <c r="H127" s="344"/>
      <c r="I127" s="344"/>
      <c r="J127" s="344"/>
      <c r="K127" s="344"/>
      <c r="L127" s="344"/>
      <c r="M127" s="344"/>
      <c r="N127" s="344"/>
      <c r="O127" s="344"/>
      <c r="P127" s="344"/>
      <c r="Q127" s="344"/>
    </row>
    <row r="128" spans="1:17" s="343" customFormat="1" ht="19.5" customHeight="1">
      <c r="A128" s="342"/>
      <c r="B128" s="344"/>
      <c r="C128" s="344"/>
      <c r="D128" s="344"/>
      <c r="E128" s="344"/>
      <c r="F128" s="344"/>
      <c r="G128" s="344"/>
      <c r="H128" s="344"/>
      <c r="I128" s="344"/>
      <c r="J128" s="344"/>
      <c r="K128" s="344"/>
      <c r="L128" s="344"/>
      <c r="M128" s="344"/>
      <c r="N128" s="344"/>
      <c r="O128" s="344"/>
      <c r="P128" s="344"/>
      <c r="Q128" s="344"/>
    </row>
    <row r="129" spans="1:17" s="343" customFormat="1" ht="19.5" customHeight="1">
      <c r="A129" s="342"/>
      <c r="B129" s="344"/>
      <c r="C129" s="344"/>
      <c r="D129" s="344"/>
      <c r="E129" s="344"/>
      <c r="F129" s="344"/>
      <c r="G129" s="344"/>
      <c r="H129" s="344"/>
      <c r="I129" s="344"/>
      <c r="J129" s="344"/>
      <c r="K129" s="344"/>
      <c r="L129" s="344"/>
      <c r="M129" s="344"/>
      <c r="N129" s="344"/>
      <c r="O129" s="344"/>
      <c r="P129" s="344"/>
      <c r="Q129" s="344"/>
    </row>
    <row r="130" spans="1:17" s="343" customFormat="1" ht="19.5" customHeight="1">
      <c r="A130" s="342"/>
      <c r="B130" s="344"/>
      <c r="C130" s="344"/>
      <c r="D130" s="344"/>
      <c r="E130" s="344"/>
      <c r="F130" s="344"/>
      <c r="G130" s="344"/>
      <c r="H130" s="344"/>
      <c r="I130" s="344"/>
      <c r="J130" s="344"/>
      <c r="K130" s="344"/>
      <c r="L130" s="344"/>
      <c r="M130" s="344"/>
      <c r="N130" s="344"/>
      <c r="O130" s="344"/>
      <c r="P130" s="344"/>
      <c r="Q130" s="344"/>
    </row>
    <row r="131" spans="1:17" s="343" customFormat="1" ht="19.5" customHeight="1">
      <c r="A131" s="342"/>
      <c r="B131" s="344"/>
      <c r="C131" s="344"/>
      <c r="D131" s="344"/>
      <c r="E131" s="344"/>
      <c r="F131" s="344"/>
      <c r="G131" s="344"/>
      <c r="H131" s="344"/>
      <c r="I131" s="344"/>
      <c r="J131" s="344"/>
      <c r="K131" s="344"/>
      <c r="L131" s="344"/>
      <c r="M131" s="344"/>
      <c r="N131" s="344"/>
      <c r="O131" s="344"/>
      <c r="P131" s="344"/>
      <c r="Q131" s="344"/>
    </row>
    <row r="132" spans="1:17" s="343" customFormat="1" ht="19.5" customHeight="1">
      <c r="A132" s="342"/>
      <c r="B132" s="344"/>
      <c r="C132" s="344"/>
      <c r="D132" s="344"/>
      <c r="E132" s="344"/>
      <c r="F132" s="344"/>
      <c r="G132" s="344"/>
      <c r="H132" s="344"/>
      <c r="I132" s="344"/>
      <c r="J132" s="344"/>
      <c r="K132" s="344"/>
      <c r="L132" s="344"/>
      <c r="M132" s="344"/>
      <c r="N132" s="344"/>
      <c r="O132" s="344"/>
      <c r="P132" s="344"/>
      <c r="Q132" s="344"/>
    </row>
    <row r="133" spans="1:17" s="343" customFormat="1" ht="19.5" customHeight="1">
      <c r="A133" s="342"/>
      <c r="B133" s="344"/>
      <c r="C133" s="344"/>
      <c r="D133" s="344"/>
      <c r="E133" s="344"/>
      <c r="F133" s="344"/>
      <c r="G133" s="344"/>
      <c r="H133" s="344"/>
      <c r="I133" s="344"/>
      <c r="J133" s="344"/>
      <c r="K133" s="344"/>
      <c r="L133" s="344"/>
      <c r="M133" s="344"/>
      <c r="N133" s="344"/>
      <c r="O133" s="344"/>
      <c r="P133" s="344"/>
      <c r="Q133" s="344"/>
    </row>
    <row r="134" spans="1:17" s="343" customFormat="1" ht="19.5" customHeight="1">
      <c r="A134" s="342"/>
      <c r="B134" s="344"/>
      <c r="C134" s="344"/>
      <c r="D134" s="344"/>
      <c r="E134" s="344"/>
      <c r="F134" s="344"/>
      <c r="G134" s="344"/>
      <c r="H134" s="344"/>
      <c r="I134" s="344"/>
      <c r="J134" s="344"/>
      <c r="K134" s="344"/>
      <c r="L134" s="344"/>
      <c r="M134" s="344"/>
      <c r="N134" s="344"/>
      <c r="O134" s="344"/>
      <c r="P134" s="344"/>
      <c r="Q134" s="344"/>
    </row>
    <row r="135" spans="1:17" s="343" customFormat="1" ht="19.5" customHeight="1">
      <c r="A135" s="342"/>
      <c r="B135" s="344"/>
      <c r="C135" s="344"/>
      <c r="D135" s="344"/>
      <c r="E135" s="344"/>
      <c r="F135" s="344"/>
      <c r="G135" s="344"/>
      <c r="H135" s="344"/>
      <c r="I135" s="344"/>
      <c r="J135" s="344"/>
      <c r="K135" s="344"/>
      <c r="L135" s="344"/>
      <c r="M135" s="344"/>
      <c r="N135" s="344"/>
      <c r="O135" s="344"/>
      <c r="P135" s="344"/>
      <c r="Q135" s="344"/>
    </row>
    <row r="136" spans="1:17" s="343" customFormat="1" ht="19.5" customHeight="1">
      <c r="A136" s="342"/>
      <c r="B136" s="344"/>
      <c r="C136" s="344"/>
      <c r="D136" s="344"/>
      <c r="E136" s="344"/>
      <c r="F136" s="344"/>
      <c r="G136" s="344"/>
      <c r="H136" s="344"/>
      <c r="I136" s="344"/>
      <c r="J136" s="344"/>
      <c r="K136" s="344"/>
      <c r="L136" s="344"/>
      <c r="M136" s="344"/>
      <c r="N136" s="344"/>
      <c r="O136" s="344"/>
      <c r="P136" s="344"/>
      <c r="Q136" s="344"/>
    </row>
    <row r="137" spans="1:17" s="343" customFormat="1" ht="19.5" customHeight="1">
      <c r="A137" s="342"/>
      <c r="B137" s="344"/>
      <c r="C137" s="344"/>
      <c r="D137" s="344"/>
      <c r="E137" s="344"/>
      <c r="F137" s="344"/>
      <c r="G137" s="344"/>
      <c r="H137" s="344"/>
      <c r="I137" s="344"/>
      <c r="J137" s="344"/>
      <c r="K137" s="344"/>
      <c r="L137" s="344"/>
      <c r="M137" s="344"/>
      <c r="N137" s="344"/>
      <c r="O137" s="344"/>
      <c r="P137" s="344"/>
      <c r="Q137" s="344"/>
    </row>
    <row r="138" spans="1:17" s="343" customFormat="1" ht="19.5" customHeight="1">
      <c r="A138" s="342"/>
      <c r="B138" s="344"/>
      <c r="C138" s="344"/>
      <c r="D138" s="344"/>
      <c r="E138" s="344"/>
      <c r="F138" s="344"/>
      <c r="G138" s="344"/>
      <c r="H138" s="344"/>
      <c r="I138" s="344"/>
      <c r="J138" s="344"/>
      <c r="K138" s="344"/>
      <c r="L138" s="344"/>
      <c r="M138" s="344"/>
      <c r="N138" s="344"/>
      <c r="O138" s="344"/>
      <c r="P138" s="344"/>
      <c r="Q138" s="344"/>
    </row>
    <row r="139" spans="1:17" s="343" customFormat="1" ht="19.5" customHeight="1">
      <c r="A139" s="342"/>
      <c r="B139" s="344"/>
      <c r="C139" s="344"/>
      <c r="D139" s="344"/>
      <c r="E139" s="344"/>
      <c r="F139" s="344"/>
      <c r="G139" s="344"/>
      <c r="H139" s="344"/>
      <c r="I139" s="344"/>
      <c r="J139" s="344"/>
      <c r="K139" s="344"/>
      <c r="L139" s="344"/>
      <c r="M139" s="344"/>
      <c r="N139" s="344"/>
      <c r="O139" s="344"/>
      <c r="P139" s="344"/>
      <c r="Q139" s="344"/>
    </row>
    <row r="140" spans="1:17" s="343" customFormat="1" ht="19.5" customHeight="1">
      <c r="A140" s="342"/>
      <c r="B140" s="344"/>
      <c r="C140" s="344"/>
      <c r="D140" s="344"/>
      <c r="E140" s="344"/>
      <c r="F140" s="344"/>
      <c r="G140" s="344"/>
      <c r="H140" s="344"/>
      <c r="I140" s="344"/>
      <c r="J140" s="344"/>
      <c r="K140" s="344"/>
      <c r="L140" s="344"/>
      <c r="M140" s="344"/>
      <c r="N140" s="344"/>
      <c r="O140" s="344"/>
      <c r="P140" s="344"/>
      <c r="Q140" s="344"/>
    </row>
    <row r="141" spans="1:17" s="343" customFormat="1" ht="19.5" customHeight="1">
      <c r="A141" s="342"/>
      <c r="B141" s="344"/>
      <c r="C141" s="344"/>
      <c r="D141" s="344"/>
      <c r="E141" s="344"/>
      <c r="F141" s="344"/>
      <c r="G141" s="344"/>
      <c r="H141" s="344"/>
      <c r="I141" s="344"/>
      <c r="J141" s="344"/>
      <c r="K141" s="344"/>
      <c r="L141" s="344"/>
      <c r="M141" s="344"/>
      <c r="N141" s="344"/>
      <c r="O141" s="344"/>
      <c r="P141" s="344"/>
      <c r="Q141" s="344"/>
    </row>
    <row r="142" spans="1:17" s="343" customFormat="1" ht="19.5" customHeight="1">
      <c r="A142" s="342"/>
      <c r="B142" s="344"/>
      <c r="C142" s="344"/>
      <c r="D142" s="344"/>
      <c r="E142" s="344"/>
      <c r="F142" s="344"/>
      <c r="G142" s="344"/>
      <c r="H142" s="344"/>
      <c r="I142" s="344"/>
      <c r="J142" s="344"/>
      <c r="K142" s="344"/>
      <c r="L142" s="344"/>
      <c r="M142" s="344"/>
      <c r="N142" s="344"/>
      <c r="O142" s="344"/>
      <c r="P142" s="344"/>
      <c r="Q142" s="344"/>
    </row>
    <row r="143" spans="1:17" s="343" customFormat="1" ht="19.5" customHeight="1">
      <c r="A143" s="342"/>
      <c r="B143" s="344"/>
      <c r="C143" s="344"/>
      <c r="D143" s="344"/>
      <c r="E143" s="344"/>
      <c r="F143" s="344"/>
      <c r="G143" s="344"/>
      <c r="H143" s="344"/>
      <c r="I143" s="344"/>
      <c r="J143" s="344"/>
      <c r="K143" s="344"/>
      <c r="L143" s="344"/>
      <c r="M143" s="344"/>
      <c r="N143" s="344"/>
      <c r="O143" s="344"/>
      <c r="P143" s="344"/>
      <c r="Q143" s="344"/>
    </row>
    <row r="144" spans="1:17" s="343" customFormat="1" ht="19.5" customHeight="1">
      <c r="A144" s="342"/>
      <c r="B144" s="344"/>
      <c r="C144" s="344"/>
      <c r="D144" s="344"/>
      <c r="E144" s="344"/>
      <c r="F144" s="344"/>
      <c r="G144" s="344"/>
      <c r="H144" s="344"/>
      <c r="I144" s="344"/>
      <c r="J144" s="344"/>
      <c r="K144" s="344"/>
      <c r="L144" s="344"/>
      <c r="M144" s="344"/>
      <c r="N144" s="344"/>
      <c r="O144" s="344"/>
      <c r="P144" s="344"/>
      <c r="Q144" s="344"/>
    </row>
    <row r="145" spans="1:17" s="343" customFormat="1" ht="19.5" customHeight="1">
      <c r="A145" s="342"/>
      <c r="B145" s="344"/>
      <c r="C145" s="344"/>
      <c r="D145" s="344"/>
      <c r="E145" s="344"/>
      <c r="F145" s="344"/>
      <c r="G145" s="344"/>
      <c r="H145" s="344"/>
      <c r="I145" s="344"/>
      <c r="J145" s="344"/>
      <c r="K145" s="344"/>
      <c r="L145" s="344"/>
      <c r="M145" s="344"/>
      <c r="N145" s="344"/>
      <c r="O145" s="344"/>
      <c r="P145" s="344"/>
      <c r="Q145" s="344"/>
    </row>
    <row r="146" spans="1:17" s="343" customFormat="1" ht="19.5" customHeight="1">
      <c r="A146" s="342"/>
      <c r="B146" s="344"/>
      <c r="C146" s="344"/>
      <c r="D146" s="344"/>
      <c r="E146" s="344"/>
      <c r="F146" s="344"/>
      <c r="G146" s="344"/>
      <c r="H146" s="344"/>
      <c r="I146" s="344"/>
      <c r="J146" s="344"/>
      <c r="K146" s="344"/>
      <c r="L146" s="344"/>
      <c r="M146" s="344"/>
      <c r="N146" s="344"/>
      <c r="O146" s="344"/>
      <c r="P146" s="344"/>
      <c r="Q146" s="344"/>
    </row>
    <row r="147" spans="1:17" s="343" customFormat="1" ht="19.5" customHeight="1">
      <c r="A147" s="342"/>
      <c r="B147" s="344"/>
      <c r="C147" s="344"/>
      <c r="D147" s="344"/>
      <c r="E147" s="344"/>
      <c r="F147" s="344"/>
      <c r="G147" s="344"/>
      <c r="H147" s="344"/>
      <c r="I147" s="344"/>
      <c r="J147" s="344"/>
      <c r="K147" s="344"/>
      <c r="L147" s="344"/>
      <c r="M147" s="344"/>
      <c r="N147" s="344"/>
      <c r="O147" s="344"/>
      <c r="P147" s="344"/>
      <c r="Q147" s="344"/>
    </row>
    <row r="148" spans="1:17" s="343" customFormat="1" ht="19.5" customHeight="1">
      <c r="A148" s="342"/>
      <c r="B148" s="344"/>
      <c r="C148" s="344"/>
      <c r="D148" s="344"/>
      <c r="E148" s="344"/>
      <c r="F148" s="344"/>
      <c r="G148" s="344"/>
      <c r="H148" s="344"/>
      <c r="I148" s="344"/>
      <c r="J148" s="344"/>
      <c r="K148" s="344"/>
      <c r="L148" s="344"/>
      <c r="M148" s="344"/>
      <c r="N148" s="344"/>
      <c r="O148" s="344"/>
      <c r="P148" s="344"/>
      <c r="Q148" s="344"/>
    </row>
    <row r="149" spans="1:17" s="343" customFormat="1" ht="19.5" customHeight="1">
      <c r="A149" s="342"/>
      <c r="B149" s="344"/>
      <c r="C149" s="344"/>
      <c r="D149" s="344"/>
      <c r="E149" s="344"/>
      <c r="F149" s="344"/>
      <c r="G149" s="344"/>
      <c r="H149" s="344"/>
      <c r="I149" s="344"/>
      <c r="J149" s="344"/>
      <c r="K149" s="344"/>
      <c r="L149" s="344"/>
      <c r="M149" s="344"/>
      <c r="N149" s="344"/>
      <c r="O149" s="344"/>
      <c r="P149" s="344"/>
      <c r="Q149" s="344"/>
    </row>
    <row r="150" spans="1:17" s="343" customFormat="1" ht="19.5" customHeight="1">
      <c r="A150" s="342"/>
      <c r="B150" s="344"/>
      <c r="C150" s="344"/>
      <c r="D150" s="344"/>
      <c r="E150" s="344"/>
      <c r="F150" s="344"/>
      <c r="G150" s="344"/>
      <c r="H150" s="344"/>
      <c r="I150" s="344"/>
      <c r="J150" s="344"/>
      <c r="K150" s="344"/>
      <c r="L150" s="344"/>
      <c r="M150" s="344"/>
      <c r="N150" s="344"/>
      <c r="O150" s="344"/>
      <c r="P150" s="344"/>
      <c r="Q150" s="344"/>
    </row>
    <row r="151" spans="1:17" s="343" customFormat="1" ht="19.5" customHeight="1">
      <c r="A151" s="342"/>
      <c r="B151" s="344"/>
      <c r="C151" s="344"/>
      <c r="D151" s="344"/>
      <c r="E151" s="344"/>
      <c r="F151" s="344"/>
      <c r="G151" s="344"/>
      <c r="H151" s="344"/>
      <c r="I151" s="344"/>
      <c r="J151" s="344"/>
      <c r="K151" s="344"/>
      <c r="L151" s="344"/>
      <c r="M151" s="344"/>
      <c r="N151" s="344"/>
      <c r="O151" s="344"/>
      <c r="P151" s="344"/>
      <c r="Q151" s="344"/>
    </row>
    <row r="152" spans="1:17" s="343" customFormat="1" ht="19.5" customHeight="1">
      <c r="A152" s="342"/>
      <c r="B152" s="344"/>
      <c r="C152" s="344"/>
      <c r="D152" s="344"/>
      <c r="E152" s="344"/>
      <c r="F152" s="344"/>
      <c r="G152" s="344"/>
      <c r="H152" s="344"/>
      <c r="I152" s="344"/>
      <c r="J152" s="344"/>
      <c r="K152" s="344"/>
      <c r="L152" s="344"/>
      <c r="M152" s="344"/>
      <c r="N152" s="344"/>
      <c r="O152" s="344"/>
      <c r="P152" s="344"/>
      <c r="Q152" s="344"/>
    </row>
    <row r="153" ht="19.5" customHeight="1"/>
    <row r="154" ht="9.75" customHeight="1"/>
    <row r="155" ht="19.5" customHeight="1"/>
    <row r="156" ht="19.5" customHeight="1"/>
    <row r="157" ht="19.5" customHeight="1"/>
    <row r="158" spans="1:17" s="343" customFormat="1" ht="19.5" customHeight="1">
      <c r="A158" s="342"/>
      <c r="B158" s="344"/>
      <c r="C158" s="344"/>
      <c r="D158" s="344"/>
      <c r="E158" s="344"/>
      <c r="F158" s="344"/>
      <c r="G158" s="344"/>
      <c r="H158" s="344"/>
      <c r="I158" s="344"/>
      <c r="J158" s="344"/>
      <c r="K158" s="344"/>
      <c r="L158" s="344"/>
      <c r="M158" s="344"/>
      <c r="N158" s="344"/>
      <c r="O158" s="344"/>
      <c r="P158" s="344"/>
      <c r="Q158" s="344"/>
    </row>
    <row r="159" spans="1:17" s="343" customFormat="1" ht="19.5" customHeight="1">
      <c r="A159" s="342"/>
      <c r="B159" s="344"/>
      <c r="C159" s="344"/>
      <c r="D159" s="344"/>
      <c r="E159" s="344"/>
      <c r="F159" s="344"/>
      <c r="G159" s="344"/>
      <c r="H159" s="344"/>
      <c r="I159" s="344"/>
      <c r="J159" s="344"/>
      <c r="K159" s="344"/>
      <c r="L159" s="344"/>
      <c r="M159" s="344"/>
      <c r="N159" s="344"/>
      <c r="O159" s="344"/>
      <c r="P159" s="344"/>
      <c r="Q159" s="344"/>
    </row>
    <row r="160" spans="1:17" s="343" customFormat="1" ht="19.5" customHeight="1">
      <c r="A160" s="342"/>
      <c r="B160" s="344"/>
      <c r="C160" s="344"/>
      <c r="D160" s="344"/>
      <c r="E160" s="344"/>
      <c r="F160" s="344"/>
      <c r="G160" s="344"/>
      <c r="H160" s="344"/>
      <c r="I160" s="344"/>
      <c r="J160" s="344"/>
      <c r="K160" s="344"/>
      <c r="L160" s="344"/>
      <c r="M160" s="344"/>
      <c r="N160" s="344"/>
      <c r="O160" s="344"/>
      <c r="P160" s="344"/>
      <c r="Q160" s="344"/>
    </row>
    <row r="161" spans="1:17" s="343" customFormat="1" ht="19.5" customHeight="1">
      <c r="A161" s="342"/>
      <c r="B161" s="344"/>
      <c r="C161" s="344"/>
      <c r="D161" s="344"/>
      <c r="E161" s="344"/>
      <c r="F161" s="344"/>
      <c r="G161" s="344"/>
      <c r="H161" s="344"/>
      <c r="I161" s="344"/>
      <c r="J161" s="344"/>
      <c r="K161" s="344"/>
      <c r="L161" s="344"/>
      <c r="M161" s="344"/>
      <c r="N161" s="344"/>
      <c r="O161" s="344"/>
      <c r="P161" s="344"/>
      <c r="Q161" s="344"/>
    </row>
    <row r="162" spans="1:17" s="343" customFormat="1" ht="19.5" customHeight="1">
      <c r="A162" s="342"/>
      <c r="B162" s="344"/>
      <c r="C162" s="344"/>
      <c r="D162" s="344"/>
      <c r="E162" s="344"/>
      <c r="F162" s="344"/>
      <c r="G162" s="344"/>
      <c r="H162" s="344"/>
      <c r="I162" s="344"/>
      <c r="J162" s="344"/>
      <c r="K162" s="344"/>
      <c r="L162" s="344"/>
      <c r="M162" s="344"/>
      <c r="N162" s="344"/>
      <c r="O162" s="344"/>
      <c r="P162" s="344"/>
      <c r="Q162" s="344"/>
    </row>
    <row r="163" spans="1:17" s="343" customFormat="1" ht="19.5" customHeight="1">
      <c r="A163" s="342"/>
      <c r="B163" s="344"/>
      <c r="C163" s="344"/>
      <c r="D163" s="344"/>
      <c r="E163" s="344"/>
      <c r="F163" s="344"/>
      <c r="G163" s="344"/>
      <c r="H163" s="344"/>
      <c r="I163" s="344"/>
      <c r="J163" s="344"/>
      <c r="K163" s="344"/>
      <c r="L163" s="344"/>
      <c r="M163" s="344"/>
      <c r="N163" s="344"/>
      <c r="O163" s="344"/>
      <c r="P163" s="344"/>
      <c r="Q163" s="344"/>
    </row>
    <row r="164" spans="1:17" s="343" customFormat="1" ht="19.5" customHeight="1">
      <c r="A164" s="342"/>
      <c r="B164" s="344"/>
      <c r="C164" s="344"/>
      <c r="D164" s="344"/>
      <c r="E164" s="344"/>
      <c r="F164" s="344"/>
      <c r="G164" s="344"/>
      <c r="H164" s="344"/>
      <c r="I164" s="344"/>
      <c r="J164" s="344"/>
      <c r="K164" s="344"/>
      <c r="L164" s="344"/>
      <c r="M164" s="344"/>
      <c r="N164" s="344"/>
      <c r="O164" s="344"/>
      <c r="P164" s="344"/>
      <c r="Q164" s="344"/>
    </row>
    <row r="165" spans="1:17" s="343" customFormat="1" ht="19.5" customHeight="1">
      <c r="A165" s="342"/>
      <c r="B165" s="344"/>
      <c r="C165" s="344"/>
      <c r="D165" s="344"/>
      <c r="E165" s="344"/>
      <c r="F165" s="344"/>
      <c r="G165" s="344"/>
      <c r="H165" s="344"/>
      <c r="I165" s="344"/>
      <c r="J165" s="344"/>
      <c r="K165" s="344"/>
      <c r="L165" s="344"/>
      <c r="M165" s="344"/>
      <c r="N165" s="344"/>
      <c r="O165" s="344"/>
      <c r="P165" s="344"/>
      <c r="Q165" s="344"/>
    </row>
    <row r="166" spans="1:17" s="343" customFormat="1" ht="19.5" customHeight="1">
      <c r="A166" s="342"/>
      <c r="B166" s="344"/>
      <c r="C166" s="344"/>
      <c r="D166" s="344"/>
      <c r="E166" s="344"/>
      <c r="F166" s="344"/>
      <c r="G166" s="344"/>
      <c r="H166" s="344"/>
      <c r="I166" s="344"/>
      <c r="J166" s="344"/>
      <c r="K166" s="344"/>
      <c r="L166" s="344"/>
      <c r="M166" s="344"/>
      <c r="N166" s="344"/>
      <c r="O166" s="344"/>
      <c r="P166" s="344"/>
      <c r="Q166" s="344"/>
    </row>
    <row r="167" spans="1:17" s="343" customFormat="1" ht="19.5" customHeight="1">
      <c r="A167" s="342"/>
      <c r="B167" s="344"/>
      <c r="C167" s="344"/>
      <c r="D167" s="344"/>
      <c r="E167" s="344"/>
      <c r="F167" s="344"/>
      <c r="G167" s="344"/>
      <c r="H167" s="344"/>
      <c r="I167" s="344"/>
      <c r="J167" s="344"/>
      <c r="K167" s="344"/>
      <c r="L167" s="344"/>
      <c r="M167" s="344"/>
      <c r="N167" s="344"/>
      <c r="O167" s="344"/>
      <c r="P167" s="344"/>
      <c r="Q167" s="344"/>
    </row>
    <row r="168" spans="1:17" s="343" customFormat="1" ht="19.5" customHeight="1">
      <c r="A168" s="342"/>
      <c r="B168" s="344"/>
      <c r="C168" s="344"/>
      <c r="D168" s="344"/>
      <c r="E168" s="344"/>
      <c r="F168" s="344"/>
      <c r="G168" s="344"/>
      <c r="H168" s="344"/>
      <c r="I168" s="344"/>
      <c r="J168" s="344"/>
      <c r="K168" s="344"/>
      <c r="L168" s="344"/>
      <c r="M168" s="344"/>
      <c r="N168" s="344"/>
      <c r="O168" s="344"/>
      <c r="P168" s="344"/>
      <c r="Q168" s="344"/>
    </row>
    <row r="169" spans="1:17" s="343" customFormat="1" ht="19.5" customHeight="1">
      <c r="A169" s="342"/>
      <c r="B169" s="344"/>
      <c r="C169" s="344"/>
      <c r="D169" s="344"/>
      <c r="E169" s="344"/>
      <c r="F169" s="344"/>
      <c r="G169" s="344"/>
      <c r="H169" s="344"/>
      <c r="I169" s="344"/>
      <c r="J169" s="344"/>
      <c r="K169" s="344"/>
      <c r="L169" s="344"/>
      <c r="M169" s="344"/>
      <c r="N169" s="344"/>
      <c r="O169" s="344"/>
      <c r="P169" s="344"/>
      <c r="Q169" s="344"/>
    </row>
    <row r="170" spans="1:17" s="343" customFormat="1" ht="19.5" customHeight="1">
      <c r="A170" s="342"/>
      <c r="B170" s="344"/>
      <c r="C170" s="344"/>
      <c r="D170" s="344"/>
      <c r="E170" s="344"/>
      <c r="F170" s="344"/>
      <c r="G170" s="344"/>
      <c r="H170" s="344"/>
      <c r="I170" s="344"/>
      <c r="J170" s="344"/>
      <c r="K170" s="344"/>
      <c r="L170" s="344"/>
      <c r="M170" s="344"/>
      <c r="N170" s="344"/>
      <c r="O170" s="344"/>
      <c r="P170" s="344"/>
      <c r="Q170" s="344"/>
    </row>
    <row r="171" spans="1:17" s="343" customFormat="1" ht="19.5" customHeight="1">
      <c r="A171" s="342"/>
      <c r="B171" s="344"/>
      <c r="C171" s="344"/>
      <c r="D171" s="344"/>
      <c r="E171" s="344"/>
      <c r="F171" s="344"/>
      <c r="G171" s="344"/>
      <c r="H171" s="344"/>
      <c r="I171" s="344"/>
      <c r="J171" s="344"/>
      <c r="K171" s="344"/>
      <c r="L171" s="344"/>
      <c r="M171" s="344"/>
      <c r="N171" s="344"/>
      <c r="O171" s="344"/>
      <c r="P171" s="344"/>
      <c r="Q171" s="344"/>
    </row>
    <row r="172" spans="1:17" s="343" customFormat="1" ht="19.5" customHeight="1">
      <c r="A172" s="342"/>
      <c r="B172" s="344"/>
      <c r="C172" s="344"/>
      <c r="D172" s="344"/>
      <c r="E172" s="344"/>
      <c r="F172" s="344"/>
      <c r="G172" s="344"/>
      <c r="H172" s="344"/>
      <c r="I172" s="344"/>
      <c r="J172" s="344"/>
      <c r="K172" s="344"/>
      <c r="L172" s="344"/>
      <c r="M172" s="344"/>
      <c r="N172" s="344"/>
      <c r="O172" s="344"/>
      <c r="P172" s="344"/>
      <c r="Q172" s="344"/>
    </row>
    <row r="173" spans="1:17" s="343" customFormat="1" ht="19.5" customHeight="1">
      <c r="A173" s="342"/>
      <c r="B173" s="344"/>
      <c r="C173" s="344"/>
      <c r="D173" s="344"/>
      <c r="E173" s="344"/>
      <c r="F173" s="344"/>
      <c r="G173" s="344"/>
      <c r="H173" s="344"/>
      <c r="I173" s="344"/>
      <c r="J173" s="344"/>
      <c r="K173" s="344"/>
      <c r="L173" s="344"/>
      <c r="M173" s="344"/>
      <c r="N173" s="344"/>
      <c r="O173" s="344"/>
      <c r="P173" s="344"/>
      <c r="Q173" s="344"/>
    </row>
    <row r="174" spans="1:17" s="343" customFormat="1" ht="19.5" customHeight="1">
      <c r="A174" s="342"/>
      <c r="B174" s="344"/>
      <c r="C174" s="344"/>
      <c r="D174" s="344"/>
      <c r="E174" s="344"/>
      <c r="F174" s="344"/>
      <c r="G174" s="344"/>
      <c r="H174" s="344"/>
      <c r="I174" s="344"/>
      <c r="J174" s="344"/>
      <c r="K174" s="344"/>
      <c r="L174" s="344"/>
      <c r="M174" s="344"/>
      <c r="N174" s="344"/>
      <c r="O174" s="344"/>
      <c r="P174" s="344"/>
      <c r="Q174" s="344"/>
    </row>
    <row r="175" spans="1:17" s="343" customFormat="1" ht="19.5" customHeight="1">
      <c r="A175" s="342"/>
      <c r="B175" s="344"/>
      <c r="C175" s="344"/>
      <c r="D175" s="344"/>
      <c r="E175" s="344"/>
      <c r="F175" s="344"/>
      <c r="G175" s="344"/>
      <c r="H175" s="344"/>
      <c r="I175" s="344"/>
      <c r="J175" s="344"/>
      <c r="K175" s="344"/>
      <c r="L175" s="344"/>
      <c r="M175" s="344"/>
      <c r="N175" s="344"/>
      <c r="O175" s="344"/>
      <c r="P175" s="344"/>
      <c r="Q175" s="344"/>
    </row>
    <row r="176" spans="1:17" s="343" customFormat="1" ht="19.5" customHeight="1">
      <c r="A176" s="342"/>
      <c r="B176" s="344"/>
      <c r="C176" s="344"/>
      <c r="D176" s="344"/>
      <c r="E176" s="344"/>
      <c r="F176" s="344"/>
      <c r="G176" s="344"/>
      <c r="H176" s="344"/>
      <c r="I176" s="344"/>
      <c r="J176" s="344"/>
      <c r="K176" s="344"/>
      <c r="L176" s="344"/>
      <c r="M176" s="344"/>
      <c r="N176" s="344"/>
      <c r="O176" s="344"/>
      <c r="P176" s="344"/>
      <c r="Q176" s="344"/>
    </row>
    <row r="177" spans="1:17" s="343" customFormat="1" ht="19.5" customHeight="1">
      <c r="A177" s="342"/>
      <c r="B177" s="344"/>
      <c r="C177" s="344"/>
      <c r="D177" s="344"/>
      <c r="E177" s="344"/>
      <c r="F177" s="344"/>
      <c r="G177" s="344"/>
      <c r="H177" s="344"/>
      <c r="I177" s="344"/>
      <c r="J177" s="344"/>
      <c r="K177" s="344"/>
      <c r="L177" s="344"/>
      <c r="M177" s="344"/>
      <c r="N177" s="344"/>
      <c r="O177" s="344"/>
      <c r="P177" s="344"/>
      <c r="Q177" s="344"/>
    </row>
    <row r="178" spans="1:17" s="343" customFormat="1" ht="19.5" customHeight="1">
      <c r="A178" s="342"/>
      <c r="B178" s="344"/>
      <c r="C178" s="344"/>
      <c r="D178" s="344"/>
      <c r="E178" s="344"/>
      <c r="F178" s="344"/>
      <c r="G178" s="344"/>
      <c r="H178" s="344"/>
      <c r="I178" s="344"/>
      <c r="J178" s="344"/>
      <c r="K178" s="344"/>
      <c r="L178" s="344"/>
      <c r="M178" s="344"/>
      <c r="N178" s="344"/>
      <c r="O178" s="344"/>
      <c r="P178" s="344"/>
      <c r="Q178" s="344"/>
    </row>
    <row r="179" spans="1:17" s="343" customFormat="1" ht="19.5" customHeight="1">
      <c r="A179" s="342"/>
      <c r="B179" s="344"/>
      <c r="C179" s="344"/>
      <c r="D179" s="344"/>
      <c r="E179" s="344"/>
      <c r="F179" s="344"/>
      <c r="G179" s="344"/>
      <c r="H179" s="344"/>
      <c r="I179" s="344"/>
      <c r="J179" s="344"/>
      <c r="K179" s="344"/>
      <c r="L179" s="344"/>
      <c r="M179" s="344"/>
      <c r="N179" s="344"/>
      <c r="O179" s="344"/>
      <c r="P179" s="344"/>
      <c r="Q179" s="344"/>
    </row>
    <row r="180" spans="1:17" s="343" customFormat="1" ht="19.5" customHeight="1">
      <c r="A180" s="342"/>
      <c r="B180" s="344"/>
      <c r="C180" s="344"/>
      <c r="D180" s="344"/>
      <c r="E180" s="344"/>
      <c r="F180" s="344"/>
      <c r="G180" s="344"/>
      <c r="H180" s="344"/>
      <c r="I180" s="344"/>
      <c r="J180" s="344"/>
      <c r="K180" s="344"/>
      <c r="L180" s="344"/>
      <c r="M180" s="344"/>
      <c r="N180" s="344"/>
      <c r="O180" s="344"/>
      <c r="P180" s="344"/>
      <c r="Q180" s="344"/>
    </row>
    <row r="181" spans="1:17" s="343" customFormat="1" ht="19.5" customHeight="1">
      <c r="A181" s="342"/>
      <c r="B181" s="344"/>
      <c r="C181" s="344"/>
      <c r="D181" s="344"/>
      <c r="E181" s="344"/>
      <c r="F181" s="344"/>
      <c r="G181" s="344"/>
      <c r="H181" s="344"/>
      <c r="I181" s="344"/>
      <c r="J181" s="344"/>
      <c r="K181" s="344"/>
      <c r="L181" s="344"/>
      <c r="M181" s="344"/>
      <c r="N181" s="344"/>
      <c r="O181" s="344"/>
      <c r="P181" s="344"/>
      <c r="Q181" s="344"/>
    </row>
    <row r="182" spans="1:17" s="343" customFormat="1" ht="19.5" customHeight="1">
      <c r="A182" s="342"/>
      <c r="B182" s="344"/>
      <c r="C182" s="344"/>
      <c r="D182" s="344"/>
      <c r="E182" s="344"/>
      <c r="F182" s="344"/>
      <c r="G182" s="344"/>
      <c r="H182" s="344"/>
      <c r="I182" s="344"/>
      <c r="J182" s="344"/>
      <c r="K182" s="344"/>
      <c r="L182" s="344"/>
      <c r="M182" s="344"/>
      <c r="N182" s="344"/>
      <c r="O182" s="344"/>
      <c r="P182" s="344"/>
      <c r="Q182" s="344"/>
    </row>
    <row r="183" spans="1:17" s="343" customFormat="1" ht="19.5" customHeight="1">
      <c r="A183" s="342"/>
      <c r="B183" s="344"/>
      <c r="C183" s="344"/>
      <c r="D183" s="344"/>
      <c r="E183" s="344"/>
      <c r="F183" s="344"/>
      <c r="G183" s="344"/>
      <c r="H183" s="344"/>
      <c r="I183" s="344"/>
      <c r="J183" s="344"/>
      <c r="K183" s="344"/>
      <c r="L183" s="344"/>
      <c r="M183" s="344"/>
      <c r="N183" s="344"/>
      <c r="O183" s="344"/>
      <c r="P183" s="344"/>
      <c r="Q183" s="344"/>
    </row>
    <row r="184" spans="1:17" s="343" customFormat="1" ht="19.5" customHeight="1">
      <c r="A184" s="342"/>
      <c r="B184" s="344"/>
      <c r="C184" s="344"/>
      <c r="D184" s="344"/>
      <c r="E184" s="344"/>
      <c r="F184" s="344"/>
      <c r="G184" s="344"/>
      <c r="H184" s="344"/>
      <c r="I184" s="344"/>
      <c r="J184" s="344"/>
      <c r="K184" s="344"/>
      <c r="L184" s="344"/>
      <c r="M184" s="344"/>
      <c r="N184" s="344"/>
      <c r="O184" s="344"/>
      <c r="P184" s="344"/>
      <c r="Q184" s="344"/>
    </row>
    <row r="185" spans="1:17" s="343" customFormat="1" ht="19.5" customHeight="1">
      <c r="A185" s="342"/>
      <c r="B185" s="344"/>
      <c r="C185" s="344"/>
      <c r="D185" s="344"/>
      <c r="E185" s="344"/>
      <c r="F185" s="344"/>
      <c r="G185" s="344"/>
      <c r="H185" s="344"/>
      <c r="I185" s="344"/>
      <c r="J185" s="344"/>
      <c r="K185" s="344"/>
      <c r="L185" s="344"/>
      <c r="M185" s="344"/>
      <c r="N185" s="344"/>
      <c r="O185" s="344"/>
      <c r="P185" s="344"/>
      <c r="Q185" s="344"/>
    </row>
    <row r="186" spans="1:17" s="343" customFormat="1" ht="19.5" customHeight="1">
      <c r="A186" s="342"/>
      <c r="B186" s="344"/>
      <c r="C186" s="344"/>
      <c r="D186" s="344"/>
      <c r="E186" s="344"/>
      <c r="F186" s="344"/>
      <c r="G186" s="344"/>
      <c r="H186" s="344"/>
      <c r="I186" s="344"/>
      <c r="J186" s="344"/>
      <c r="K186" s="344"/>
      <c r="L186" s="344"/>
      <c r="M186" s="344"/>
      <c r="N186" s="344"/>
      <c r="O186" s="344"/>
      <c r="P186" s="344"/>
      <c r="Q186" s="344"/>
    </row>
    <row r="187" spans="1:17" s="343" customFormat="1" ht="19.5" customHeight="1">
      <c r="A187" s="342"/>
      <c r="B187" s="344"/>
      <c r="C187" s="344"/>
      <c r="D187" s="344"/>
      <c r="E187" s="344"/>
      <c r="F187" s="344"/>
      <c r="G187" s="344"/>
      <c r="H187" s="344"/>
      <c r="I187" s="344"/>
      <c r="J187" s="344"/>
      <c r="K187" s="344"/>
      <c r="L187" s="344"/>
      <c r="M187" s="344"/>
      <c r="N187" s="344"/>
      <c r="O187" s="344"/>
      <c r="P187" s="344"/>
      <c r="Q187" s="344"/>
    </row>
    <row r="188" spans="1:17" s="343" customFormat="1" ht="19.5" customHeight="1">
      <c r="A188" s="342"/>
      <c r="B188" s="344"/>
      <c r="C188" s="344"/>
      <c r="D188" s="344"/>
      <c r="E188" s="344"/>
      <c r="F188" s="344"/>
      <c r="G188" s="344"/>
      <c r="H188" s="344"/>
      <c r="I188" s="344"/>
      <c r="J188" s="344"/>
      <c r="K188" s="344"/>
      <c r="L188" s="344"/>
      <c r="M188" s="344"/>
      <c r="N188" s="344"/>
      <c r="O188" s="344"/>
      <c r="P188" s="344"/>
      <c r="Q188" s="344"/>
    </row>
    <row r="189" spans="1:17" s="343" customFormat="1" ht="19.5" customHeight="1">
      <c r="A189" s="342"/>
      <c r="B189" s="344"/>
      <c r="C189" s="344"/>
      <c r="D189" s="344"/>
      <c r="E189" s="344"/>
      <c r="F189" s="344"/>
      <c r="G189" s="344"/>
      <c r="H189" s="344"/>
      <c r="I189" s="344"/>
      <c r="J189" s="344"/>
      <c r="K189" s="344"/>
      <c r="L189" s="344"/>
      <c r="M189" s="344"/>
      <c r="N189" s="344"/>
      <c r="O189" s="344"/>
      <c r="P189" s="344"/>
      <c r="Q189" s="344"/>
    </row>
    <row r="190" spans="1:17" s="343" customFormat="1" ht="19.5" customHeight="1">
      <c r="A190" s="342"/>
      <c r="B190" s="344"/>
      <c r="C190" s="344"/>
      <c r="D190" s="344"/>
      <c r="E190" s="344"/>
      <c r="F190" s="344"/>
      <c r="G190" s="344"/>
      <c r="H190" s="344"/>
      <c r="I190" s="344"/>
      <c r="J190" s="344"/>
      <c r="K190" s="344"/>
      <c r="L190" s="344"/>
      <c r="M190" s="344"/>
      <c r="N190" s="344"/>
      <c r="O190" s="344"/>
      <c r="P190" s="344"/>
      <c r="Q190" s="344"/>
    </row>
    <row r="191" spans="1:17" s="343" customFormat="1" ht="19.5" customHeight="1">
      <c r="A191" s="342"/>
      <c r="B191" s="344"/>
      <c r="C191" s="344"/>
      <c r="D191" s="344"/>
      <c r="E191" s="344"/>
      <c r="F191" s="344"/>
      <c r="G191" s="344"/>
      <c r="H191" s="344"/>
      <c r="I191" s="344"/>
      <c r="J191" s="344"/>
      <c r="K191" s="344"/>
      <c r="L191" s="344"/>
      <c r="M191" s="344"/>
      <c r="N191" s="344"/>
      <c r="O191" s="344"/>
      <c r="P191" s="344"/>
      <c r="Q191" s="344"/>
    </row>
    <row r="192" spans="1:17" s="343" customFormat="1" ht="19.5" customHeight="1">
      <c r="A192" s="342"/>
      <c r="B192" s="344"/>
      <c r="C192" s="344"/>
      <c r="D192" s="344"/>
      <c r="E192" s="344"/>
      <c r="F192" s="344"/>
      <c r="G192" s="344"/>
      <c r="H192" s="344"/>
      <c r="I192" s="344"/>
      <c r="J192" s="344"/>
      <c r="K192" s="344"/>
      <c r="L192" s="344"/>
      <c r="M192" s="344"/>
      <c r="N192" s="344"/>
      <c r="O192" s="344"/>
      <c r="P192" s="344"/>
      <c r="Q192" s="344"/>
    </row>
    <row r="193" spans="1:17" s="343" customFormat="1" ht="19.5" customHeight="1">
      <c r="A193" s="342"/>
      <c r="B193" s="344"/>
      <c r="C193" s="344"/>
      <c r="D193" s="344"/>
      <c r="E193" s="344"/>
      <c r="F193" s="344"/>
      <c r="G193" s="344"/>
      <c r="H193" s="344"/>
      <c r="I193" s="344"/>
      <c r="J193" s="344"/>
      <c r="K193" s="344"/>
      <c r="L193" s="344"/>
      <c r="M193" s="344"/>
      <c r="N193" s="344"/>
      <c r="O193" s="344"/>
      <c r="P193" s="344"/>
      <c r="Q193" s="344"/>
    </row>
    <row r="194" spans="1:17" s="343" customFormat="1" ht="19.5" customHeight="1">
      <c r="A194" s="342"/>
      <c r="B194" s="344"/>
      <c r="C194" s="344"/>
      <c r="D194" s="344"/>
      <c r="E194" s="344"/>
      <c r="F194" s="344"/>
      <c r="G194" s="344"/>
      <c r="H194" s="344"/>
      <c r="I194" s="344"/>
      <c r="J194" s="344"/>
      <c r="K194" s="344"/>
      <c r="L194" s="344"/>
      <c r="M194" s="344"/>
      <c r="N194" s="344"/>
      <c r="O194" s="344"/>
      <c r="P194" s="344"/>
      <c r="Q194" s="344"/>
    </row>
    <row r="195" ht="19.5" customHeight="1"/>
    <row r="196" ht="9.75" customHeight="1"/>
    <row r="197" ht="19.5" customHeight="1"/>
    <row r="198" ht="19.5" customHeight="1"/>
    <row r="199" ht="19.5" customHeight="1"/>
    <row r="200" spans="1:17" s="343" customFormat="1" ht="19.5" customHeight="1">
      <c r="A200" s="342"/>
      <c r="B200" s="344"/>
      <c r="C200" s="344"/>
      <c r="D200" s="344"/>
      <c r="E200" s="344"/>
      <c r="F200" s="344"/>
      <c r="G200" s="344"/>
      <c r="H200" s="344"/>
      <c r="I200" s="344"/>
      <c r="J200" s="344"/>
      <c r="K200" s="344"/>
      <c r="L200" s="344"/>
      <c r="M200" s="344"/>
      <c r="N200" s="344"/>
      <c r="O200" s="344"/>
      <c r="P200" s="344"/>
      <c r="Q200" s="344"/>
    </row>
    <row r="201" spans="1:17" s="343" customFormat="1" ht="19.5" customHeight="1">
      <c r="A201" s="342"/>
      <c r="B201" s="344"/>
      <c r="C201" s="344"/>
      <c r="D201" s="344"/>
      <c r="E201" s="344"/>
      <c r="F201" s="344"/>
      <c r="G201" s="344"/>
      <c r="H201" s="344"/>
      <c r="I201" s="344"/>
      <c r="J201" s="344"/>
      <c r="K201" s="344"/>
      <c r="L201" s="344"/>
      <c r="M201" s="344"/>
      <c r="N201" s="344"/>
      <c r="O201" s="344"/>
      <c r="P201" s="344"/>
      <c r="Q201" s="344"/>
    </row>
    <row r="202" spans="1:17" s="343" customFormat="1" ht="19.5" customHeight="1">
      <c r="A202" s="342"/>
      <c r="B202" s="344"/>
      <c r="C202" s="344"/>
      <c r="D202" s="344"/>
      <c r="E202" s="344"/>
      <c r="F202" s="344"/>
      <c r="G202" s="344"/>
      <c r="H202" s="344"/>
      <c r="I202" s="344"/>
      <c r="J202" s="344"/>
      <c r="K202" s="344"/>
      <c r="L202" s="344"/>
      <c r="M202" s="344"/>
      <c r="N202" s="344"/>
      <c r="O202" s="344"/>
      <c r="P202" s="344"/>
      <c r="Q202" s="344"/>
    </row>
    <row r="203" spans="1:17" s="343" customFormat="1" ht="19.5" customHeight="1">
      <c r="A203" s="342"/>
      <c r="B203" s="344"/>
      <c r="C203" s="344"/>
      <c r="D203" s="344"/>
      <c r="E203" s="344"/>
      <c r="F203" s="344"/>
      <c r="G203" s="344"/>
      <c r="H203" s="344"/>
      <c r="I203" s="344"/>
      <c r="J203" s="344"/>
      <c r="K203" s="344"/>
      <c r="L203" s="344"/>
      <c r="M203" s="344"/>
      <c r="N203" s="344"/>
      <c r="O203" s="344"/>
      <c r="P203" s="344"/>
      <c r="Q203" s="344"/>
    </row>
    <row r="204" spans="1:17" s="343" customFormat="1" ht="19.5" customHeight="1">
      <c r="A204" s="342"/>
      <c r="B204" s="344"/>
      <c r="C204" s="344"/>
      <c r="D204" s="344"/>
      <c r="E204" s="344"/>
      <c r="F204" s="344"/>
      <c r="G204" s="344"/>
      <c r="H204" s="344"/>
      <c r="I204" s="344"/>
      <c r="J204" s="344"/>
      <c r="K204" s="344"/>
      <c r="L204" s="344"/>
      <c r="M204" s="344"/>
      <c r="N204" s="344"/>
      <c r="O204" s="344"/>
      <c r="P204" s="344"/>
      <c r="Q204" s="344"/>
    </row>
    <row r="205" spans="1:17" s="343" customFormat="1" ht="19.5" customHeight="1">
      <c r="A205" s="342"/>
      <c r="B205" s="344"/>
      <c r="C205" s="344"/>
      <c r="D205" s="344"/>
      <c r="E205" s="344"/>
      <c r="F205" s="344"/>
      <c r="G205" s="344"/>
      <c r="H205" s="344"/>
      <c r="I205" s="344"/>
      <c r="J205" s="344"/>
      <c r="K205" s="344"/>
      <c r="L205" s="344"/>
      <c r="M205" s="344"/>
      <c r="N205" s="344"/>
      <c r="O205" s="344"/>
      <c r="P205" s="344"/>
      <c r="Q205" s="344"/>
    </row>
    <row r="206" spans="1:17" s="343" customFormat="1" ht="19.5" customHeight="1">
      <c r="A206" s="342"/>
      <c r="B206" s="344"/>
      <c r="C206" s="344"/>
      <c r="D206" s="344"/>
      <c r="E206" s="344"/>
      <c r="F206" s="344"/>
      <c r="G206" s="344"/>
      <c r="H206" s="344"/>
      <c r="I206" s="344"/>
      <c r="J206" s="344"/>
      <c r="K206" s="344"/>
      <c r="L206" s="344"/>
      <c r="M206" s="344"/>
      <c r="N206" s="344"/>
      <c r="O206" s="344"/>
      <c r="P206" s="344"/>
      <c r="Q206" s="344"/>
    </row>
    <row r="207" spans="1:17" s="343" customFormat="1" ht="19.5" customHeight="1">
      <c r="A207" s="342"/>
      <c r="B207" s="344"/>
      <c r="C207" s="344"/>
      <c r="D207" s="344"/>
      <c r="E207" s="344"/>
      <c r="F207" s="344"/>
      <c r="G207" s="344"/>
      <c r="H207" s="344"/>
      <c r="I207" s="344"/>
      <c r="J207" s="344"/>
      <c r="K207" s="344"/>
      <c r="L207" s="344"/>
      <c r="M207" s="344"/>
      <c r="N207" s="344"/>
      <c r="O207" s="344"/>
      <c r="P207" s="344"/>
      <c r="Q207" s="344"/>
    </row>
    <row r="208" spans="1:17" s="343" customFormat="1" ht="19.5" customHeight="1">
      <c r="A208" s="342"/>
      <c r="B208" s="344"/>
      <c r="C208" s="344"/>
      <c r="D208" s="344"/>
      <c r="E208" s="344"/>
      <c r="F208" s="344"/>
      <c r="G208" s="344"/>
      <c r="H208" s="344"/>
      <c r="I208" s="344"/>
      <c r="J208" s="344"/>
      <c r="K208" s="344"/>
      <c r="L208" s="344"/>
      <c r="M208" s="344"/>
      <c r="N208" s="344"/>
      <c r="O208" s="344"/>
      <c r="P208" s="344"/>
      <c r="Q208" s="344"/>
    </row>
    <row r="209" spans="1:17" s="343" customFormat="1" ht="19.5" customHeight="1">
      <c r="A209" s="342"/>
      <c r="B209" s="344"/>
      <c r="C209" s="344"/>
      <c r="D209" s="344"/>
      <c r="E209" s="344"/>
      <c r="F209" s="344"/>
      <c r="G209" s="344"/>
      <c r="H209" s="344"/>
      <c r="I209" s="344"/>
      <c r="J209" s="344"/>
      <c r="K209" s="344"/>
      <c r="L209" s="344"/>
      <c r="M209" s="344"/>
      <c r="N209" s="344"/>
      <c r="O209" s="344"/>
      <c r="P209" s="344"/>
      <c r="Q209" s="344"/>
    </row>
    <row r="210" spans="1:17" s="343" customFormat="1" ht="19.5" customHeight="1">
      <c r="A210" s="342"/>
      <c r="B210" s="344"/>
      <c r="C210" s="344"/>
      <c r="D210" s="344"/>
      <c r="E210" s="344"/>
      <c r="F210" s="344"/>
      <c r="G210" s="344"/>
      <c r="H210" s="344"/>
      <c r="I210" s="344"/>
      <c r="J210" s="344"/>
      <c r="K210" s="344"/>
      <c r="L210" s="344"/>
      <c r="M210" s="344"/>
      <c r="N210" s="344"/>
      <c r="O210" s="344"/>
      <c r="P210" s="344"/>
      <c r="Q210" s="344"/>
    </row>
    <row r="211" spans="1:17" s="343" customFormat="1" ht="19.5" customHeight="1">
      <c r="A211" s="342"/>
      <c r="B211" s="344"/>
      <c r="C211" s="344"/>
      <c r="D211" s="344"/>
      <c r="E211" s="344"/>
      <c r="F211" s="344"/>
      <c r="G211" s="344"/>
      <c r="H211" s="344"/>
      <c r="I211" s="344"/>
      <c r="J211" s="344"/>
      <c r="K211" s="344"/>
      <c r="L211" s="344"/>
      <c r="M211" s="344"/>
      <c r="N211" s="344"/>
      <c r="O211" s="344"/>
      <c r="P211" s="344"/>
      <c r="Q211" s="344"/>
    </row>
    <row r="212" spans="1:17" s="343" customFormat="1" ht="19.5" customHeight="1">
      <c r="A212" s="342"/>
      <c r="B212" s="344"/>
      <c r="C212" s="344"/>
      <c r="D212" s="344"/>
      <c r="E212" s="344"/>
      <c r="F212" s="344"/>
      <c r="G212" s="344"/>
      <c r="H212" s="344"/>
      <c r="I212" s="344"/>
      <c r="J212" s="344"/>
      <c r="K212" s="344"/>
      <c r="L212" s="344"/>
      <c r="M212" s="344"/>
      <c r="N212" s="344"/>
      <c r="O212" s="344"/>
      <c r="P212" s="344"/>
      <c r="Q212" s="344"/>
    </row>
    <row r="213" spans="1:17" s="343" customFormat="1" ht="19.5" customHeight="1">
      <c r="A213" s="342"/>
      <c r="B213" s="344"/>
      <c r="C213" s="344"/>
      <c r="D213" s="344"/>
      <c r="E213" s="344"/>
      <c r="F213" s="344"/>
      <c r="G213" s="344"/>
      <c r="H213" s="344"/>
      <c r="I213" s="344"/>
      <c r="J213" s="344"/>
      <c r="K213" s="344"/>
      <c r="L213" s="344"/>
      <c r="M213" s="344"/>
      <c r="N213" s="344"/>
      <c r="O213" s="344"/>
      <c r="P213" s="344"/>
      <c r="Q213" s="344"/>
    </row>
    <row r="214" spans="1:17" s="343" customFormat="1" ht="19.5" customHeight="1">
      <c r="A214" s="342"/>
      <c r="B214" s="344"/>
      <c r="C214" s="344"/>
      <c r="D214" s="344"/>
      <c r="E214" s="344"/>
      <c r="F214" s="344"/>
      <c r="G214" s="344"/>
      <c r="H214" s="344"/>
      <c r="I214" s="344"/>
      <c r="J214" s="344"/>
      <c r="K214" s="344"/>
      <c r="L214" s="344"/>
      <c r="M214" s="344"/>
      <c r="N214" s="344"/>
      <c r="O214" s="344"/>
      <c r="P214" s="344"/>
      <c r="Q214" s="344"/>
    </row>
    <row r="215" spans="1:17" s="343" customFormat="1" ht="19.5" customHeight="1">
      <c r="A215" s="342"/>
      <c r="B215" s="344"/>
      <c r="C215" s="344"/>
      <c r="D215" s="344"/>
      <c r="E215" s="344"/>
      <c r="F215" s="344"/>
      <c r="G215" s="344"/>
      <c r="H215" s="344"/>
      <c r="I215" s="344"/>
      <c r="J215" s="344"/>
      <c r="K215" s="344"/>
      <c r="L215" s="344"/>
      <c r="M215" s="344"/>
      <c r="N215" s="344"/>
      <c r="O215" s="344"/>
      <c r="P215" s="344"/>
      <c r="Q215" s="344"/>
    </row>
    <row r="216" spans="1:17" s="343" customFormat="1" ht="19.5" customHeight="1">
      <c r="A216" s="342"/>
      <c r="B216" s="344"/>
      <c r="C216" s="344"/>
      <c r="D216" s="344"/>
      <c r="E216" s="344"/>
      <c r="F216" s="344"/>
      <c r="G216" s="344"/>
      <c r="H216" s="344"/>
      <c r="I216" s="344"/>
      <c r="J216" s="344"/>
      <c r="K216" s="344"/>
      <c r="L216" s="344"/>
      <c r="M216" s="344"/>
      <c r="N216" s="344"/>
      <c r="O216" s="344"/>
      <c r="P216" s="344"/>
      <c r="Q216" s="344"/>
    </row>
    <row r="217" spans="1:17" s="343" customFormat="1" ht="19.5" customHeight="1">
      <c r="A217" s="342"/>
      <c r="B217" s="344"/>
      <c r="C217" s="344"/>
      <c r="D217" s="344"/>
      <c r="E217" s="344"/>
      <c r="F217" s="344"/>
      <c r="G217" s="344"/>
      <c r="H217" s="344"/>
      <c r="I217" s="344"/>
      <c r="J217" s="344"/>
      <c r="K217" s="344"/>
      <c r="L217" s="344"/>
      <c r="M217" s="344"/>
      <c r="N217" s="344"/>
      <c r="O217" s="344"/>
      <c r="P217" s="344"/>
      <c r="Q217" s="344"/>
    </row>
    <row r="218" spans="1:17" s="343" customFormat="1" ht="19.5" customHeight="1">
      <c r="A218" s="342"/>
      <c r="B218" s="344"/>
      <c r="C218" s="344"/>
      <c r="D218" s="344"/>
      <c r="E218" s="344"/>
      <c r="F218" s="344"/>
      <c r="G218" s="344"/>
      <c r="H218" s="344"/>
      <c r="I218" s="344"/>
      <c r="J218" s="344"/>
      <c r="K218" s="344"/>
      <c r="L218" s="344"/>
      <c r="M218" s="344"/>
      <c r="N218" s="344"/>
      <c r="O218" s="344"/>
      <c r="P218" s="344"/>
      <c r="Q218" s="344"/>
    </row>
    <row r="219" spans="1:17" s="343" customFormat="1" ht="19.5" customHeight="1">
      <c r="A219" s="342"/>
      <c r="B219" s="344"/>
      <c r="C219" s="344"/>
      <c r="D219" s="344"/>
      <c r="E219" s="344"/>
      <c r="F219" s="344"/>
      <c r="G219" s="344"/>
      <c r="H219" s="344"/>
      <c r="I219" s="344"/>
      <c r="J219" s="344"/>
      <c r="K219" s="344"/>
      <c r="L219" s="344"/>
      <c r="M219" s="344"/>
      <c r="N219" s="344"/>
      <c r="O219" s="344"/>
      <c r="P219" s="344"/>
      <c r="Q219" s="344"/>
    </row>
    <row r="220" spans="1:17" s="343" customFormat="1" ht="19.5" customHeight="1">
      <c r="A220" s="342"/>
      <c r="B220" s="344"/>
      <c r="C220" s="344"/>
      <c r="D220" s="344"/>
      <c r="E220" s="344"/>
      <c r="F220" s="344"/>
      <c r="G220" s="344"/>
      <c r="H220" s="344"/>
      <c r="I220" s="344"/>
      <c r="J220" s="344"/>
      <c r="K220" s="344"/>
      <c r="L220" s="344"/>
      <c r="M220" s="344"/>
      <c r="N220" s="344"/>
      <c r="O220" s="344"/>
      <c r="P220" s="344"/>
      <c r="Q220" s="344"/>
    </row>
    <row r="221" spans="1:17" s="343" customFormat="1" ht="19.5" customHeight="1">
      <c r="A221" s="342"/>
      <c r="B221" s="344"/>
      <c r="C221" s="344"/>
      <c r="D221" s="344"/>
      <c r="E221" s="344"/>
      <c r="F221" s="344"/>
      <c r="G221" s="344"/>
      <c r="H221" s="344"/>
      <c r="I221" s="344"/>
      <c r="J221" s="344"/>
      <c r="K221" s="344"/>
      <c r="L221" s="344"/>
      <c r="M221" s="344"/>
      <c r="N221" s="344"/>
      <c r="O221" s="344"/>
      <c r="P221" s="344"/>
      <c r="Q221" s="344"/>
    </row>
    <row r="222" spans="1:17" s="343" customFormat="1" ht="19.5" customHeight="1">
      <c r="A222" s="342"/>
      <c r="B222" s="344"/>
      <c r="C222" s="344"/>
      <c r="D222" s="344"/>
      <c r="E222" s="344"/>
      <c r="F222" s="344"/>
      <c r="G222" s="344"/>
      <c r="H222" s="344"/>
      <c r="I222" s="344"/>
      <c r="J222" s="344"/>
      <c r="K222" s="344"/>
      <c r="L222" s="344"/>
      <c r="M222" s="344"/>
      <c r="N222" s="344"/>
      <c r="O222" s="344"/>
      <c r="P222" s="344"/>
      <c r="Q222" s="344"/>
    </row>
    <row r="223" spans="1:17" s="343" customFormat="1" ht="19.5" customHeight="1">
      <c r="A223" s="342"/>
      <c r="B223" s="344"/>
      <c r="C223" s="344"/>
      <c r="D223" s="344"/>
      <c r="E223" s="344"/>
      <c r="F223" s="344"/>
      <c r="G223" s="344"/>
      <c r="H223" s="344"/>
      <c r="I223" s="344"/>
      <c r="J223" s="344"/>
      <c r="K223" s="344"/>
      <c r="L223" s="344"/>
      <c r="M223" s="344"/>
      <c r="N223" s="344"/>
      <c r="O223" s="344"/>
      <c r="P223" s="344"/>
      <c r="Q223" s="344"/>
    </row>
    <row r="224" spans="1:17" s="343" customFormat="1" ht="19.5" customHeight="1">
      <c r="A224" s="342"/>
      <c r="B224" s="344"/>
      <c r="C224" s="344"/>
      <c r="D224" s="344"/>
      <c r="E224" s="344"/>
      <c r="F224" s="344"/>
      <c r="G224" s="344"/>
      <c r="H224" s="344"/>
      <c r="I224" s="344"/>
      <c r="J224" s="344"/>
      <c r="K224" s="344"/>
      <c r="L224" s="344"/>
      <c r="M224" s="344"/>
      <c r="N224" s="344"/>
      <c r="O224" s="344"/>
      <c r="P224" s="344"/>
      <c r="Q224" s="344"/>
    </row>
    <row r="225" spans="1:17" s="343" customFormat="1" ht="19.5" customHeight="1">
      <c r="A225" s="342"/>
      <c r="B225" s="344"/>
      <c r="C225" s="344"/>
      <c r="D225" s="344"/>
      <c r="E225" s="344"/>
      <c r="F225" s="344"/>
      <c r="G225" s="344"/>
      <c r="H225" s="344"/>
      <c r="I225" s="344"/>
      <c r="J225" s="344"/>
      <c r="K225" s="344"/>
      <c r="L225" s="344"/>
      <c r="M225" s="344"/>
      <c r="N225" s="344"/>
      <c r="O225" s="344"/>
      <c r="P225" s="344"/>
      <c r="Q225" s="344"/>
    </row>
    <row r="226" spans="1:17" s="343" customFormat="1" ht="19.5" customHeight="1">
      <c r="A226" s="342"/>
      <c r="B226" s="344"/>
      <c r="C226" s="344"/>
      <c r="D226" s="344"/>
      <c r="E226" s="344"/>
      <c r="F226" s="344"/>
      <c r="G226" s="344"/>
      <c r="H226" s="344"/>
      <c r="I226" s="344"/>
      <c r="J226" s="344"/>
      <c r="K226" s="344"/>
      <c r="L226" s="344"/>
      <c r="M226" s="344"/>
      <c r="N226" s="344"/>
      <c r="O226" s="344"/>
      <c r="P226" s="344"/>
      <c r="Q226" s="344"/>
    </row>
    <row r="227" spans="1:17" s="343" customFormat="1" ht="19.5" customHeight="1">
      <c r="A227" s="342"/>
      <c r="B227" s="344"/>
      <c r="C227" s="344"/>
      <c r="D227" s="344"/>
      <c r="E227" s="344"/>
      <c r="F227" s="344"/>
      <c r="G227" s="344"/>
      <c r="H227" s="344"/>
      <c r="I227" s="344"/>
      <c r="J227" s="344"/>
      <c r="K227" s="344"/>
      <c r="L227" s="344"/>
      <c r="M227" s="344"/>
      <c r="N227" s="344"/>
      <c r="O227" s="344"/>
      <c r="P227" s="344"/>
      <c r="Q227" s="344"/>
    </row>
    <row r="228" spans="1:17" s="343" customFormat="1" ht="19.5" customHeight="1">
      <c r="A228" s="342"/>
      <c r="B228" s="344"/>
      <c r="C228" s="344"/>
      <c r="D228" s="344"/>
      <c r="E228" s="344"/>
      <c r="F228" s="344"/>
      <c r="G228" s="344"/>
      <c r="H228" s="344"/>
      <c r="I228" s="344"/>
      <c r="J228" s="344"/>
      <c r="K228" s="344"/>
      <c r="L228" s="344"/>
      <c r="M228" s="344"/>
      <c r="N228" s="344"/>
      <c r="O228" s="344"/>
      <c r="P228" s="344"/>
      <c r="Q228" s="344"/>
    </row>
    <row r="229" spans="1:17" s="343" customFormat="1" ht="19.5" customHeight="1">
      <c r="A229" s="342"/>
      <c r="B229" s="344"/>
      <c r="C229" s="344"/>
      <c r="D229" s="344"/>
      <c r="E229" s="344"/>
      <c r="F229" s="344"/>
      <c r="G229" s="344"/>
      <c r="H229" s="344"/>
      <c r="I229" s="344"/>
      <c r="J229" s="344"/>
      <c r="K229" s="344"/>
      <c r="L229" s="344"/>
      <c r="M229" s="344"/>
      <c r="N229" s="344"/>
      <c r="O229" s="344"/>
      <c r="P229" s="344"/>
      <c r="Q229" s="344"/>
    </row>
    <row r="230" spans="1:17" s="343" customFormat="1" ht="19.5" customHeight="1">
      <c r="A230" s="342"/>
      <c r="B230" s="344"/>
      <c r="C230" s="344"/>
      <c r="D230" s="344"/>
      <c r="E230" s="344"/>
      <c r="F230" s="344"/>
      <c r="G230" s="344"/>
      <c r="H230" s="344"/>
      <c r="I230" s="344"/>
      <c r="J230" s="344"/>
      <c r="K230" s="344"/>
      <c r="L230" s="344"/>
      <c r="M230" s="344"/>
      <c r="N230" s="344"/>
      <c r="O230" s="344"/>
      <c r="P230" s="344"/>
      <c r="Q230" s="344"/>
    </row>
    <row r="231" spans="1:17" s="343" customFormat="1" ht="19.5" customHeight="1">
      <c r="A231" s="342"/>
      <c r="B231" s="344"/>
      <c r="C231" s="344"/>
      <c r="D231" s="344"/>
      <c r="E231" s="344"/>
      <c r="F231" s="344"/>
      <c r="G231" s="344"/>
      <c r="H231" s="344"/>
      <c r="I231" s="344"/>
      <c r="J231" s="344"/>
      <c r="K231" s="344"/>
      <c r="L231" s="344"/>
      <c r="M231" s="344"/>
      <c r="N231" s="344"/>
      <c r="O231" s="344"/>
      <c r="P231" s="344"/>
      <c r="Q231" s="344"/>
    </row>
    <row r="232" spans="1:17" s="343" customFormat="1" ht="19.5" customHeight="1">
      <c r="A232" s="342"/>
      <c r="B232" s="344"/>
      <c r="C232" s="344"/>
      <c r="D232" s="344"/>
      <c r="E232" s="344"/>
      <c r="F232" s="344"/>
      <c r="G232" s="344"/>
      <c r="H232" s="344"/>
      <c r="I232" s="344"/>
      <c r="J232" s="344"/>
      <c r="K232" s="344"/>
      <c r="L232" s="344"/>
      <c r="M232" s="344"/>
      <c r="N232" s="344"/>
      <c r="O232" s="344"/>
      <c r="P232" s="344"/>
      <c r="Q232" s="344"/>
    </row>
    <row r="233" spans="1:17" s="343" customFormat="1" ht="19.5" customHeight="1">
      <c r="A233" s="342"/>
      <c r="B233" s="344"/>
      <c r="C233" s="344"/>
      <c r="D233" s="344"/>
      <c r="E233" s="344"/>
      <c r="F233" s="344"/>
      <c r="G233" s="344"/>
      <c r="H233" s="344"/>
      <c r="I233" s="344"/>
      <c r="J233" s="344"/>
      <c r="K233" s="344"/>
      <c r="L233" s="344"/>
      <c r="M233" s="344"/>
      <c r="N233" s="344"/>
      <c r="O233" s="344"/>
      <c r="P233" s="344"/>
      <c r="Q233" s="344"/>
    </row>
    <row r="234" spans="1:17" s="343" customFormat="1" ht="19.5" customHeight="1">
      <c r="A234" s="342"/>
      <c r="B234" s="344"/>
      <c r="C234" s="344"/>
      <c r="D234" s="344"/>
      <c r="E234" s="344"/>
      <c r="F234" s="344"/>
      <c r="G234" s="344"/>
      <c r="H234" s="344"/>
      <c r="I234" s="344"/>
      <c r="J234" s="344"/>
      <c r="K234" s="344"/>
      <c r="L234" s="344"/>
      <c r="M234" s="344"/>
      <c r="N234" s="344"/>
      <c r="O234" s="344"/>
      <c r="P234" s="344"/>
      <c r="Q234" s="344"/>
    </row>
    <row r="235" spans="1:17" s="343" customFormat="1" ht="19.5" customHeight="1">
      <c r="A235" s="342"/>
      <c r="B235" s="344"/>
      <c r="C235" s="344"/>
      <c r="D235" s="344"/>
      <c r="E235" s="344"/>
      <c r="F235" s="344"/>
      <c r="G235" s="344"/>
      <c r="H235" s="344"/>
      <c r="I235" s="344"/>
      <c r="J235" s="344"/>
      <c r="K235" s="344"/>
      <c r="L235" s="344"/>
      <c r="M235" s="344"/>
      <c r="N235" s="344"/>
      <c r="O235" s="344"/>
      <c r="P235" s="344"/>
      <c r="Q235" s="344"/>
    </row>
    <row r="236" spans="1:17" s="343" customFormat="1" ht="19.5" customHeight="1">
      <c r="A236" s="342"/>
      <c r="B236" s="344"/>
      <c r="C236" s="344"/>
      <c r="D236" s="344"/>
      <c r="E236" s="344"/>
      <c r="F236" s="344"/>
      <c r="G236" s="344"/>
      <c r="H236" s="344"/>
      <c r="I236" s="344"/>
      <c r="J236" s="344"/>
      <c r="K236" s="344"/>
      <c r="L236" s="344"/>
      <c r="M236" s="344"/>
      <c r="N236" s="344"/>
      <c r="O236" s="344"/>
      <c r="P236" s="344"/>
      <c r="Q236" s="344"/>
    </row>
    <row r="237" ht="19.5" customHeight="1"/>
    <row r="238" ht="9.75" customHeight="1"/>
    <row r="239" ht="19.5" customHeight="1"/>
    <row r="240" ht="19.5" customHeight="1"/>
    <row r="241" ht="19.5" customHeight="1"/>
    <row r="242" ht="19.5" customHeight="1"/>
    <row r="243" spans="1:17" s="343" customFormat="1" ht="19.5" customHeight="1">
      <c r="A243" s="342"/>
      <c r="B243" s="344"/>
      <c r="C243" s="344"/>
      <c r="D243" s="344"/>
      <c r="E243" s="344"/>
      <c r="F243" s="344"/>
      <c r="G243" s="344"/>
      <c r="H243" s="344"/>
      <c r="I243" s="344"/>
      <c r="J243" s="344"/>
      <c r="K243" s="344"/>
      <c r="L243" s="344"/>
      <c r="M243" s="344"/>
      <c r="N243" s="344"/>
      <c r="O243" s="344"/>
      <c r="P243" s="344"/>
      <c r="Q243" s="344"/>
    </row>
    <row r="244" spans="1:17" s="343" customFormat="1" ht="19.5" customHeight="1">
      <c r="A244" s="342"/>
      <c r="B244" s="344"/>
      <c r="C244" s="344"/>
      <c r="D244" s="344"/>
      <c r="E244" s="344"/>
      <c r="F244" s="344"/>
      <c r="G244" s="344"/>
      <c r="H244" s="344"/>
      <c r="I244" s="344"/>
      <c r="J244" s="344"/>
      <c r="K244" s="344"/>
      <c r="L244" s="344"/>
      <c r="M244" s="344"/>
      <c r="N244" s="344"/>
      <c r="O244" s="344"/>
      <c r="P244" s="344"/>
      <c r="Q244" s="344"/>
    </row>
    <row r="245" spans="1:17" s="343" customFormat="1" ht="19.5" customHeight="1">
      <c r="A245" s="342"/>
      <c r="B245" s="344"/>
      <c r="C245" s="344"/>
      <c r="D245" s="344"/>
      <c r="E245" s="344"/>
      <c r="F245" s="344"/>
      <c r="G245" s="344"/>
      <c r="H245" s="344"/>
      <c r="I245" s="344"/>
      <c r="J245" s="344"/>
      <c r="K245" s="344"/>
      <c r="L245" s="344"/>
      <c r="M245" s="344"/>
      <c r="N245" s="344"/>
      <c r="O245" s="344"/>
      <c r="P245" s="344"/>
      <c r="Q245" s="344"/>
    </row>
    <row r="246" spans="1:17" s="343" customFormat="1" ht="19.5" customHeight="1">
      <c r="A246" s="342"/>
      <c r="B246" s="344"/>
      <c r="C246" s="344"/>
      <c r="D246" s="344"/>
      <c r="E246" s="344"/>
      <c r="F246" s="344"/>
      <c r="G246" s="344"/>
      <c r="H246" s="344"/>
      <c r="I246" s="344"/>
      <c r="J246" s="344"/>
      <c r="K246" s="344"/>
      <c r="L246" s="344"/>
      <c r="M246" s="344"/>
      <c r="N246" s="344"/>
      <c r="O246" s="344"/>
      <c r="P246" s="344"/>
      <c r="Q246" s="344"/>
    </row>
    <row r="247" spans="1:17" s="343" customFormat="1" ht="19.5" customHeight="1">
      <c r="A247" s="342"/>
      <c r="B247" s="344"/>
      <c r="C247" s="344"/>
      <c r="D247" s="344"/>
      <c r="E247" s="344"/>
      <c r="F247" s="344"/>
      <c r="G247" s="344"/>
      <c r="H247" s="344"/>
      <c r="I247" s="344"/>
      <c r="J247" s="344"/>
      <c r="K247" s="344"/>
      <c r="L247" s="344"/>
      <c r="M247" s="344"/>
      <c r="N247" s="344"/>
      <c r="O247" s="344"/>
      <c r="P247" s="344"/>
      <c r="Q247" s="344"/>
    </row>
    <row r="248" spans="1:17" s="343" customFormat="1" ht="19.5" customHeight="1">
      <c r="A248" s="342"/>
      <c r="B248" s="344"/>
      <c r="C248" s="344"/>
      <c r="D248" s="344"/>
      <c r="E248" s="344"/>
      <c r="F248" s="344"/>
      <c r="G248" s="344"/>
      <c r="H248" s="344"/>
      <c r="I248" s="344"/>
      <c r="J248" s="344"/>
      <c r="K248" s="344"/>
      <c r="L248" s="344"/>
      <c r="M248" s="344"/>
      <c r="N248" s="344"/>
      <c r="O248" s="344"/>
      <c r="P248" s="344"/>
      <c r="Q248" s="344"/>
    </row>
    <row r="249" spans="1:17" s="343" customFormat="1" ht="19.5" customHeight="1">
      <c r="A249" s="342"/>
      <c r="B249" s="344"/>
      <c r="C249" s="344"/>
      <c r="D249" s="344"/>
      <c r="E249" s="344"/>
      <c r="F249" s="344"/>
      <c r="G249" s="344"/>
      <c r="H249" s="344"/>
      <c r="I249" s="344"/>
      <c r="J249" s="344"/>
      <c r="K249" s="344"/>
      <c r="L249" s="344"/>
      <c r="M249" s="344"/>
      <c r="N249" s="344"/>
      <c r="O249" s="344"/>
      <c r="P249" s="344"/>
      <c r="Q249" s="344"/>
    </row>
    <row r="250" spans="1:17" s="343" customFormat="1" ht="19.5" customHeight="1">
      <c r="A250" s="342"/>
      <c r="B250" s="344"/>
      <c r="C250" s="344"/>
      <c r="D250" s="344"/>
      <c r="E250" s="344"/>
      <c r="F250" s="344"/>
      <c r="G250" s="344"/>
      <c r="H250" s="344"/>
      <c r="I250" s="344"/>
      <c r="J250" s="344"/>
      <c r="K250" s="344"/>
      <c r="L250" s="344"/>
      <c r="M250" s="344"/>
      <c r="N250" s="344"/>
      <c r="O250" s="344"/>
      <c r="P250" s="344"/>
      <c r="Q250" s="344"/>
    </row>
    <row r="251" spans="1:17" s="343" customFormat="1" ht="19.5" customHeight="1">
      <c r="A251" s="342"/>
      <c r="B251" s="344"/>
      <c r="C251" s="344"/>
      <c r="D251" s="344"/>
      <c r="E251" s="344"/>
      <c r="F251" s="344"/>
      <c r="G251" s="344"/>
      <c r="H251" s="344"/>
      <c r="I251" s="344"/>
      <c r="J251" s="344"/>
      <c r="K251" s="344"/>
      <c r="L251" s="344"/>
      <c r="M251" s="344"/>
      <c r="N251" s="344"/>
      <c r="O251" s="344"/>
      <c r="P251" s="344"/>
      <c r="Q251" s="344"/>
    </row>
    <row r="252" spans="1:17" s="343" customFormat="1" ht="19.5" customHeight="1">
      <c r="A252" s="342"/>
      <c r="B252" s="344"/>
      <c r="C252" s="344"/>
      <c r="D252" s="344"/>
      <c r="E252" s="344"/>
      <c r="F252" s="344"/>
      <c r="G252" s="344"/>
      <c r="H252" s="344"/>
      <c r="I252" s="344"/>
      <c r="J252" s="344"/>
      <c r="K252" s="344"/>
      <c r="L252" s="344"/>
      <c r="M252" s="344"/>
      <c r="N252" s="344"/>
      <c r="O252" s="344"/>
      <c r="P252" s="344"/>
      <c r="Q252" s="344"/>
    </row>
    <row r="253" spans="1:17" s="343" customFormat="1" ht="19.5" customHeight="1">
      <c r="A253" s="342"/>
      <c r="B253" s="344"/>
      <c r="C253" s="344"/>
      <c r="D253" s="344"/>
      <c r="E253" s="344"/>
      <c r="F253" s="344"/>
      <c r="G253" s="344"/>
      <c r="H253" s="344"/>
      <c r="I253" s="344"/>
      <c r="J253" s="344"/>
      <c r="K253" s="344"/>
      <c r="L253" s="344"/>
      <c r="M253" s="344"/>
      <c r="N253" s="344"/>
      <c r="O253" s="344"/>
      <c r="P253" s="344"/>
      <c r="Q253" s="344"/>
    </row>
    <row r="254" spans="1:17" s="343" customFormat="1" ht="19.5" customHeight="1">
      <c r="A254" s="342"/>
      <c r="B254" s="344"/>
      <c r="C254" s="344"/>
      <c r="D254" s="344"/>
      <c r="E254" s="344"/>
      <c r="F254" s="344"/>
      <c r="G254" s="344"/>
      <c r="H254" s="344"/>
      <c r="I254" s="344"/>
      <c r="J254" s="344"/>
      <c r="K254" s="344"/>
      <c r="L254" s="344"/>
      <c r="M254" s="344"/>
      <c r="N254" s="344"/>
      <c r="O254" s="344"/>
      <c r="P254" s="344"/>
      <c r="Q254" s="344"/>
    </row>
    <row r="255" spans="1:17" s="343" customFormat="1" ht="19.5" customHeight="1">
      <c r="A255" s="342"/>
      <c r="B255" s="344"/>
      <c r="C255" s="344"/>
      <c r="D255" s="344"/>
      <c r="E255" s="344"/>
      <c r="F255" s="344"/>
      <c r="G255" s="344"/>
      <c r="H255" s="344"/>
      <c r="I255" s="344"/>
      <c r="J255" s="344"/>
      <c r="K255" s="344"/>
      <c r="L255" s="344"/>
      <c r="M255" s="344"/>
      <c r="N255" s="344"/>
      <c r="O255" s="344"/>
      <c r="P255" s="344"/>
      <c r="Q255" s="344"/>
    </row>
    <row r="256" spans="1:17" s="343" customFormat="1" ht="19.5" customHeight="1">
      <c r="A256" s="342"/>
      <c r="B256" s="344"/>
      <c r="C256" s="344"/>
      <c r="D256" s="344"/>
      <c r="E256" s="344"/>
      <c r="F256" s="344"/>
      <c r="G256" s="344"/>
      <c r="H256" s="344"/>
      <c r="I256" s="344"/>
      <c r="J256" s="344"/>
      <c r="K256" s="344"/>
      <c r="L256" s="344"/>
      <c r="M256" s="344"/>
      <c r="N256" s="344"/>
      <c r="O256" s="344"/>
      <c r="P256" s="344"/>
      <c r="Q256" s="344"/>
    </row>
    <row r="257" spans="1:17" s="343" customFormat="1" ht="19.5" customHeight="1">
      <c r="A257" s="342"/>
      <c r="B257" s="344"/>
      <c r="C257" s="344"/>
      <c r="D257" s="344"/>
      <c r="E257" s="344"/>
      <c r="F257" s="344"/>
      <c r="G257" s="344"/>
      <c r="H257" s="344"/>
      <c r="I257" s="344"/>
      <c r="J257" s="344"/>
      <c r="K257" s="344"/>
      <c r="L257" s="344"/>
      <c r="M257" s="344"/>
      <c r="N257" s="344"/>
      <c r="O257" s="344"/>
      <c r="P257" s="344"/>
      <c r="Q257" s="344"/>
    </row>
    <row r="258" spans="1:17" s="343" customFormat="1" ht="19.5" customHeight="1">
      <c r="A258" s="342"/>
      <c r="B258" s="344"/>
      <c r="C258" s="344"/>
      <c r="D258" s="344"/>
      <c r="E258" s="344"/>
      <c r="F258" s="344"/>
      <c r="G258" s="344"/>
      <c r="H258" s="344"/>
      <c r="I258" s="344"/>
      <c r="J258" s="344"/>
      <c r="K258" s="344"/>
      <c r="L258" s="344"/>
      <c r="M258" s="344"/>
      <c r="N258" s="344"/>
      <c r="O258" s="344"/>
      <c r="P258" s="344"/>
      <c r="Q258" s="344"/>
    </row>
    <row r="259" spans="1:17" s="343" customFormat="1" ht="19.5" customHeight="1">
      <c r="A259" s="342"/>
      <c r="B259" s="344"/>
      <c r="C259" s="344"/>
      <c r="D259" s="344"/>
      <c r="E259" s="344"/>
      <c r="F259" s="344"/>
      <c r="G259" s="344"/>
      <c r="H259" s="344"/>
      <c r="I259" s="344"/>
      <c r="J259" s="344"/>
      <c r="K259" s="344"/>
      <c r="L259" s="344"/>
      <c r="M259" s="344"/>
      <c r="N259" s="344"/>
      <c r="O259" s="344"/>
      <c r="P259" s="344"/>
      <c r="Q259" s="344"/>
    </row>
    <row r="260" spans="1:17" s="343" customFormat="1" ht="19.5" customHeight="1">
      <c r="A260" s="342"/>
      <c r="B260" s="344"/>
      <c r="C260" s="344"/>
      <c r="D260" s="344"/>
      <c r="E260" s="344"/>
      <c r="F260" s="344"/>
      <c r="G260" s="344"/>
      <c r="H260" s="344"/>
      <c r="I260" s="344"/>
      <c r="J260" s="344"/>
      <c r="K260" s="344"/>
      <c r="L260" s="344"/>
      <c r="M260" s="344"/>
      <c r="N260" s="344"/>
      <c r="O260" s="344"/>
      <c r="P260" s="344"/>
      <c r="Q260" s="344"/>
    </row>
    <row r="261" spans="1:17" s="343" customFormat="1" ht="19.5" customHeight="1">
      <c r="A261" s="342"/>
      <c r="B261" s="344"/>
      <c r="C261" s="344"/>
      <c r="D261" s="344"/>
      <c r="E261" s="344"/>
      <c r="F261" s="344"/>
      <c r="G261" s="344"/>
      <c r="H261" s="344"/>
      <c r="I261" s="344"/>
      <c r="J261" s="344"/>
      <c r="K261" s="344"/>
      <c r="L261" s="344"/>
      <c r="M261" s="344"/>
      <c r="N261" s="344"/>
      <c r="O261" s="344"/>
      <c r="P261" s="344"/>
      <c r="Q261" s="344"/>
    </row>
    <row r="262" spans="1:17" s="343" customFormat="1" ht="19.5" customHeight="1">
      <c r="A262" s="342"/>
      <c r="B262" s="344"/>
      <c r="C262" s="344"/>
      <c r="D262" s="344"/>
      <c r="E262" s="344"/>
      <c r="F262" s="344"/>
      <c r="G262" s="344"/>
      <c r="H262" s="344"/>
      <c r="I262" s="344"/>
      <c r="J262" s="344"/>
      <c r="K262" s="344"/>
      <c r="L262" s="344"/>
      <c r="M262" s="344"/>
      <c r="N262" s="344"/>
      <c r="O262" s="344"/>
      <c r="P262" s="344"/>
      <c r="Q262" s="344"/>
    </row>
    <row r="263" spans="1:17" s="343" customFormat="1" ht="19.5" customHeight="1">
      <c r="A263" s="342"/>
      <c r="B263" s="344"/>
      <c r="C263" s="344"/>
      <c r="D263" s="344"/>
      <c r="E263" s="344"/>
      <c r="F263" s="344"/>
      <c r="G263" s="344"/>
      <c r="H263" s="344"/>
      <c r="I263" s="344"/>
      <c r="J263" s="344"/>
      <c r="K263" s="344"/>
      <c r="L263" s="344"/>
      <c r="M263" s="344"/>
      <c r="N263" s="344"/>
      <c r="O263" s="344"/>
      <c r="P263" s="344"/>
      <c r="Q263" s="344"/>
    </row>
    <row r="264" spans="1:17" s="343" customFormat="1" ht="19.5" customHeight="1">
      <c r="A264" s="342"/>
      <c r="B264" s="344"/>
      <c r="C264" s="344"/>
      <c r="D264" s="344"/>
      <c r="E264" s="344"/>
      <c r="F264" s="344"/>
      <c r="G264" s="344"/>
      <c r="H264" s="344"/>
      <c r="I264" s="344"/>
      <c r="J264" s="344"/>
      <c r="K264" s="344"/>
      <c r="L264" s="344"/>
      <c r="M264" s="344"/>
      <c r="N264" s="344"/>
      <c r="O264" s="344"/>
      <c r="P264" s="344"/>
      <c r="Q264" s="344"/>
    </row>
    <row r="265" spans="1:17" s="343" customFormat="1" ht="19.5" customHeight="1">
      <c r="A265" s="342"/>
      <c r="B265" s="344"/>
      <c r="C265" s="344"/>
      <c r="D265" s="344"/>
      <c r="E265" s="344"/>
      <c r="F265" s="344"/>
      <c r="G265" s="344"/>
      <c r="H265" s="344"/>
      <c r="I265" s="344"/>
      <c r="J265" s="344"/>
      <c r="K265" s="344"/>
      <c r="L265" s="344"/>
      <c r="M265" s="344"/>
      <c r="N265" s="344"/>
      <c r="O265" s="344"/>
      <c r="P265" s="344"/>
      <c r="Q265" s="344"/>
    </row>
    <row r="266" spans="1:17" s="343" customFormat="1" ht="19.5" customHeight="1">
      <c r="A266" s="342"/>
      <c r="B266" s="344"/>
      <c r="C266" s="344"/>
      <c r="D266" s="344"/>
      <c r="E266" s="344"/>
      <c r="F266" s="344"/>
      <c r="G266" s="344"/>
      <c r="H266" s="344"/>
      <c r="I266" s="344"/>
      <c r="J266" s="344"/>
      <c r="K266" s="344"/>
      <c r="L266" s="344"/>
      <c r="M266" s="344"/>
      <c r="N266" s="344"/>
      <c r="O266" s="344"/>
      <c r="P266" s="344"/>
      <c r="Q266" s="344"/>
    </row>
    <row r="267" spans="1:17" s="343" customFormat="1" ht="19.5" customHeight="1">
      <c r="A267" s="342"/>
      <c r="B267" s="344"/>
      <c r="C267" s="344"/>
      <c r="D267" s="344"/>
      <c r="E267" s="344"/>
      <c r="F267" s="344"/>
      <c r="G267" s="344"/>
      <c r="H267" s="344"/>
      <c r="I267" s="344"/>
      <c r="J267" s="344"/>
      <c r="K267" s="344"/>
      <c r="L267" s="344"/>
      <c r="M267" s="344"/>
      <c r="N267" s="344"/>
      <c r="O267" s="344"/>
      <c r="P267" s="344"/>
      <c r="Q267" s="344"/>
    </row>
    <row r="268" spans="1:17" s="343" customFormat="1" ht="19.5" customHeight="1">
      <c r="A268" s="342"/>
      <c r="B268" s="344"/>
      <c r="C268" s="344"/>
      <c r="D268" s="344"/>
      <c r="E268" s="344"/>
      <c r="F268" s="344"/>
      <c r="G268" s="344"/>
      <c r="H268" s="344"/>
      <c r="I268" s="344"/>
      <c r="J268" s="344"/>
      <c r="K268" s="344"/>
      <c r="L268" s="344"/>
      <c r="M268" s="344"/>
      <c r="N268" s="344"/>
      <c r="O268" s="344"/>
      <c r="P268" s="344"/>
      <c r="Q268" s="344"/>
    </row>
    <row r="269" spans="1:17" s="343" customFormat="1" ht="19.5" customHeight="1">
      <c r="A269" s="342"/>
      <c r="B269" s="344"/>
      <c r="C269" s="344"/>
      <c r="D269" s="344"/>
      <c r="E269" s="344"/>
      <c r="F269" s="344"/>
      <c r="G269" s="344"/>
      <c r="H269" s="344"/>
      <c r="I269" s="344"/>
      <c r="J269" s="344"/>
      <c r="K269" s="344"/>
      <c r="L269" s="344"/>
      <c r="M269" s="344"/>
      <c r="N269" s="344"/>
      <c r="O269" s="344"/>
      <c r="P269" s="344"/>
      <c r="Q269" s="344"/>
    </row>
    <row r="270" spans="1:17" s="343" customFormat="1" ht="19.5" customHeight="1">
      <c r="A270" s="342"/>
      <c r="B270" s="344"/>
      <c r="C270" s="344"/>
      <c r="D270" s="344"/>
      <c r="E270" s="344"/>
      <c r="F270" s="344"/>
      <c r="G270" s="344"/>
      <c r="H270" s="344"/>
      <c r="I270" s="344"/>
      <c r="J270" s="344"/>
      <c r="K270" s="344"/>
      <c r="L270" s="344"/>
      <c r="M270" s="344"/>
      <c r="N270" s="344"/>
      <c r="O270" s="344"/>
      <c r="P270" s="344"/>
      <c r="Q270" s="344"/>
    </row>
    <row r="271" spans="1:17" s="343" customFormat="1" ht="19.5" customHeight="1">
      <c r="A271" s="342"/>
      <c r="B271" s="344"/>
      <c r="C271" s="344"/>
      <c r="D271" s="344"/>
      <c r="E271" s="344"/>
      <c r="F271" s="344"/>
      <c r="G271" s="344"/>
      <c r="H271" s="344"/>
      <c r="I271" s="344"/>
      <c r="J271" s="344"/>
      <c r="K271" s="344"/>
      <c r="L271" s="344"/>
      <c r="M271" s="344"/>
      <c r="N271" s="344"/>
      <c r="O271" s="344"/>
      <c r="P271" s="344"/>
      <c r="Q271" s="344"/>
    </row>
    <row r="272" spans="1:17" s="343" customFormat="1" ht="19.5" customHeight="1">
      <c r="A272" s="342"/>
      <c r="B272" s="344"/>
      <c r="C272" s="344"/>
      <c r="D272" s="344"/>
      <c r="E272" s="344"/>
      <c r="F272" s="344"/>
      <c r="G272" s="344"/>
      <c r="H272" s="344"/>
      <c r="I272" s="344"/>
      <c r="J272" s="344"/>
      <c r="K272" s="344"/>
      <c r="L272" s="344"/>
      <c r="M272" s="344"/>
      <c r="N272" s="344"/>
      <c r="O272" s="344"/>
      <c r="P272" s="344"/>
      <c r="Q272" s="344"/>
    </row>
    <row r="273" spans="1:17" s="343" customFormat="1" ht="19.5" customHeight="1">
      <c r="A273" s="342"/>
      <c r="B273" s="344"/>
      <c r="C273" s="344"/>
      <c r="D273" s="344"/>
      <c r="E273" s="344"/>
      <c r="F273" s="344"/>
      <c r="G273" s="344"/>
      <c r="H273" s="344"/>
      <c r="I273" s="344"/>
      <c r="J273" s="344"/>
      <c r="K273" s="344"/>
      <c r="L273" s="344"/>
      <c r="M273" s="344"/>
      <c r="N273" s="344"/>
      <c r="O273" s="344"/>
      <c r="P273" s="344"/>
      <c r="Q273" s="344"/>
    </row>
    <row r="274" spans="1:17" s="343" customFormat="1" ht="19.5" customHeight="1">
      <c r="A274" s="342"/>
      <c r="B274" s="344"/>
      <c r="C274" s="344"/>
      <c r="D274" s="344"/>
      <c r="E274" s="344"/>
      <c r="F274" s="344"/>
      <c r="G274" s="344"/>
      <c r="H274" s="344"/>
      <c r="I274" s="344"/>
      <c r="J274" s="344"/>
      <c r="K274" s="344"/>
      <c r="L274" s="344"/>
      <c r="M274" s="344"/>
      <c r="N274" s="344"/>
      <c r="O274" s="344"/>
      <c r="P274" s="344"/>
      <c r="Q274" s="344"/>
    </row>
    <row r="275" spans="1:17" s="343" customFormat="1" ht="19.5" customHeight="1">
      <c r="A275" s="342"/>
      <c r="B275" s="344"/>
      <c r="C275" s="344"/>
      <c r="D275" s="344"/>
      <c r="E275" s="344"/>
      <c r="F275" s="344"/>
      <c r="G275" s="344"/>
      <c r="H275" s="344"/>
      <c r="I275" s="344"/>
      <c r="J275" s="344"/>
      <c r="K275" s="344"/>
      <c r="L275" s="344"/>
      <c r="M275" s="344"/>
      <c r="N275" s="344"/>
      <c r="O275" s="344"/>
      <c r="P275" s="344"/>
      <c r="Q275" s="344"/>
    </row>
    <row r="276" spans="1:17" s="343" customFormat="1" ht="19.5" customHeight="1">
      <c r="A276" s="342"/>
      <c r="B276" s="344"/>
      <c r="C276" s="344"/>
      <c r="D276" s="344"/>
      <c r="E276" s="344"/>
      <c r="F276" s="344"/>
      <c r="G276" s="344"/>
      <c r="H276" s="344"/>
      <c r="I276" s="344"/>
      <c r="J276" s="344"/>
      <c r="K276" s="344"/>
      <c r="L276" s="344"/>
      <c r="M276" s="344"/>
      <c r="N276" s="344"/>
      <c r="O276" s="344"/>
      <c r="P276" s="344"/>
      <c r="Q276" s="344"/>
    </row>
    <row r="277" spans="1:17" s="343" customFormat="1" ht="19.5" customHeight="1">
      <c r="A277" s="342"/>
      <c r="B277" s="344"/>
      <c r="C277" s="344"/>
      <c r="D277" s="344"/>
      <c r="E277" s="344"/>
      <c r="F277" s="344"/>
      <c r="G277" s="344"/>
      <c r="H277" s="344"/>
      <c r="I277" s="344"/>
      <c r="J277" s="344"/>
      <c r="K277" s="344"/>
      <c r="L277" s="344"/>
      <c r="M277" s="344"/>
      <c r="N277" s="344"/>
      <c r="O277" s="344"/>
      <c r="P277" s="344"/>
      <c r="Q277" s="344"/>
    </row>
    <row r="278" spans="1:17" s="343" customFormat="1" ht="19.5" customHeight="1">
      <c r="A278" s="342"/>
      <c r="B278" s="344"/>
      <c r="C278" s="344"/>
      <c r="D278" s="344"/>
      <c r="E278" s="344"/>
      <c r="F278" s="344"/>
      <c r="G278" s="344"/>
      <c r="H278" s="344"/>
      <c r="I278" s="344"/>
      <c r="J278" s="344"/>
      <c r="K278" s="344"/>
      <c r="L278" s="344"/>
      <c r="M278" s="344"/>
      <c r="N278" s="344"/>
      <c r="O278" s="344"/>
      <c r="P278" s="344"/>
      <c r="Q278" s="344"/>
    </row>
    <row r="279" spans="1:17" s="343" customFormat="1" ht="19.5" customHeight="1">
      <c r="A279" s="342"/>
      <c r="B279" s="344"/>
      <c r="C279" s="344"/>
      <c r="D279" s="344"/>
      <c r="E279" s="344"/>
      <c r="F279" s="344"/>
      <c r="G279" s="344"/>
      <c r="H279" s="344"/>
      <c r="I279" s="344"/>
      <c r="J279" s="344"/>
      <c r="K279" s="344"/>
      <c r="L279" s="344"/>
      <c r="M279" s="344"/>
      <c r="N279" s="344"/>
      <c r="O279" s="344"/>
      <c r="P279" s="344"/>
      <c r="Q279" s="344"/>
    </row>
    <row r="280" ht="19.5" customHeight="1"/>
    <row r="281" ht="9.75" customHeight="1"/>
    <row r="282" ht="19.5" customHeight="1"/>
    <row r="283" ht="19.5" customHeight="1"/>
    <row r="284" ht="19.5" customHeight="1"/>
    <row r="285" spans="1:17" s="343" customFormat="1" ht="19.5" customHeight="1">
      <c r="A285" s="342"/>
      <c r="B285" s="344"/>
      <c r="C285" s="344"/>
      <c r="D285" s="344"/>
      <c r="E285" s="344"/>
      <c r="F285" s="344"/>
      <c r="G285" s="344"/>
      <c r="H285" s="344"/>
      <c r="I285" s="344"/>
      <c r="J285" s="344"/>
      <c r="K285" s="344"/>
      <c r="L285" s="344"/>
      <c r="M285" s="344"/>
      <c r="N285" s="344"/>
      <c r="O285" s="344"/>
      <c r="P285" s="344"/>
      <c r="Q285" s="344"/>
    </row>
    <row r="286" spans="1:17" s="343" customFormat="1" ht="19.5" customHeight="1">
      <c r="A286" s="342"/>
      <c r="B286" s="344"/>
      <c r="C286" s="344"/>
      <c r="D286" s="344"/>
      <c r="E286" s="344"/>
      <c r="F286" s="344"/>
      <c r="G286" s="344"/>
      <c r="H286" s="344"/>
      <c r="I286" s="344"/>
      <c r="J286" s="344"/>
      <c r="K286" s="344"/>
      <c r="L286" s="344"/>
      <c r="M286" s="344"/>
      <c r="N286" s="344"/>
      <c r="O286" s="344"/>
      <c r="P286" s="344"/>
      <c r="Q286" s="344"/>
    </row>
    <row r="287" spans="1:17" s="343" customFormat="1" ht="19.5" customHeight="1">
      <c r="A287" s="342"/>
      <c r="B287" s="344"/>
      <c r="C287" s="344"/>
      <c r="D287" s="344"/>
      <c r="E287" s="344"/>
      <c r="F287" s="344"/>
      <c r="G287" s="344"/>
      <c r="H287" s="344"/>
      <c r="I287" s="344"/>
      <c r="J287" s="344"/>
      <c r="K287" s="344"/>
      <c r="L287" s="344"/>
      <c r="M287" s="344"/>
      <c r="N287" s="344"/>
      <c r="O287" s="344"/>
      <c r="P287" s="344"/>
      <c r="Q287" s="344"/>
    </row>
    <row r="288" spans="1:17" s="343" customFormat="1" ht="19.5" customHeight="1">
      <c r="A288" s="342"/>
      <c r="B288" s="344"/>
      <c r="C288" s="344"/>
      <c r="D288" s="344"/>
      <c r="E288" s="344"/>
      <c r="F288" s="344"/>
      <c r="G288" s="344"/>
      <c r="H288" s="344"/>
      <c r="I288" s="344"/>
      <c r="J288" s="344"/>
      <c r="K288" s="344"/>
      <c r="L288" s="344"/>
      <c r="M288" s="344"/>
      <c r="N288" s="344"/>
      <c r="O288" s="344"/>
      <c r="P288" s="344"/>
      <c r="Q288" s="344"/>
    </row>
    <row r="289" spans="1:17" s="343" customFormat="1" ht="19.5" customHeight="1">
      <c r="A289" s="342"/>
      <c r="B289" s="344"/>
      <c r="C289" s="344"/>
      <c r="D289" s="344"/>
      <c r="E289" s="344"/>
      <c r="F289" s="344"/>
      <c r="G289" s="344"/>
      <c r="H289" s="344"/>
      <c r="I289" s="344"/>
      <c r="J289" s="344"/>
      <c r="K289" s="344"/>
      <c r="L289" s="344"/>
      <c r="M289" s="344"/>
      <c r="N289" s="344"/>
      <c r="O289" s="344"/>
      <c r="P289" s="344"/>
      <c r="Q289" s="344"/>
    </row>
    <row r="290" spans="1:17" s="343" customFormat="1" ht="19.5" customHeight="1">
      <c r="A290" s="342"/>
      <c r="B290" s="344"/>
      <c r="C290" s="344"/>
      <c r="D290" s="344"/>
      <c r="E290" s="344"/>
      <c r="F290" s="344"/>
      <c r="G290" s="344"/>
      <c r="H290" s="344"/>
      <c r="I290" s="344"/>
      <c r="J290" s="344"/>
      <c r="K290" s="344"/>
      <c r="L290" s="344"/>
      <c r="M290" s="344"/>
      <c r="N290" s="344"/>
      <c r="O290" s="344"/>
      <c r="P290" s="344"/>
      <c r="Q290" s="344"/>
    </row>
    <row r="291" spans="1:17" s="343" customFormat="1" ht="19.5" customHeight="1">
      <c r="A291" s="342"/>
      <c r="B291" s="344"/>
      <c r="C291" s="344"/>
      <c r="D291" s="344"/>
      <c r="E291" s="344"/>
      <c r="F291" s="344"/>
      <c r="G291" s="344"/>
      <c r="H291" s="344"/>
      <c r="I291" s="344"/>
      <c r="J291" s="344"/>
      <c r="K291" s="344"/>
      <c r="L291" s="344"/>
      <c r="M291" s="344"/>
      <c r="N291" s="344"/>
      <c r="O291" s="344"/>
      <c r="P291" s="344"/>
      <c r="Q291" s="344"/>
    </row>
    <row r="292" spans="1:17" s="343" customFormat="1" ht="19.5" customHeight="1">
      <c r="A292" s="342"/>
      <c r="B292" s="344"/>
      <c r="C292" s="344"/>
      <c r="D292" s="344"/>
      <c r="E292" s="344"/>
      <c r="F292" s="344"/>
      <c r="G292" s="344"/>
      <c r="H292" s="344"/>
      <c r="I292" s="344"/>
      <c r="J292" s="344"/>
      <c r="K292" s="344"/>
      <c r="L292" s="344"/>
      <c r="M292" s="344"/>
      <c r="N292" s="344"/>
      <c r="O292" s="344"/>
      <c r="P292" s="344"/>
      <c r="Q292" s="344"/>
    </row>
    <row r="293" spans="1:17" s="343" customFormat="1" ht="19.5" customHeight="1">
      <c r="A293" s="342"/>
      <c r="B293" s="344"/>
      <c r="C293" s="344"/>
      <c r="D293" s="344"/>
      <c r="E293" s="344"/>
      <c r="F293" s="344"/>
      <c r="G293" s="344"/>
      <c r="H293" s="344"/>
      <c r="I293" s="344"/>
      <c r="J293" s="344"/>
      <c r="K293" s="344"/>
      <c r="L293" s="344"/>
      <c r="M293" s="344"/>
      <c r="N293" s="344"/>
      <c r="O293" s="344"/>
      <c r="P293" s="344"/>
      <c r="Q293" s="344"/>
    </row>
    <row r="294" spans="1:17" s="343" customFormat="1" ht="19.5" customHeight="1">
      <c r="A294" s="342"/>
      <c r="B294" s="344"/>
      <c r="C294" s="344"/>
      <c r="D294" s="344"/>
      <c r="E294" s="344"/>
      <c r="F294" s="344"/>
      <c r="G294" s="344"/>
      <c r="H294" s="344"/>
      <c r="I294" s="344"/>
      <c r="J294" s="344"/>
      <c r="K294" s="344"/>
      <c r="L294" s="344"/>
      <c r="M294" s="344"/>
      <c r="N294" s="344"/>
      <c r="O294" s="344"/>
      <c r="P294" s="344"/>
      <c r="Q294" s="344"/>
    </row>
    <row r="295" spans="1:17" s="343" customFormat="1" ht="19.5" customHeight="1">
      <c r="A295" s="342"/>
      <c r="B295" s="344"/>
      <c r="C295" s="344"/>
      <c r="D295" s="344"/>
      <c r="E295" s="344"/>
      <c r="F295" s="344"/>
      <c r="G295" s="344"/>
      <c r="H295" s="344"/>
      <c r="I295" s="344"/>
      <c r="J295" s="344"/>
      <c r="K295" s="344"/>
      <c r="L295" s="344"/>
      <c r="M295" s="344"/>
      <c r="N295" s="344"/>
      <c r="O295" s="344"/>
      <c r="P295" s="344"/>
      <c r="Q295" s="344"/>
    </row>
    <row r="296" spans="1:17" s="343" customFormat="1" ht="19.5" customHeight="1">
      <c r="A296" s="342"/>
      <c r="B296" s="344"/>
      <c r="C296" s="344"/>
      <c r="D296" s="344"/>
      <c r="E296" s="344"/>
      <c r="F296" s="344"/>
      <c r="G296" s="344"/>
      <c r="H296" s="344"/>
      <c r="I296" s="344"/>
      <c r="J296" s="344"/>
      <c r="K296" s="344"/>
      <c r="L296" s="344"/>
      <c r="M296" s="344"/>
      <c r="N296" s="344"/>
      <c r="O296" s="344"/>
      <c r="P296" s="344"/>
      <c r="Q296" s="344"/>
    </row>
    <row r="297" spans="1:17" s="343" customFormat="1" ht="19.5" customHeight="1">
      <c r="A297" s="342"/>
      <c r="B297" s="344"/>
      <c r="C297" s="344"/>
      <c r="D297" s="344"/>
      <c r="E297" s="344"/>
      <c r="F297" s="344"/>
      <c r="G297" s="344"/>
      <c r="H297" s="344"/>
      <c r="I297" s="344"/>
      <c r="J297" s="344"/>
      <c r="K297" s="344"/>
      <c r="L297" s="344"/>
      <c r="M297" s="344"/>
      <c r="N297" s="344"/>
      <c r="O297" s="344"/>
      <c r="P297" s="344"/>
      <c r="Q297" s="344"/>
    </row>
    <row r="298" spans="1:17" s="343" customFormat="1" ht="19.5" customHeight="1">
      <c r="A298" s="342"/>
      <c r="B298" s="344"/>
      <c r="C298" s="344"/>
      <c r="D298" s="344"/>
      <c r="E298" s="344"/>
      <c r="F298" s="344"/>
      <c r="G298" s="344"/>
      <c r="H298" s="344"/>
      <c r="I298" s="344"/>
      <c r="J298" s="344"/>
      <c r="K298" s="344"/>
      <c r="L298" s="344"/>
      <c r="M298" s="344"/>
      <c r="N298" s="344"/>
      <c r="O298" s="344"/>
      <c r="P298" s="344"/>
      <c r="Q298" s="344"/>
    </row>
    <row r="299" spans="1:17" s="343" customFormat="1" ht="19.5" customHeight="1">
      <c r="A299" s="342"/>
      <c r="B299" s="344"/>
      <c r="C299" s="344"/>
      <c r="D299" s="344"/>
      <c r="E299" s="344"/>
      <c r="F299" s="344"/>
      <c r="G299" s="344"/>
      <c r="H299" s="344"/>
      <c r="I299" s="344"/>
      <c r="J299" s="344"/>
      <c r="K299" s="344"/>
      <c r="L299" s="344"/>
      <c r="M299" s="344"/>
      <c r="N299" s="344"/>
      <c r="O299" s="344"/>
      <c r="P299" s="344"/>
      <c r="Q299" s="344"/>
    </row>
    <row r="300" spans="1:17" s="343" customFormat="1" ht="19.5" customHeight="1">
      <c r="A300" s="342"/>
      <c r="B300" s="344"/>
      <c r="C300" s="344"/>
      <c r="D300" s="344"/>
      <c r="E300" s="344"/>
      <c r="F300" s="344"/>
      <c r="G300" s="344"/>
      <c r="H300" s="344"/>
      <c r="I300" s="344"/>
      <c r="J300" s="344"/>
      <c r="K300" s="344"/>
      <c r="L300" s="344"/>
      <c r="M300" s="344"/>
      <c r="N300" s="344"/>
      <c r="O300" s="344"/>
      <c r="P300" s="344"/>
      <c r="Q300" s="344"/>
    </row>
    <row r="301" spans="1:17" s="343" customFormat="1" ht="19.5" customHeight="1">
      <c r="A301" s="342"/>
      <c r="B301" s="344"/>
      <c r="C301" s="344"/>
      <c r="D301" s="344"/>
      <c r="E301" s="344"/>
      <c r="F301" s="344"/>
      <c r="G301" s="344"/>
      <c r="H301" s="344"/>
      <c r="I301" s="344"/>
      <c r="J301" s="344"/>
      <c r="K301" s="344"/>
      <c r="L301" s="344"/>
      <c r="M301" s="344"/>
      <c r="N301" s="344"/>
      <c r="O301" s="344"/>
      <c r="P301" s="344"/>
      <c r="Q301" s="344"/>
    </row>
    <row r="302" spans="1:17" s="343" customFormat="1" ht="19.5" customHeight="1">
      <c r="A302" s="342"/>
      <c r="B302" s="344"/>
      <c r="C302" s="344"/>
      <c r="D302" s="344"/>
      <c r="E302" s="344"/>
      <c r="F302" s="344"/>
      <c r="G302" s="344"/>
      <c r="H302" s="344"/>
      <c r="I302" s="344"/>
      <c r="J302" s="344"/>
      <c r="K302" s="344"/>
      <c r="L302" s="344"/>
      <c r="M302" s="344"/>
      <c r="N302" s="344"/>
      <c r="O302" s="344"/>
      <c r="P302" s="344"/>
      <c r="Q302" s="344"/>
    </row>
    <row r="303" spans="1:17" s="343" customFormat="1" ht="19.5" customHeight="1">
      <c r="A303" s="342"/>
      <c r="B303" s="344"/>
      <c r="C303" s="344"/>
      <c r="D303" s="344"/>
      <c r="E303" s="344"/>
      <c r="F303" s="344"/>
      <c r="G303" s="344"/>
      <c r="H303" s="344"/>
      <c r="I303" s="344"/>
      <c r="J303" s="344"/>
      <c r="K303" s="344"/>
      <c r="L303" s="344"/>
      <c r="M303" s="344"/>
      <c r="N303" s="344"/>
      <c r="O303" s="344"/>
      <c r="P303" s="344"/>
      <c r="Q303" s="344"/>
    </row>
    <row r="304" spans="1:17" s="343" customFormat="1" ht="19.5" customHeight="1">
      <c r="A304" s="342"/>
      <c r="B304" s="344"/>
      <c r="C304" s="344"/>
      <c r="D304" s="344"/>
      <c r="E304" s="344"/>
      <c r="F304" s="344"/>
      <c r="G304" s="344"/>
      <c r="H304" s="344"/>
      <c r="I304" s="344"/>
      <c r="J304" s="344"/>
      <c r="K304" s="344"/>
      <c r="L304" s="344"/>
      <c r="M304" s="344"/>
      <c r="N304" s="344"/>
      <c r="O304" s="344"/>
      <c r="P304" s="344"/>
      <c r="Q304" s="344"/>
    </row>
    <row r="305" spans="1:17" s="343" customFormat="1" ht="19.5" customHeight="1">
      <c r="A305" s="342"/>
      <c r="B305" s="344"/>
      <c r="C305" s="344"/>
      <c r="D305" s="344"/>
      <c r="E305" s="344"/>
      <c r="F305" s="344"/>
      <c r="G305" s="344"/>
      <c r="H305" s="344"/>
      <c r="I305" s="344"/>
      <c r="J305" s="344"/>
      <c r="K305" s="344"/>
      <c r="L305" s="344"/>
      <c r="M305" s="344"/>
      <c r="N305" s="344"/>
      <c r="O305" s="344"/>
      <c r="P305" s="344"/>
      <c r="Q305" s="344"/>
    </row>
    <row r="306" spans="1:17" s="343" customFormat="1" ht="19.5" customHeight="1">
      <c r="A306" s="342"/>
      <c r="B306" s="344"/>
      <c r="C306" s="344"/>
      <c r="D306" s="344"/>
      <c r="E306" s="344"/>
      <c r="F306" s="344"/>
      <c r="G306" s="344"/>
      <c r="H306" s="344"/>
      <c r="I306" s="344"/>
      <c r="J306" s="344"/>
      <c r="K306" s="344"/>
      <c r="L306" s="344"/>
      <c r="M306" s="344"/>
      <c r="N306" s="344"/>
      <c r="O306" s="344"/>
      <c r="P306" s="344"/>
      <c r="Q306" s="344"/>
    </row>
    <row r="307" spans="1:17" s="343" customFormat="1" ht="19.5" customHeight="1">
      <c r="A307" s="342"/>
      <c r="B307" s="344"/>
      <c r="C307" s="344"/>
      <c r="D307" s="344"/>
      <c r="E307" s="344"/>
      <c r="F307" s="344"/>
      <c r="G307" s="344"/>
      <c r="H307" s="344"/>
      <c r="I307" s="344"/>
      <c r="J307" s="344"/>
      <c r="K307" s="344"/>
      <c r="L307" s="344"/>
      <c r="M307" s="344"/>
      <c r="N307" s="344"/>
      <c r="O307" s="344"/>
      <c r="P307" s="344"/>
      <c r="Q307" s="344"/>
    </row>
    <row r="308" spans="1:17" s="343" customFormat="1" ht="19.5" customHeight="1">
      <c r="A308" s="342"/>
      <c r="B308" s="344"/>
      <c r="C308" s="344"/>
      <c r="D308" s="344"/>
      <c r="E308" s="344"/>
      <c r="F308" s="344"/>
      <c r="G308" s="344"/>
      <c r="H308" s="344"/>
      <c r="I308" s="344"/>
      <c r="J308" s="344"/>
      <c r="K308" s="344"/>
      <c r="L308" s="344"/>
      <c r="M308" s="344"/>
      <c r="N308" s="344"/>
      <c r="O308" s="344"/>
      <c r="P308" s="344"/>
      <c r="Q308" s="344"/>
    </row>
    <row r="309" spans="1:17" s="343" customFormat="1" ht="19.5" customHeight="1">
      <c r="A309" s="342"/>
      <c r="B309" s="344"/>
      <c r="C309" s="344"/>
      <c r="D309" s="344"/>
      <c r="E309" s="344"/>
      <c r="F309" s="344"/>
      <c r="G309" s="344"/>
      <c r="H309" s="344"/>
      <c r="I309" s="344"/>
      <c r="J309" s="344"/>
      <c r="K309" s="344"/>
      <c r="L309" s="344"/>
      <c r="M309" s="344"/>
      <c r="N309" s="344"/>
      <c r="O309" s="344"/>
      <c r="P309" s="344"/>
      <c r="Q309" s="344"/>
    </row>
    <row r="310" spans="1:17" s="343" customFormat="1" ht="19.5" customHeight="1">
      <c r="A310" s="342"/>
      <c r="B310" s="344"/>
      <c r="C310" s="344"/>
      <c r="D310" s="344"/>
      <c r="E310" s="344"/>
      <c r="F310" s="344"/>
      <c r="G310" s="344"/>
      <c r="H310" s="344"/>
      <c r="I310" s="344"/>
      <c r="J310" s="344"/>
      <c r="K310" s="344"/>
      <c r="L310" s="344"/>
      <c r="M310" s="344"/>
      <c r="N310" s="344"/>
      <c r="O310" s="344"/>
      <c r="P310" s="344"/>
      <c r="Q310" s="344"/>
    </row>
    <row r="311" spans="1:17" s="343" customFormat="1" ht="19.5" customHeight="1">
      <c r="A311" s="342"/>
      <c r="B311" s="344"/>
      <c r="C311" s="344"/>
      <c r="D311" s="344"/>
      <c r="E311" s="344"/>
      <c r="F311" s="344"/>
      <c r="G311" s="344"/>
      <c r="H311" s="344"/>
      <c r="I311" s="344"/>
      <c r="J311" s="344"/>
      <c r="K311" s="344"/>
      <c r="L311" s="344"/>
      <c r="M311" s="344"/>
      <c r="N311" s="344"/>
      <c r="O311" s="344"/>
      <c r="P311" s="344"/>
      <c r="Q311" s="344"/>
    </row>
    <row r="312" spans="1:17" s="343" customFormat="1" ht="19.5" customHeight="1">
      <c r="A312" s="342"/>
      <c r="B312" s="344"/>
      <c r="C312" s="344"/>
      <c r="D312" s="344"/>
      <c r="E312" s="344"/>
      <c r="F312" s="344"/>
      <c r="G312" s="344"/>
      <c r="H312" s="344"/>
      <c r="I312" s="344"/>
      <c r="J312" s="344"/>
      <c r="K312" s="344"/>
      <c r="L312" s="344"/>
      <c r="M312" s="344"/>
      <c r="N312" s="344"/>
      <c r="O312" s="344"/>
      <c r="P312" s="344"/>
      <c r="Q312" s="344"/>
    </row>
    <row r="313" spans="1:17" s="343" customFormat="1" ht="19.5" customHeight="1">
      <c r="A313" s="342"/>
      <c r="B313" s="344"/>
      <c r="C313" s="344"/>
      <c r="D313" s="344"/>
      <c r="E313" s="344"/>
      <c r="F313" s="344"/>
      <c r="G313" s="344"/>
      <c r="H313" s="344"/>
      <c r="I313" s="344"/>
      <c r="J313" s="344"/>
      <c r="K313" s="344"/>
      <c r="L313" s="344"/>
      <c r="M313" s="344"/>
      <c r="N313" s="344"/>
      <c r="O313" s="344"/>
      <c r="P313" s="344"/>
      <c r="Q313" s="344"/>
    </row>
    <row r="314" spans="1:17" s="343" customFormat="1" ht="19.5" customHeight="1">
      <c r="A314" s="342"/>
      <c r="B314" s="344"/>
      <c r="C314" s="344"/>
      <c r="D314" s="344"/>
      <c r="E314" s="344"/>
      <c r="F314" s="344"/>
      <c r="G314" s="344"/>
      <c r="H314" s="344"/>
      <c r="I314" s="344"/>
      <c r="J314" s="344"/>
      <c r="K314" s="344"/>
      <c r="L314" s="344"/>
      <c r="M314" s="344"/>
      <c r="N314" s="344"/>
      <c r="O314" s="344"/>
      <c r="P314" s="344"/>
      <c r="Q314" s="344"/>
    </row>
    <row r="315" spans="1:17" s="343" customFormat="1" ht="19.5" customHeight="1">
      <c r="A315" s="342"/>
      <c r="B315" s="344"/>
      <c r="C315" s="344"/>
      <c r="D315" s="344"/>
      <c r="E315" s="344"/>
      <c r="F315" s="344"/>
      <c r="G315" s="344"/>
      <c r="H315" s="344"/>
      <c r="I315" s="344"/>
      <c r="J315" s="344"/>
      <c r="K315" s="344"/>
      <c r="L315" s="344"/>
      <c r="M315" s="344"/>
      <c r="N315" s="344"/>
      <c r="O315" s="344"/>
      <c r="P315" s="344"/>
      <c r="Q315" s="344"/>
    </row>
    <row r="316" spans="1:17" s="343" customFormat="1" ht="19.5" customHeight="1">
      <c r="A316" s="342"/>
      <c r="B316" s="344"/>
      <c r="C316" s="344"/>
      <c r="D316" s="344"/>
      <c r="E316" s="344"/>
      <c r="F316" s="344"/>
      <c r="G316" s="344"/>
      <c r="H316" s="344"/>
      <c r="I316" s="344"/>
      <c r="J316" s="344"/>
      <c r="K316" s="344"/>
      <c r="L316" s="344"/>
      <c r="M316" s="344"/>
      <c r="N316" s="344"/>
      <c r="O316" s="344"/>
      <c r="P316" s="344"/>
      <c r="Q316" s="344"/>
    </row>
    <row r="317" spans="1:17" s="343" customFormat="1" ht="19.5" customHeight="1">
      <c r="A317" s="342"/>
      <c r="B317" s="344"/>
      <c r="C317" s="344"/>
      <c r="D317" s="344"/>
      <c r="E317" s="344"/>
      <c r="F317" s="344"/>
      <c r="G317" s="344"/>
      <c r="H317" s="344"/>
      <c r="I317" s="344"/>
      <c r="J317" s="344"/>
      <c r="K317" s="344"/>
      <c r="L317" s="344"/>
      <c r="M317" s="344"/>
      <c r="N317" s="344"/>
      <c r="O317" s="344"/>
      <c r="P317" s="344"/>
      <c r="Q317" s="344"/>
    </row>
    <row r="318" spans="1:17" s="343" customFormat="1" ht="19.5" customHeight="1">
      <c r="A318" s="342"/>
      <c r="B318" s="344"/>
      <c r="C318" s="344"/>
      <c r="D318" s="344"/>
      <c r="E318" s="344"/>
      <c r="F318" s="344"/>
      <c r="G318" s="344"/>
      <c r="H318" s="344"/>
      <c r="I318" s="344"/>
      <c r="J318" s="344"/>
      <c r="K318" s="344"/>
      <c r="L318" s="344"/>
      <c r="M318" s="344"/>
      <c r="N318" s="344"/>
      <c r="O318" s="344"/>
      <c r="P318" s="344"/>
      <c r="Q318" s="344"/>
    </row>
    <row r="319" spans="1:17" s="343" customFormat="1" ht="19.5" customHeight="1">
      <c r="A319" s="342"/>
      <c r="B319" s="344"/>
      <c r="C319" s="344"/>
      <c r="D319" s="344"/>
      <c r="E319" s="344"/>
      <c r="F319" s="344"/>
      <c r="G319" s="344"/>
      <c r="H319" s="344"/>
      <c r="I319" s="344"/>
      <c r="J319" s="344"/>
      <c r="K319" s="344"/>
      <c r="L319" s="344"/>
      <c r="M319" s="344"/>
      <c r="N319" s="344"/>
      <c r="O319" s="344"/>
      <c r="P319" s="344"/>
      <c r="Q319" s="344"/>
    </row>
    <row r="320" spans="1:17" s="343" customFormat="1" ht="19.5" customHeight="1">
      <c r="A320" s="342"/>
      <c r="B320" s="344"/>
      <c r="C320" s="344"/>
      <c r="D320" s="344"/>
      <c r="E320" s="344"/>
      <c r="F320" s="344"/>
      <c r="G320" s="344"/>
      <c r="H320" s="344"/>
      <c r="I320" s="344"/>
      <c r="J320" s="344"/>
      <c r="K320" s="344"/>
      <c r="L320" s="344"/>
      <c r="M320" s="344"/>
      <c r="N320" s="344"/>
      <c r="O320" s="344"/>
      <c r="P320" s="344"/>
      <c r="Q320" s="344"/>
    </row>
    <row r="321" spans="1:17" s="343" customFormat="1" ht="19.5" customHeight="1">
      <c r="A321" s="342"/>
      <c r="B321" s="344"/>
      <c r="C321" s="344"/>
      <c r="D321" s="344"/>
      <c r="E321" s="344"/>
      <c r="F321" s="344"/>
      <c r="G321" s="344"/>
      <c r="H321" s="344"/>
      <c r="I321" s="344"/>
      <c r="J321" s="344"/>
      <c r="K321" s="344"/>
      <c r="L321" s="344"/>
      <c r="M321" s="344"/>
      <c r="N321" s="344"/>
      <c r="O321" s="344"/>
      <c r="P321" s="344"/>
      <c r="Q321" s="344"/>
    </row>
    <row r="322" ht="19.5" customHeight="1"/>
    <row r="323" ht="9.75" customHeight="1"/>
    <row r="324" ht="19.5" customHeight="1"/>
    <row r="325" ht="19.5" customHeight="1"/>
    <row r="326" ht="19.5" customHeight="1"/>
    <row r="327" spans="1:17" s="343" customFormat="1" ht="19.5" customHeight="1">
      <c r="A327" s="342"/>
      <c r="B327" s="344"/>
      <c r="C327" s="344"/>
      <c r="D327" s="344"/>
      <c r="E327" s="344"/>
      <c r="F327" s="344"/>
      <c r="G327" s="344"/>
      <c r="H327" s="344"/>
      <c r="I327" s="344"/>
      <c r="J327" s="344"/>
      <c r="K327" s="344"/>
      <c r="L327" s="344"/>
      <c r="M327" s="344"/>
      <c r="N327" s="344"/>
      <c r="O327" s="344"/>
      <c r="P327" s="344"/>
      <c r="Q327" s="344"/>
    </row>
    <row r="328" spans="1:17" s="343" customFormat="1" ht="19.5" customHeight="1">
      <c r="A328" s="342"/>
      <c r="B328" s="344"/>
      <c r="C328" s="344"/>
      <c r="D328" s="344"/>
      <c r="E328" s="344"/>
      <c r="F328" s="344"/>
      <c r="G328" s="344"/>
      <c r="H328" s="344"/>
      <c r="I328" s="344"/>
      <c r="J328" s="344"/>
      <c r="K328" s="344"/>
      <c r="L328" s="344"/>
      <c r="M328" s="344"/>
      <c r="N328" s="344"/>
      <c r="O328" s="344"/>
      <c r="P328" s="344"/>
      <c r="Q328" s="344"/>
    </row>
    <row r="329" spans="1:17" s="343" customFormat="1" ht="19.5" customHeight="1">
      <c r="A329" s="342"/>
      <c r="B329" s="344"/>
      <c r="C329" s="344"/>
      <c r="D329" s="344"/>
      <c r="E329" s="344"/>
      <c r="F329" s="344"/>
      <c r="G329" s="344"/>
      <c r="H329" s="344"/>
      <c r="I329" s="344"/>
      <c r="J329" s="344"/>
      <c r="K329" s="344"/>
      <c r="L329" s="344"/>
      <c r="M329" s="344"/>
      <c r="N329" s="344"/>
      <c r="O329" s="344"/>
      <c r="P329" s="344"/>
      <c r="Q329" s="344"/>
    </row>
    <row r="330" spans="1:17" s="343" customFormat="1" ht="19.5" customHeight="1">
      <c r="A330" s="342"/>
      <c r="B330" s="344"/>
      <c r="C330" s="344"/>
      <c r="D330" s="344"/>
      <c r="E330" s="344"/>
      <c r="F330" s="344"/>
      <c r="G330" s="344"/>
      <c r="H330" s="344"/>
      <c r="I330" s="344"/>
      <c r="J330" s="344"/>
      <c r="K330" s="344"/>
      <c r="L330" s="344"/>
      <c r="M330" s="344"/>
      <c r="N330" s="344"/>
      <c r="O330" s="344"/>
      <c r="P330" s="344"/>
      <c r="Q330" s="344"/>
    </row>
    <row r="331" spans="1:17" s="343" customFormat="1" ht="19.5" customHeight="1">
      <c r="A331" s="342"/>
      <c r="B331" s="344"/>
      <c r="C331" s="344"/>
      <c r="D331" s="344"/>
      <c r="E331" s="344"/>
      <c r="F331" s="344"/>
      <c r="G331" s="344"/>
      <c r="H331" s="344"/>
      <c r="I331" s="344"/>
      <c r="J331" s="344"/>
      <c r="K331" s="344"/>
      <c r="L331" s="344"/>
      <c r="M331" s="344"/>
      <c r="N331" s="344"/>
      <c r="O331" s="344"/>
      <c r="P331" s="344"/>
      <c r="Q331" s="344"/>
    </row>
    <row r="332" spans="1:17" s="343" customFormat="1" ht="19.5" customHeight="1">
      <c r="A332" s="342"/>
      <c r="B332" s="344"/>
      <c r="C332" s="344"/>
      <c r="D332" s="344"/>
      <c r="E332" s="344"/>
      <c r="F332" s="344"/>
      <c r="G332" s="344"/>
      <c r="H332" s="344"/>
      <c r="I332" s="344"/>
      <c r="J332" s="344"/>
      <c r="K332" s="344"/>
      <c r="L332" s="344"/>
      <c r="M332" s="344"/>
      <c r="N332" s="344"/>
      <c r="O332" s="344"/>
      <c r="P332" s="344"/>
      <c r="Q332" s="344"/>
    </row>
    <row r="333" spans="1:17" s="343" customFormat="1" ht="19.5" customHeight="1">
      <c r="A333" s="342"/>
      <c r="B333" s="344"/>
      <c r="C333" s="344"/>
      <c r="D333" s="344"/>
      <c r="E333" s="344"/>
      <c r="F333" s="344"/>
      <c r="G333" s="344"/>
      <c r="H333" s="344"/>
      <c r="I333" s="344"/>
      <c r="J333" s="344"/>
      <c r="K333" s="344"/>
      <c r="L333" s="344"/>
      <c r="M333" s="344"/>
      <c r="N333" s="344"/>
      <c r="O333" s="344"/>
      <c r="P333" s="344"/>
      <c r="Q333" s="344"/>
    </row>
    <row r="334" spans="1:17" s="343" customFormat="1" ht="19.5" customHeight="1">
      <c r="A334" s="342"/>
      <c r="B334" s="344"/>
      <c r="C334" s="344"/>
      <c r="D334" s="344"/>
      <c r="E334" s="344"/>
      <c r="F334" s="344"/>
      <c r="G334" s="344"/>
      <c r="H334" s="344"/>
      <c r="I334" s="344"/>
      <c r="J334" s="344"/>
      <c r="K334" s="344"/>
      <c r="L334" s="344"/>
      <c r="M334" s="344"/>
      <c r="N334" s="344"/>
      <c r="O334" s="344"/>
      <c r="P334" s="344"/>
      <c r="Q334" s="344"/>
    </row>
    <row r="335" spans="1:17" s="343" customFormat="1" ht="19.5" customHeight="1">
      <c r="A335" s="342"/>
      <c r="B335" s="344"/>
      <c r="C335" s="344"/>
      <c r="D335" s="344"/>
      <c r="E335" s="344"/>
      <c r="F335" s="344"/>
      <c r="G335" s="344"/>
      <c r="H335" s="344"/>
      <c r="I335" s="344"/>
      <c r="J335" s="344"/>
      <c r="K335" s="344"/>
      <c r="L335" s="344"/>
      <c r="M335" s="344"/>
      <c r="N335" s="344"/>
      <c r="O335" s="344"/>
      <c r="P335" s="344"/>
      <c r="Q335" s="344"/>
    </row>
    <row r="336" spans="1:17" s="343" customFormat="1" ht="19.5" customHeight="1">
      <c r="A336" s="342"/>
      <c r="B336" s="344"/>
      <c r="C336" s="344"/>
      <c r="D336" s="344"/>
      <c r="E336" s="344"/>
      <c r="F336" s="344"/>
      <c r="G336" s="344"/>
      <c r="H336" s="344"/>
      <c r="I336" s="344"/>
      <c r="J336" s="344"/>
      <c r="K336" s="344"/>
      <c r="L336" s="344"/>
      <c r="M336" s="344"/>
      <c r="N336" s="344"/>
      <c r="O336" s="344"/>
      <c r="P336" s="344"/>
      <c r="Q336" s="344"/>
    </row>
    <row r="337" spans="1:17" s="343" customFormat="1" ht="19.5" customHeight="1">
      <c r="A337" s="342"/>
      <c r="B337" s="344"/>
      <c r="C337" s="344"/>
      <c r="D337" s="344"/>
      <c r="E337" s="344"/>
      <c r="F337" s="344"/>
      <c r="G337" s="344"/>
      <c r="H337" s="344"/>
      <c r="I337" s="344"/>
      <c r="J337" s="344"/>
      <c r="K337" s="344"/>
      <c r="L337" s="344"/>
      <c r="M337" s="344"/>
      <c r="N337" s="344"/>
      <c r="O337" s="344"/>
      <c r="P337" s="344"/>
      <c r="Q337" s="344"/>
    </row>
    <row r="338" spans="1:17" s="343" customFormat="1" ht="19.5" customHeight="1">
      <c r="A338" s="342"/>
      <c r="B338" s="344"/>
      <c r="C338" s="344"/>
      <c r="D338" s="344"/>
      <c r="E338" s="344"/>
      <c r="F338" s="344"/>
      <c r="G338" s="344"/>
      <c r="H338" s="344"/>
      <c r="I338" s="344"/>
      <c r="J338" s="344"/>
      <c r="K338" s="344"/>
      <c r="L338" s="344"/>
      <c r="M338" s="344"/>
      <c r="N338" s="344"/>
      <c r="O338" s="344"/>
      <c r="P338" s="344"/>
      <c r="Q338" s="344"/>
    </row>
    <row r="339" spans="1:17" s="343" customFormat="1" ht="19.5" customHeight="1">
      <c r="A339" s="342"/>
      <c r="B339" s="344"/>
      <c r="C339" s="344"/>
      <c r="D339" s="344"/>
      <c r="E339" s="344"/>
      <c r="F339" s="344"/>
      <c r="G339" s="344"/>
      <c r="H339" s="344"/>
      <c r="I339" s="344"/>
      <c r="J339" s="344"/>
      <c r="K339" s="344"/>
      <c r="L339" s="344"/>
      <c r="M339" s="344"/>
      <c r="N339" s="344"/>
      <c r="O339" s="344"/>
      <c r="P339" s="344"/>
      <c r="Q339" s="344"/>
    </row>
    <row r="340" spans="1:17" s="343" customFormat="1" ht="19.5" customHeight="1">
      <c r="A340" s="342"/>
      <c r="B340" s="344"/>
      <c r="C340" s="344"/>
      <c r="D340" s="344"/>
      <c r="E340" s="344"/>
      <c r="F340" s="344"/>
      <c r="G340" s="344"/>
      <c r="H340" s="344"/>
      <c r="I340" s="344"/>
      <c r="J340" s="344"/>
      <c r="K340" s="344"/>
      <c r="L340" s="344"/>
      <c r="M340" s="344"/>
      <c r="N340" s="344"/>
      <c r="O340" s="344"/>
      <c r="P340" s="344"/>
      <c r="Q340" s="344"/>
    </row>
    <row r="341" spans="1:17" s="343" customFormat="1" ht="19.5" customHeight="1">
      <c r="A341" s="342"/>
      <c r="B341" s="344"/>
      <c r="C341" s="344"/>
      <c r="D341" s="344"/>
      <c r="E341" s="344"/>
      <c r="F341" s="344"/>
      <c r="G341" s="344"/>
      <c r="H341" s="344"/>
      <c r="I341" s="344"/>
      <c r="J341" s="344"/>
      <c r="K341" s="344"/>
      <c r="L341" s="344"/>
      <c r="M341" s="344"/>
      <c r="N341" s="344"/>
      <c r="O341" s="344"/>
      <c r="P341" s="344"/>
      <c r="Q341" s="344"/>
    </row>
    <row r="342" spans="1:17" s="343" customFormat="1" ht="19.5" customHeight="1">
      <c r="A342" s="342"/>
      <c r="B342" s="344"/>
      <c r="C342" s="344"/>
      <c r="D342" s="344"/>
      <c r="E342" s="344"/>
      <c r="F342" s="344"/>
      <c r="G342" s="344"/>
      <c r="H342" s="344"/>
      <c r="I342" s="344"/>
      <c r="J342" s="344"/>
      <c r="K342" s="344"/>
      <c r="L342" s="344"/>
      <c r="M342" s="344"/>
      <c r="N342" s="344"/>
      <c r="O342" s="344"/>
      <c r="P342" s="344"/>
      <c r="Q342" s="344"/>
    </row>
    <row r="343" spans="1:17" s="343" customFormat="1" ht="19.5" customHeight="1">
      <c r="A343" s="342"/>
      <c r="B343" s="344"/>
      <c r="C343" s="344"/>
      <c r="D343" s="344"/>
      <c r="E343" s="344"/>
      <c r="F343" s="344"/>
      <c r="G343" s="344"/>
      <c r="H343" s="344"/>
      <c r="I343" s="344"/>
      <c r="J343" s="344"/>
      <c r="K343" s="344"/>
      <c r="L343" s="344"/>
      <c r="M343" s="344"/>
      <c r="N343" s="344"/>
      <c r="O343" s="344"/>
      <c r="P343" s="344"/>
      <c r="Q343" s="344"/>
    </row>
    <row r="344" spans="1:17" s="343" customFormat="1" ht="19.5" customHeight="1">
      <c r="A344" s="342"/>
      <c r="B344" s="344"/>
      <c r="C344" s="344"/>
      <c r="D344" s="344"/>
      <c r="E344" s="344"/>
      <c r="F344" s="344"/>
      <c r="G344" s="344"/>
      <c r="H344" s="344"/>
      <c r="I344" s="344"/>
      <c r="J344" s="344"/>
      <c r="K344" s="344"/>
      <c r="L344" s="344"/>
      <c r="M344" s="344"/>
      <c r="N344" s="344"/>
      <c r="O344" s="344"/>
      <c r="P344" s="344"/>
      <c r="Q344" s="344"/>
    </row>
    <row r="345" spans="1:17" s="343" customFormat="1" ht="19.5" customHeight="1">
      <c r="A345" s="342"/>
      <c r="B345" s="344"/>
      <c r="C345" s="344"/>
      <c r="D345" s="344"/>
      <c r="E345" s="344"/>
      <c r="F345" s="344"/>
      <c r="G345" s="344"/>
      <c r="H345" s="344"/>
      <c r="I345" s="344"/>
      <c r="J345" s="344"/>
      <c r="K345" s="344"/>
      <c r="L345" s="344"/>
      <c r="M345" s="344"/>
      <c r="N345" s="344"/>
      <c r="O345" s="344"/>
      <c r="P345" s="344"/>
      <c r="Q345" s="344"/>
    </row>
    <row r="346" spans="1:17" s="343" customFormat="1" ht="19.5" customHeight="1">
      <c r="A346" s="342"/>
      <c r="B346" s="344"/>
      <c r="C346" s="344"/>
      <c r="D346" s="344"/>
      <c r="E346" s="344"/>
      <c r="F346" s="344"/>
      <c r="G346" s="344"/>
      <c r="H346" s="344"/>
      <c r="I346" s="344"/>
      <c r="J346" s="344"/>
      <c r="K346" s="344"/>
      <c r="L346" s="344"/>
      <c r="M346" s="344"/>
      <c r="N346" s="344"/>
      <c r="O346" s="344"/>
      <c r="P346" s="344"/>
      <c r="Q346" s="344"/>
    </row>
    <row r="347" spans="1:17" s="343" customFormat="1" ht="19.5" customHeight="1">
      <c r="A347" s="342"/>
      <c r="B347" s="344"/>
      <c r="C347" s="344"/>
      <c r="D347" s="344"/>
      <c r="E347" s="344"/>
      <c r="F347" s="344"/>
      <c r="G347" s="344"/>
      <c r="H347" s="344"/>
      <c r="I347" s="344"/>
      <c r="J347" s="344"/>
      <c r="K347" s="344"/>
      <c r="L347" s="344"/>
      <c r="M347" s="344"/>
      <c r="N347" s="344"/>
      <c r="O347" s="344"/>
      <c r="P347" s="344"/>
      <c r="Q347" s="344"/>
    </row>
    <row r="348" spans="1:17" s="343" customFormat="1" ht="19.5" customHeight="1">
      <c r="A348" s="342"/>
      <c r="B348" s="344"/>
      <c r="C348" s="344"/>
      <c r="D348" s="344"/>
      <c r="E348" s="344"/>
      <c r="F348" s="344"/>
      <c r="G348" s="344"/>
      <c r="H348" s="344"/>
      <c r="I348" s="344"/>
      <c r="J348" s="344"/>
      <c r="K348" s="344"/>
      <c r="L348" s="344"/>
      <c r="M348" s="344"/>
      <c r="N348" s="344"/>
      <c r="O348" s="344"/>
      <c r="P348" s="344"/>
      <c r="Q348" s="344"/>
    </row>
    <row r="349" spans="1:17" s="343" customFormat="1" ht="19.5" customHeight="1">
      <c r="A349" s="342"/>
      <c r="B349" s="344"/>
      <c r="C349" s="344"/>
      <c r="D349" s="344"/>
      <c r="E349" s="344"/>
      <c r="F349" s="344"/>
      <c r="G349" s="344"/>
      <c r="H349" s="344"/>
      <c r="I349" s="344"/>
      <c r="J349" s="344"/>
      <c r="K349" s="344"/>
      <c r="L349" s="344"/>
      <c r="M349" s="344"/>
      <c r="N349" s="344"/>
      <c r="O349" s="344"/>
      <c r="P349" s="344"/>
      <c r="Q349" s="344"/>
    </row>
    <row r="350" spans="1:17" s="343" customFormat="1" ht="19.5" customHeight="1">
      <c r="A350" s="342"/>
      <c r="B350" s="344"/>
      <c r="C350" s="344"/>
      <c r="D350" s="344"/>
      <c r="E350" s="344"/>
      <c r="F350" s="344"/>
      <c r="G350" s="344"/>
      <c r="H350" s="344"/>
      <c r="I350" s="344"/>
      <c r="J350" s="344"/>
      <c r="K350" s="344"/>
      <c r="L350" s="344"/>
      <c r="M350" s="344"/>
      <c r="N350" s="344"/>
      <c r="O350" s="344"/>
      <c r="P350" s="344"/>
      <c r="Q350" s="344"/>
    </row>
    <row r="351" spans="1:17" s="343" customFormat="1" ht="19.5" customHeight="1">
      <c r="A351" s="342"/>
      <c r="B351" s="344"/>
      <c r="C351" s="344"/>
      <c r="D351" s="344"/>
      <c r="E351" s="344"/>
      <c r="F351" s="344"/>
      <c r="G351" s="344"/>
      <c r="H351" s="344"/>
      <c r="I351" s="344"/>
      <c r="J351" s="344"/>
      <c r="K351" s="344"/>
      <c r="L351" s="344"/>
      <c r="M351" s="344"/>
      <c r="N351" s="344"/>
      <c r="O351" s="344"/>
      <c r="P351" s="344"/>
      <c r="Q351" s="344"/>
    </row>
    <row r="352" spans="1:17" s="343" customFormat="1" ht="19.5" customHeight="1">
      <c r="A352" s="342"/>
      <c r="B352" s="344"/>
      <c r="C352" s="344"/>
      <c r="D352" s="344"/>
      <c r="E352" s="344"/>
      <c r="F352" s="344"/>
      <c r="G352" s="344"/>
      <c r="H352" s="344"/>
      <c r="I352" s="344"/>
      <c r="J352" s="344"/>
      <c r="K352" s="344"/>
      <c r="L352" s="344"/>
      <c r="M352" s="344"/>
      <c r="N352" s="344"/>
      <c r="O352" s="344"/>
      <c r="P352" s="344"/>
      <c r="Q352" s="344"/>
    </row>
    <row r="353" spans="1:17" s="343" customFormat="1" ht="19.5" customHeight="1">
      <c r="A353" s="342"/>
      <c r="B353" s="344"/>
      <c r="C353" s="344"/>
      <c r="D353" s="344"/>
      <c r="E353" s="344"/>
      <c r="F353" s="344"/>
      <c r="G353" s="344"/>
      <c r="H353" s="344"/>
      <c r="I353" s="344"/>
      <c r="J353" s="344"/>
      <c r="K353" s="344"/>
      <c r="L353" s="344"/>
      <c r="M353" s="344"/>
      <c r="N353" s="344"/>
      <c r="O353" s="344"/>
      <c r="P353" s="344"/>
      <c r="Q353" s="344"/>
    </row>
    <row r="354" spans="1:17" s="343" customFormat="1" ht="19.5" customHeight="1">
      <c r="A354" s="342"/>
      <c r="B354" s="344"/>
      <c r="C354" s="344"/>
      <c r="D354" s="344"/>
      <c r="E354" s="344"/>
      <c r="F354" s="344"/>
      <c r="G354" s="344"/>
      <c r="H354" s="344"/>
      <c r="I354" s="344"/>
      <c r="J354" s="344"/>
      <c r="K354" s="344"/>
      <c r="L354" s="344"/>
      <c r="M354" s="344"/>
      <c r="N354" s="344"/>
      <c r="O354" s="344"/>
      <c r="P354" s="344"/>
      <c r="Q354" s="344"/>
    </row>
    <row r="355" spans="1:17" s="343" customFormat="1" ht="19.5" customHeight="1">
      <c r="A355" s="342"/>
      <c r="B355" s="344"/>
      <c r="C355" s="344"/>
      <c r="D355" s="344"/>
      <c r="E355" s="344"/>
      <c r="F355" s="344"/>
      <c r="G355" s="344"/>
      <c r="H355" s="344"/>
      <c r="I355" s="344"/>
      <c r="J355" s="344"/>
      <c r="K355" s="344"/>
      <c r="L355" s="344"/>
      <c r="M355" s="344"/>
      <c r="N355" s="344"/>
      <c r="O355" s="344"/>
      <c r="P355" s="344"/>
      <c r="Q355" s="344"/>
    </row>
    <row r="356" spans="1:17" s="343" customFormat="1" ht="19.5" customHeight="1">
      <c r="A356" s="342"/>
      <c r="B356" s="344"/>
      <c r="C356" s="344"/>
      <c r="D356" s="344"/>
      <c r="E356" s="344"/>
      <c r="F356" s="344"/>
      <c r="G356" s="344"/>
      <c r="H356" s="344"/>
      <c r="I356" s="344"/>
      <c r="J356" s="344"/>
      <c r="K356" s="344"/>
      <c r="L356" s="344"/>
      <c r="M356" s="344"/>
      <c r="N356" s="344"/>
      <c r="O356" s="344"/>
      <c r="P356" s="344"/>
      <c r="Q356" s="344"/>
    </row>
    <row r="357" spans="1:17" s="343" customFormat="1" ht="19.5" customHeight="1">
      <c r="A357" s="342"/>
      <c r="B357" s="344"/>
      <c r="C357" s="344"/>
      <c r="D357" s="344"/>
      <c r="E357" s="344"/>
      <c r="F357" s="344"/>
      <c r="G357" s="344"/>
      <c r="H357" s="344"/>
      <c r="I357" s="344"/>
      <c r="J357" s="344"/>
      <c r="K357" s="344"/>
      <c r="L357" s="344"/>
      <c r="M357" s="344"/>
      <c r="N357" s="344"/>
      <c r="O357" s="344"/>
      <c r="P357" s="344"/>
      <c r="Q357" s="344"/>
    </row>
    <row r="358" spans="1:17" s="343" customFormat="1" ht="19.5" customHeight="1">
      <c r="A358" s="342"/>
      <c r="B358" s="344"/>
      <c r="C358" s="344"/>
      <c r="D358" s="344"/>
      <c r="E358" s="344"/>
      <c r="F358" s="344"/>
      <c r="G358" s="344"/>
      <c r="H358" s="344"/>
      <c r="I358" s="344"/>
      <c r="J358" s="344"/>
      <c r="K358" s="344"/>
      <c r="L358" s="344"/>
      <c r="M358" s="344"/>
      <c r="N358" s="344"/>
      <c r="O358" s="344"/>
      <c r="P358" s="344"/>
      <c r="Q358" s="344"/>
    </row>
    <row r="359" spans="1:17" s="343" customFormat="1" ht="19.5" customHeight="1">
      <c r="A359" s="342"/>
      <c r="B359" s="344"/>
      <c r="C359" s="344"/>
      <c r="D359" s="344"/>
      <c r="E359" s="344"/>
      <c r="F359" s="344"/>
      <c r="G359" s="344"/>
      <c r="H359" s="344"/>
      <c r="I359" s="344"/>
      <c r="J359" s="344"/>
      <c r="K359" s="344"/>
      <c r="L359" s="344"/>
      <c r="M359" s="344"/>
      <c r="N359" s="344"/>
      <c r="O359" s="344"/>
      <c r="P359" s="344"/>
      <c r="Q359" s="344"/>
    </row>
    <row r="360" spans="1:17" s="343" customFormat="1" ht="19.5" customHeight="1">
      <c r="A360" s="342"/>
      <c r="B360" s="344"/>
      <c r="C360" s="344"/>
      <c r="D360" s="344"/>
      <c r="E360" s="344"/>
      <c r="F360" s="344"/>
      <c r="G360" s="344"/>
      <c r="H360" s="344"/>
      <c r="I360" s="344"/>
      <c r="J360" s="344"/>
      <c r="K360" s="344"/>
      <c r="L360" s="344"/>
      <c r="M360" s="344"/>
      <c r="N360" s="344"/>
      <c r="O360" s="344"/>
      <c r="P360" s="344"/>
      <c r="Q360" s="344"/>
    </row>
    <row r="361" spans="1:17" s="343" customFormat="1" ht="19.5" customHeight="1">
      <c r="A361" s="342"/>
      <c r="B361" s="344"/>
      <c r="C361" s="344"/>
      <c r="D361" s="344"/>
      <c r="E361" s="344"/>
      <c r="F361" s="344"/>
      <c r="G361" s="344"/>
      <c r="H361" s="344"/>
      <c r="I361" s="344"/>
      <c r="J361" s="344"/>
      <c r="K361" s="344"/>
      <c r="L361" s="344"/>
      <c r="M361" s="344"/>
      <c r="N361" s="344"/>
      <c r="O361" s="344"/>
      <c r="P361" s="344"/>
      <c r="Q361" s="344"/>
    </row>
    <row r="362" spans="1:17" s="343" customFormat="1" ht="19.5" customHeight="1">
      <c r="A362" s="342"/>
      <c r="B362" s="344"/>
      <c r="C362" s="344"/>
      <c r="D362" s="344"/>
      <c r="E362" s="344"/>
      <c r="F362" s="344"/>
      <c r="G362" s="344"/>
      <c r="H362" s="344"/>
      <c r="I362" s="344"/>
      <c r="J362" s="344"/>
      <c r="K362" s="344"/>
      <c r="L362" s="344"/>
      <c r="M362" s="344"/>
      <c r="N362" s="344"/>
      <c r="O362" s="344"/>
      <c r="P362" s="344"/>
      <c r="Q362" s="344"/>
    </row>
    <row r="363" spans="1:17" s="343" customFormat="1" ht="19.5" customHeight="1">
      <c r="A363" s="342"/>
      <c r="B363" s="344"/>
      <c r="C363" s="344"/>
      <c r="D363" s="344"/>
      <c r="E363" s="344"/>
      <c r="F363" s="344"/>
      <c r="G363" s="344"/>
      <c r="H363" s="344"/>
      <c r="I363" s="344"/>
      <c r="J363" s="344"/>
      <c r="K363" s="344"/>
      <c r="L363" s="344"/>
      <c r="M363" s="344"/>
      <c r="N363" s="344"/>
      <c r="O363" s="344"/>
      <c r="P363" s="344"/>
      <c r="Q363" s="344"/>
    </row>
    <row r="364" ht="19.5" customHeight="1"/>
    <row r="365" ht="9.75" customHeight="1"/>
    <row r="366" ht="19.5" customHeight="1"/>
    <row r="367" ht="19.5" customHeight="1"/>
    <row r="368" ht="19.5" customHeight="1"/>
    <row r="369" spans="1:17" s="343" customFormat="1" ht="19.5" customHeight="1">
      <c r="A369" s="342"/>
      <c r="B369" s="344"/>
      <c r="C369" s="344"/>
      <c r="D369" s="344"/>
      <c r="E369" s="344"/>
      <c r="F369" s="344"/>
      <c r="G369" s="344"/>
      <c r="H369" s="344"/>
      <c r="I369" s="344"/>
      <c r="J369" s="344"/>
      <c r="K369" s="344"/>
      <c r="L369" s="344"/>
      <c r="M369" s="344"/>
      <c r="N369" s="344"/>
      <c r="O369" s="344"/>
      <c r="P369" s="344"/>
      <c r="Q369" s="344"/>
    </row>
    <row r="370" spans="1:17" s="343" customFormat="1" ht="19.5" customHeight="1">
      <c r="A370" s="342"/>
      <c r="B370" s="344"/>
      <c r="C370" s="344"/>
      <c r="D370" s="344"/>
      <c r="E370" s="344"/>
      <c r="F370" s="344"/>
      <c r="G370" s="344"/>
      <c r="H370" s="344"/>
      <c r="I370" s="344"/>
      <c r="J370" s="344"/>
      <c r="K370" s="344"/>
      <c r="L370" s="344"/>
      <c r="M370" s="344"/>
      <c r="N370" s="344"/>
      <c r="O370" s="344"/>
      <c r="P370" s="344"/>
      <c r="Q370" s="344"/>
    </row>
    <row r="371" spans="1:17" s="343" customFormat="1" ht="19.5" customHeight="1">
      <c r="A371" s="342"/>
      <c r="B371" s="344"/>
      <c r="C371" s="344"/>
      <c r="D371" s="344"/>
      <c r="E371" s="344"/>
      <c r="F371" s="344"/>
      <c r="G371" s="344"/>
      <c r="H371" s="344"/>
      <c r="I371" s="344"/>
      <c r="J371" s="344"/>
      <c r="K371" s="344"/>
      <c r="L371" s="344"/>
      <c r="M371" s="344"/>
      <c r="N371" s="344"/>
      <c r="O371" s="344"/>
      <c r="P371" s="344"/>
      <c r="Q371" s="344"/>
    </row>
    <row r="372" spans="1:17" s="343" customFormat="1" ht="19.5" customHeight="1">
      <c r="A372" s="342"/>
      <c r="B372" s="344"/>
      <c r="C372" s="344"/>
      <c r="D372" s="344"/>
      <c r="E372" s="344"/>
      <c r="F372" s="344"/>
      <c r="G372" s="344"/>
      <c r="H372" s="344"/>
      <c r="I372" s="344"/>
      <c r="J372" s="344"/>
      <c r="K372" s="344"/>
      <c r="L372" s="344"/>
      <c r="M372" s="344"/>
      <c r="N372" s="344"/>
      <c r="O372" s="344"/>
      <c r="P372" s="344"/>
      <c r="Q372" s="344"/>
    </row>
    <row r="373" spans="1:17" s="343" customFormat="1" ht="19.5" customHeight="1">
      <c r="A373" s="342"/>
      <c r="B373" s="344"/>
      <c r="C373" s="344"/>
      <c r="D373" s="344"/>
      <c r="E373" s="344"/>
      <c r="F373" s="344"/>
      <c r="G373" s="344"/>
      <c r="H373" s="344"/>
      <c r="I373" s="344"/>
      <c r="J373" s="344"/>
      <c r="K373" s="344"/>
      <c r="L373" s="344"/>
      <c r="M373" s="344"/>
      <c r="N373" s="344"/>
      <c r="O373" s="344"/>
      <c r="P373" s="344"/>
      <c r="Q373" s="344"/>
    </row>
    <row r="374" spans="1:17" s="343" customFormat="1" ht="19.5" customHeight="1">
      <c r="A374" s="342"/>
      <c r="B374" s="344"/>
      <c r="C374" s="344"/>
      <c r="D374" s="344"/>
      <c r="E374" s="344"/>
      <c r="F374" s="344"/>
      <c r="G374" s="344"/>
      <c r="H374" s="344"/>
      <c r="I374" s="344"/>
      <c r="J374" s="344"/>
      <c r="K374" s="344"/>
      <c r="L374" s="344"/>
      <c r="M374" s="344"/>
      <c r="N374" s="344"/>
      <c r="O374" s="344"/>
      <c r="P374" s="344"/>
      <c r="Q374" s="344"/>
    </row>
    <row r="375" spans="1:17" s="343" customFormat="1" ht="19.5" customHeight="1">
      <c r="A375" s="342"/>
      <c r="B375" s="344"/>
      <c r="C375" s="344"/>
      <c r="D375" s="344"/>
      <c r="E375" s="344"/>
      <c r="F375" s="344"/>
      <c r="G375" s="344"/>
      <c r="H375" s="344"/>
      <c r="I375" s="344"/>
      <c r="J375" s="344"/>
      <c r="K375" s="344"/>
      <c r="L375" s="344"/>
      <c r="M375" s="344"/>
      <c r="N375" s="344"/>
      <c r="O375" s="344"/>
      <c r="P375" s="344"/>
      <c r="Q375" s="344"/>
    </row>
    <row r="376" spans="1:17" s="343" customFormat="1" ht="19.5" customHeight="1">
      <c r="A376" s="342"/>
      <c r="B376" s="344"/>
      <c r="C376" s="344"/>
      <c r="D376" s="344"/>
      <c r="E376" s="344"/>
      <c r="F376" s="344"/>
      <c r="G376" s="344"/>
      <c r="H376" s="344"/>
      <c r="I376" s="344"/>
      <c r="J376" s="344"/>
      <c r="K376" s="344"/>
      <c r="L376" s="344"/>
      <c r="M376" s="344"/>
      <c r="N376" s="344"/>
      <c r="O376" s="344"/>
      <c r="P376" s="344"/>
      <c r="Q376" s="344"/>
    </row>
    <row r="377" spans="1:17" s="343" customFormat="1" ht="19.5" customHeight="1">
      <c r="A377" s="342"/>
      <c r="B377" s="344"/>
      <c r="C377" s="344"/>
      <c r="D377" s="344"/>
      <c r="E377" s="344"/>
      <c r="F377" s="344"/>
      <c r="G377" s="344"/>
      <c r="H377" s="344"/>
      <c r="I377" s="344"/>
      <c r="J377" s="344"/>
      <c r="K377" s="344"/>
      <c r="L377" s="344"/>
      <c r="M377" s="344"/>
      <c r="N377" s="344"/>
      <c r="O377" s="344"/>
      <c r="P377" s="344"/>
      <c r="Q377" s="344"/>
    </row>
    <row r="378" spans="1:17" s="343" customFormat="1" ht="19.5" customHeight="1">
      <c r="A378" s="342"/>
      <c r="B378" s="344"/>
      <c r="C378" s="344"/>
      <c r="D378" s="344"/>
      <c r="E378" s="344"/>
      <c r="F378" s="344"/>
      <c r="G378" s="344"/>
      <c r="H378" s="344"/>
      <c r="I378" s="344"/>
      <c r="J378" s="344"/>
      <c r="K378" s="344"/>
      <c r="L378" s="344"/>
      <c r="M378" s="344"/>
      <c r="N378" s="344"/>
      <c r="O378" s="344"/>
      <c r="P378" s="344"/>
      <c r="Q378" s="344"/>
    </row>
    <row r="379" spans="1:17" s="343" customFormat="1" ht="19.5" customHeight="1">
      <c r="A379" s="342"/>
      <c r="B379" s="344"/>
      <c r="C379" s="344"/>
      <c r="D379" s="344"/>
      <c r="E379" s="344"/>
      <c r="F379" s="344"/>
      <c r="G379" s="344"/>
      <c r="H379" s="344"/>
      <c r="I379" s="344"/>
      <c r="J379" s="344"/>
      <c r="K379" s="344"/>
      <c r="L379" s="344"/>
      <c r="M379" s="344"/>
      <c r="N379" s="344"/>
      <c r="O379" s="344"/>
      <c r="P379" s="344"/>
      <c r="Q379" s="344"/>
    </row>
    <row r="380" spans="1:17" s="343" customFormat="1" ht="19.5" customHeight="1">
      <c r="A380" s="342"/>
      <c r="B380" s="344"/>
      <c r="C380" s="344"/>
      <c r="D380" s="344"/>
      <c r="E380" s="344"/>
      <c r="F380" s="344"/>
      <c r="G380" s="344"/>
      <c r="H380" s="344"/>
      <c r="I380" s="344"/>
      <c r="J380" s="344"/>
      <c r="K380" s="344"/>
      <c r="L380" s="344"/>
      <c r="M380" s="344"/>
      <c r="N380" s="344"/>
      <c r="O380" s="344"/>
      <c r="P380" s="344"/>
      <c r="Q380" s="344"/>
    </row>
    <row r="381" spans="1:17" s="343" customFormat="1" ht="19.5" customHeight="1">
      <c r="A381" s="342"/>
      <c r="B381" s="344"/>
      <c r="C381" s="344"/>
      <c r="D381" s="344"/>
      <c r="E381" s="344"/>
      <c r="F381" s="344"/>
      <c r="G381" s="344"/>
      <c r="H381" s="344"/>
      <c r="I381" s="344"/>
      <c r="J381" s="344"/>
      <c r="K381" s="344"/>
      <c r="L381" s="344"/>
      <c r="M381" s="344"/>
      <c r="N381" s="344"/>
      <c r="O381" s="344"/>
      <c r="P381" s="344"/>
      <c r="Q381" s="344"/>
    </row>
    <row r="382" spans="1:17" s="343" customFormat="1" ht="19.5" customHeight="1">
      <c r="A382" s="342"/>
      <c r="B382" s="344"/>
      <c r="C382" s="344"/>
      <c r="D382" s="344"/>
      <c r="E382" s="344"/>
      <c r="F382" s="344"/>
      <c r="G382" s="344"/>
      <c r="H382" s="344"/>
      <c r="I382" s="344"/>
      <c r="J382" s="344"/>
      <c r="K382" s="344"/>
      <c r="L382" s="344"/>
      <c r="M382" s="344"/>
      <c r="N382" s="344"/>
      <c r="O382" s="344"/>
      <c r="P382" s="344"/>
      <c r="Q382" s="344"/>
    </row>
    <row r="383" spans="1:17" s="343" customFormat="1" ht="19.5" customHeight="1">
      <c r="A383" s="342"/>
      <c r="B383" s="344"/>
      <c r="C383" s="344"/>
      <c r="D383" s="344"/>
      <c r="E383" s="344"/>
      <c r="F383" s="344"/>
      <c r="G383" s="344"/>
      <c r="H383" s="344"/>
      <c r="I383" s="344"/>
      <c r="J383" s="344"/>
      <c r="K383" s="344"/>
      <c r="L383" s="344"/>
      <c r="M383" s="344"/>
      <c r="N383" s="344"/>
      <c r="O383" s="344"/>
      <c r="P383" s="344"/>
      <c r="Q383" s="344"/>
    </row>
    <row r="384" spans="1:17" s="343" customFormat="1" ht="19.5" customHeight="1">
      <c r="A384" s="342"/>
      <c r="B384" s="344"/>
      <c r="C384" s="344"/>
      <c r="D384" s="344"/>
      <c r="E384" s="344"/>
      <c r="F384" s="344"/>
      <c r="G384" s="344"/>
      <c r="H384" s="344"/>
      <c r="I384" s="344"/>
      <c r="J384" s="344"/>
      <c r="K384" s="344"/>
      <c r="L384" s="344"/>
      <c r="M384" s="344"/>
      <c r="N384" s="344"/>
      <c r="O384" s="344"/>
      <c r="P384" s="344"/>
      <c r="Q384" s="344"/>
    </row>
    <row r="385" spans="1:17" s="343" customFormat="1" ht="19.5" customHeight="1">
      <c r="A385" s="342"/>
      <c r="B385" s="344"/>
      <c r="C385" s="344"/>
      <c r="D385" s="344"/>
      <c r="E385" s="344"/>
      <c r="F385" s="344"/>
      <c r="G385" s="344"/>
      <c r="H385" s="344"/>
      <c r="I385" s="344"/>
      <c r="J385" s="344"/>
      <c r="K385" s="344"/>
      <c r="L385" s="344"/>
      <c r="M385" s="344"/>
      <c r="N385" s="344"/>
      <c r="O385" s="344"/>
      <c r="P385" s="344"/>
      <c r="Q385" s="344"/>
    </row>
    <row r="386" spans="1:17" s="343" customFormat="1" ht="19.5" customHeight="1">
      <c r="A386" s="342"/>
      <c r="B386" s="344"/>
      <c r="C386" s="344"/>
      <c r="D386" s="344"/>
      <c r="E386" s="344"/>
      <c r="F386" s="344"/>
      <c r="G386" s="344"/>
      <c r="H386" s="344"/>
      <c r="I386" s="344"/>
      <c r="J386" s="344"/>
      <c r="K386" s="344"/>
      <c r="L386" s="344"/>
      <c r="M386" s="344"/>
      <c r="N386" s="344"/>
      <c r="O386" s="344"/>
      <c r="P386" s="344"/>
      <c r="Q386" s="344"/>
    </row>
    <row r="387" spans="1:17" s="343" customFormat="1" ht="19.5" customHeight="1">
      <c r="A387" s="342"/>
      <c r="B387" s="344"/>
      <c r="C387" s="344"/>
      <c r="D387" s="344"/>
      <c r="E387" s="344"/>
      <c r="F387" s="344"/>
      <c r="G387" s="344"/>
      <c r="H387" s="344"/>
      <c r="I387" s="344"/>
      <c r="J387" s="344"/>
      <c r="K387" s="344"/>
      <c r="L387" s="344"/>
      <c r="M387" s="344"/>
      <c r="N387" s="344"/>
      <c r="O387" s="344"/>
      <c r="P387" s="344"/>
      <c r="Q387" s="344"/>
    </row>
    <row r="388" spans="1:17" s="343" customFormat="1" ht="19.5" customHeight="1">
      <c r="A388" s="342"/>
      <c r="B388" s="344"/>
      <c r="C388" s="344"/>
      <c r="D388" s="344"/>
      <c r="E388" s="344"/>
      <c r="F388" s="344"/>
      <c r="G388" s="344"/>
      <c r="H388" s="344"/>
      <c r="I388" s="344"/>
      <c r="J388" s="344"/>
      <c r="K388" s="344"/>
      <c r="L388" s="344"/>
      <c r="M388" s="344"/>
      <c r="N388" s="344"/>
      <c r="O388" s="344"/>
      <c r="P388" s="344"/>
      <c r="Q388" s="344"/>
    </row>
    <row r="389" spans="1:17" s="343" customFormat="1" ht="19.5" customHeight="1">
      <c r="A389" s="342"/>
      <c r="B389" s="344"/>
      <c r="C389" s="344"/>
      <c r="D389" s="344"/>
      <c r="E389" s="344"/>
      <c r="F389" s="344"/>
      <c r="G389" s="344"/>
      <c r="H389" s="344"/>
      <c r="I389" s="344"/>
      <c r="J389" s="344"/>
      <c r="K389" s="344"/>
      <c r="L389" s="344"/>
      <c r="M389" s="344"/>
      <c r="N389" s="344"/>
      <c r="O389" s="344"/>
      <c r="P389" s="344"/>
      <c r="Q389" s="344"/>
    </row>
    <row r="390" spans="1:17" s="343" customFormat="1" ht="19.5" customHeight="1">
      <c r="A390" s="342"/>
      <c r="B390" s="344"/>
      <c r="C390" s="344"/>
      <c r="D390" s="344"/>
      <c r="E390" s="344"/>
      <c r="F390" s="344"/>
      <c r="G390" s="344"/>
      <c r="H390" s="344"/>
      <c r="I390" s="344"/>
      <c r="J390" s="344"/>
      <c r="K390" s="344"/>
      <c r="L390" s="344"/>
      <c r="M390" s="344"/>
      <c r="N390" s="344"/>
      <c r="O390" s="344"/>
      <c r="P390" s="344"/>
      <c r="Q390" s="344"/>
    </row>
    <row r="391" spans="1:17" s="343" customFormat="1" ht="19.5" customHeight="1">
      <c r="A391" s="342"/>
      <c r="B391" s="344"/>
      <c r="C391" s="344"/>
      <c r="D391" s="344"/>
      <c r="E391" s="344"/>
      <c r="F391" s="344"/>
      <c r="G391" s="344"/>
      <c r="H391" s="344"/>
      <c r="I391" s="344"/>
      <c r="J391" s="344"/>
      <c r="K391" s="344"/>
      <c r="L391" s="344"/>
      <c r="M391" s="344"/>
      <c r="N391" s="344"/>
      <c r="O391" s="344"/>
      <c r="P391" s="344"/>
      <c r="Q391" s="344"/>
    </row>
    <row r="392" spans="1:17" s="343" customFormat="1" ht="19.5" customHeight="1">
      <c r="A392" s="342"/>
      <c r="B392" s="344"/>
      <c r="C392" s="344"/>
      <c r="D392" s="344"/>
      <c r="E392" s="344"/>
      <c r="F392" s="344"/>
      <c r="G392" s="344"/>
      <c r="H392" s="344"/>
      <c r="I392" s="344"/>
      <c r="J392" s="344"/>
      <c r="K392" s="344"/>
      <c r="L392" s="344"/>
      <c r="M392" s="344"/>
      <c r="N392" s="344"/>
      <c r="O392" s="344"/>
      <c r="P392" s="344"/>
      <c r="Q392" s="344"/>
    </row>
    <row r="393" spans="1:17" s="343" customFormat="1" ht="19.5" customHeight="1">
      <c r="A393" s="342"/>
      <c r="B393" s="344"/>
      <c r="C393" s="344"/>
      <c r="D393" s="344"/>
      <c r="E393" s="344"/>
      <c r="F393" s="344"/>
      <c r="G393" s="344"/>
      <c r="H393" s="344"/>
      <c r="I393" s="344"/>
      <c r="J393" s="344"/>
      <c r="K393" s="344"/>
      <c r="L393" s="344"/>
      <c r="M393" s="344"/>
      <c r="N393" s="344"/>
      <c r="O393" s="344"/>
      <c r="P393" s="344"/>
      <c r="Q393" s="344"/>
    </row>
    <row r="394" spans="1:17" s="343" customFormat="1" ht="19.5" customHeight="1">
      <c r="A394" s="342"/>
      <c r="B394" s="344"/>
      <c r="C394" s="344"/>
      <c r="D394" s="344"/>
      <c r="E394" s="344"/>
      <c r="F394" s="344"/>
      <c r="G394" s="344"/>
      <c r="H394" s="344"/>
      <c r="I394" s="344"/>
      <c r="J394" s="344"/>
      <c r="K394" s="344"/>
      <c r="L394" s="344"/>
      <c r="M394" s="344"/>
      <c r="N394" s="344"/>
      <c r="O394" s="344"/>
      <c r="P394" s="344"/>
      <c r="Q394" s="344"/>
    </row>
    <row r="395" spans="1:17" s="343" customFormat="1" ht="19.5" customHeight="1">
      <c r="A395" s="342"/>
      <c r="B395" s="344"/>
      <c r="C395" s="344"/>
      <c r="D395" s="344"/>
      <c r="E395" s="344"/>
      <c r="F395" s="344"/>
      <c r="G395" s="344"/>
      <c r="H395" s="344"/>
      <c r="I395" s="344"/>
      <c r="J395" s="344"/>
      <c r="K395" s="344"/>
      <c r="L395" s="344"/>
      <c r="M395" s="344"/>
      <c r="N395" s="344"/>
      <c r="O395" s="344"/>
      <c r="P395" s="344"/>
      <c r="Q395" s="344"/>
    </row>
    <row r="396" spans="1:17" s="343" customFormat="1" ht="19.5" customHeight="1">
      <c r="A396" s="342"/>
      <c r="B396" s="344"/>
      <c r="C396" s="344"/>
      <c r="D396" s="344"/>
      <c r="E396" s="344"/>
      <c r="F396" s="344"/>
      <c r="G396" s="344"/>
      <c r="H396" s="344"/>
      <c r="I396" s="344"/>
      <c r="J396" s="344"/>
      <c r="K396" s="344"/>
      <c r="L396" s="344"/>
      <c r="M396" s="344"/>
      <c r="N396" s="344"/>
      <c r="O396" s="344"/>
      <c r="P396" s="344"/>
      <c r="Q396" s="344"/>
    </row>
    <row r="397" spans="1:17" s="343" customFormat="1" ht="19.5" customHeight="1">
      <c r="A397" s="342"/>
      <c r="B397" s="344"/>
      <c r="C397" s="344"/>
      <c r="D397" s="344"/>
      <c r="E397" s="344"/>
      <c r="F397" s="344"/>
      <c r="G397" s="344"/>
      <c r="H397" s="344"/>
      <c r="I397" s="344"/>
      <c r="J397" s="344"/>
      <c r="K397" s="344"/>
      <c r="L397" s="344"/>
      <c r="M397" s="344"/>
      <c r="N397" s="344"/>
      <c r="O397" s="344"/>
      <c r="P397" s="344"/>
      <c r="Q397" s="344"/>
    </row>
    <row r="398" spans="1:17" s="343" customFormat="1" ht="19.5" customHeight="1">
      <c r="A398" s="342"/>
      <c r="B398" s="344"/>
      <c r="C398" s="344"/>
      <c r="D398" s="344"/>
      <c r="E398" s="344"/>
      <c r="F398" s="344"/>
      <c r="G398" s="344"/>
      <c r="H398" s="344"/>
      <c r="I398" s="344"/>
      <c r="J398" s="344"/>
      <c r="K398" s="344"/>
      <c r="L398" s="344"/>
      <c r="M398" s="344"/>
      <c r="N398" s="344"/>
      <c r="O398" s="344"/>
      <c r="P398" s="344"/>
      <c r="Q398" s="344"/>
    </row>
    <row r="399" spans="1:17" s="343" customFormat="1" ht="19.5" customHeight="1">
      <c r="A399" s="342"/>
      <c r="B399" s="344"/>
      <c r="C399" s="344"/>
      <c r="D399" s="344"/>
      <c r="E399" s="344"/>
      <c r="F399" s="344"/>
      <c r="G399" s="344"/>
      <c r="H399" s="344"/>
      <c r="I399" s="344"/>
      <c r="J399" s="344"/>
      <c r="K399" s="344"/>
      <c r="L399" s="344"/>
      <c r="M399" s="344"/>
      <c r="N399" s="344"/>
      <c r="O399" s="344"/>
      <c r="P399" s="344"/>
      <c r="Q399" s="344"/>
    </row>
    <row r="400" spans="1:17" s="343" customFormat="1" ht="19.5" customHeight="1">
      <c r="A400" s="342"/>
      <c r="B400" s="344"/>
      <c r="C400" s="344"/>
      <c r="D400" s="344"/>
      <c r="E400" s="344"/>
      <c r="F400" s="344"/>
      <c r="G400" s="344"/>
      <c r="H400" s="344"/>
      <c r="I400" s="344"/>
      <c r="J400" s="344"/>
      <c r="K400" s="344"/>
      <c r="L400" s="344"/>
      <c r="M400" s="344"/>
      <c r="N400" s="344"/>
      <c r="O400" s="344"/>
      <c r="P400" s="344"/>
      <c r="Q400" s="344"/>
    </row>
    <row r="401" spans="1:17" s="343" customFormat="1" ht="19.5" customHeight="1">
      <c r="A401" s="342"/>
      <c r="B401" s="344"/>
      <c r="C401" s="344"/>
      <c r="D401" s="344"/>
      <c r="E401" s="344"/>
      <c r="F401" s="344"/>
      <c r="G401" s="344"/>
      <c r="H401" s="344"/>
      <c r="I401" s="344"/>
      <c r="J401" s="344"/>
      <c r="K401" s="344"/>
      <c r="L401" s="344"/>
      <c r="M401" s="344"/>
      <c r="N401" s="344"/>
      <c r="O401" s="344"/>
      <c r="P401" s="344"/>
      <c r="Q401" s="344"/>
    </row>
    <row r="402" spans="1:17" s="343" customFormat="1" ht="19.5" customHeight="1">
      <c r="A402" s="342"/>
      <c r="B402" s="344"/>
      <c r="C402" s="344"/>
      <c r="D402" s="344"/>
      <c r="E402" s="344"/>
      <c r="F402" s="344"/>
      <c r="G402" s="344"/>
      <c r="H402" s="344"/>
      <c r="I402" s="344"/>
      <c r="J402" s="344"/>
      <c r="K402" s="344"/>
      <c r="L402" s="344"/>
      <c r="M402" s="344"/>
      <c r="N402" s="344"/>
      <c r="O402" s="344"/>
      <c r="P402" s="344"/>
      <c r="Q402" s="344"/>
    </row>
    <row r="403" spans="1:17" s="343" customFormat="1" ht="19.5" customHeight="1">
      <c r="A403" s="342"/>
      <c r="B403" s="344"/>
      <c r="C403" s="344"/>
      <c r="D403" s="344"/>
      <c r="E403" s="344"/>
      <c r="F403" s="344"/>
      <c r="G403" s="344"/>
      <c r="H403" s="344"/>
      <c r="I403" s="344"/>
      <c r="J403" s="344"/>
      <c r="K403" s="344"/>
      <c r="L403" s="344"/>
      <c r="M403" s="344"/>
      <c r="N403" s="344"/>
      <c r="O403" s="344"/>
      <c r="P403" s="344"/>
      <c r="Q403" s="344"/>
    </row>
    <row r="404" spans="1:17" s="343" customFormat="1" ht="19.5" customHeight="1">
      <c r="A404" s="342"/>
      <c r="B404" s="344"/>
      <c r="C404" s="344"/>
      <c r="D404" s="344"/>
      <c r="E404" s="344"/>
      <c r="F404" s="344"/>
      <c r="G404" s="344"/>
      <c r="H404" s="344"/>
      <c r="I404" s="344"/>
      <c r="J404" s="344"/>
      <c r="K404" s="344"/>
      <c r="L404" s="344"/>
      <c r="M404" s="344"/>
      <c r="N404" s="344"/>
      <c r="O404" s="344"/>
      <c r="P404" s="344"/>
      <c r="Q404" s="344"/>
    </row>
    <row r="405" spans="1:17" s="343" customFormat="1" ht="19.5" customHeight="1">
      <c r="A405" s="342"/>
      <c r="B405" s="344"/>
      <c r="C405" s="344"/>
      <c r="D405" s="344"/>
      <c r="E405" s="344"/>
      <c r="F405" s="344"/>
      <c r="G405" s="344"/>
      <c r="H405" s="344"/>
      <c r="I405" s="344"/>
      <c r="J405" s="344"/>
      <c r="K405" s="344"/>
      <c r="L405" s="344"/>
      <c r="M405" s="344"/>
      <c r="N405" s="344"/>
      <c r="O405" s="344"/>
      <c r="P405" s="344"/>
      <c r="Q405" s="344"/>
    </row>
    <row r="406" ht="19.5" customHeight="1"/>
    <row r="407" ht="9.75" customHeight="1"/>
    <row r="408" ht="19.5" customHeight="1"/>
    <row r="409" ht="19.5" customHeight="1"/>
    <row r="410" ht="19.5" customHeight="1"/>
    <row r="411" spans="1:17" s="343" customFormat="1" ht="19.5" customHeight="1">
      <c r="A411" s="342"/>
      <c r="B411" s="344"/>
      <c r="C411" s="344"/>
      <c r="D411" s="344"/>
      <c r="E411" s="344"/>
      <c r="F411" s="344"/>
      <c r="G411" s="344"/>
      <c r="H411" s="344"/>
      <c r="I411" s="344"/>
      <c r="J411" s="344"/>
      <c r="K411" s="344"/>
      <c r="L411" s="344"/>
      <c r="M411" s="344"/>
      <c r="N411" s="344"/>
      <c r="O411" s="344"/>
      <c r="P411" s="344"/>
      <c r="Q411" s="344"/>
    </row>
    <row r="412" spans="1:17" s="343" customFormat="1" ht="19.5" customHeight="1">
      <c r="A412" s="342"/>
      <c r="B412" s="344"/>
      <c r="C412" s="344"/>
      <c r="D412" s="344"/>
      <c r="E412" s="344"/>
      <c r="F412" s="344"/>
      <c r="G412" s="344"/>
      <c r="H412" s="344"/>
      <c r="I412" s="344"/>
      <c r="J412" s="344"/>
      <c r="K412" s="344"/>
      <c r="L412" s="344"/>
      <c r="M412" s="344"/>
      <c r="N412" s="344"/>
      <c r="O412" s="344"/>
      <c r="P412" s="344"/>
      <c r="Q412" s="344"/>
    </row>
    <row r="413" spans="1:17" s="343" customFormat="1" ht="19.5" customHeight="1">
      <c r="A413" s="342"/>
      <c r="B413" s="344"/>
      <c r="C413" s="344"/>
      <c r="D413" s="344"/>
      <c r="E413" s="344"/>
      <c r="F413" s="344"/>
      <c r="G413" s="344"/>
      <c r="H413" s="344"/>
      <c r="I413" s="344"/>
      <c r="J413" s="344"/>
      <c r="K413" s="344"/>
      <c r="L413" s="344"/>
      <c r="M413" s="344"/>
      <c r="N413" s="344"/>
      <c r="O413" s="344"/>
      <c r="P413" s="344"/>
      <c r="Q413" s="344"/>
    </row>
    <row r="414" spans="1:17" s="343" customFormat="1" ht="19.5" customHeight="1">
      <c r="A414" s="342"/>
      <c r="B414" s="344"/>
      <c r="C414" s="344"/>
      <c r="D414" s="344"/>
      <c r="E414" s="344"/>
      <c r="F414" s="344"/>
      <c r="G414" s="344"/>
      <c r="H414" s="344"/>
      <c r="I414" s="344"/>
      <c r="J414" s="344"/>
      <c r="K414" s="344"/>
      <c r="L414" s="344"/>
      <c r="M414" s="344"/>
      <c r="N414" s="344"/>
      <c r="O414" s="344"/>
      <c r="P414" s="344"/>
      <c r="Q414" s="344"/>
    </row>
    <row r="415" spans="1:17" s="343" customFormat="1" ht="19.5" customHeight="1">
      <c r="A415" s="342"/>
      <c r="B415" s="344"/>
      <c r="C415" s="344"/>
      <c r="D415" s="344"/>
      <c r="E415" s="344"/>
      <c r="F415" s="344"/>
      <c r="G415" s="344"/>
      <c r="H415" s="344"/>
      <c r="I415" s="344"/>
      <c r="J415" s="344"/>
      <c r="K415" s="344"/>
      <c r="L415" s="344"/>
      <c r="M415" s="344"/>
      <c r="N415" s="344"/>
      <c r="O415" s="344"/>
      <c r="P415" s="344"/>
      <c r="Q415" s="344"/>
    </row>
    <row r="416" spans="1:17" s="343" customFormat="1" ht="19.5" customHeight="1">
      <c r="A416" s="342"/>
      <c r="B416" s="344"/>
      <c r="C416" s="344"/>
      <c r="D416" s="344"/>
      <c r="E416" s="344"/>
      <c r="F416" s="344"/>
      <c r="G416" s="344"/>
      <c r="H416" s="344"/>
      <c r="I416" s="344"/>
      <c r="J416" s="344"/>
      <c r="K416" s="344"/>
      <c r="L416" s="344"/>
      <c r="M416" s="344"/>
      <c r="N416" s="344"/>
      <c r="O416" s="344"/>
      <c r="P416" s="344"/>
      <c r="Q416" s="344"/>
    </row>
    <row r="417" spans="1:17" s="343" customFormat="1" ht="19.5" customHeight="1">
      <c r="A417" s="342"/>
      <c r="B417" s="344"/>
      <c r="C417" s="344"/>
      <c r="D417" s="344"/>
      <c r="E417" s="344"/>
      <c r="F417" s="344"/>
      <c r="G417" s="344"/>
      <c r="H417" s="344"/>
      <c r="I417" s="344"/>
      <c r="J417" s="344"/>
      <c r="K417" s="344"/>
      <c r="L417" s="344"/>
      <c r="M417" s="344"/>
      <c r="N417" s="344"/>
      <c r="O417" s="344"/>
      <c r="P417" s="344"/>
      <c r="Q417" s="344"/>
    </row>
    <row r="418" spans="1:17" s="343" customFormat="1" ht="19.5" customHeight="1">
      <c r="A418" s="342"/>
      <c r="B418" s="344"/>
      <c r="C418" s="344"/>
      <c r="D418" s="344"/>
      <c r="E418" s="344"/>
      <c r="F418" s="344"/>
      <c r="G418" s="344"/>
      <c r="H418" s="344"/>
      <c r="I418" s="344"/>
      <c r="J418" s="344"/>
      <c r="K418" s="344"/>
      <c r="L418" s="344"/>
      <c r="M418" s="344"/>
      <c r="N418" s="344"/>
      <c r="O418" s="344"/>
      <c r="P418" s="344"/>
      <c r="Q418" s="344"/>
    </row>
    <row r="419" spans="1:17" s="343" customFormat="1" ht="19.5" customHeight="1">
      <c r="A419" s="342"/>
      <c r="B419" s="344"/>
      <c r="C419" s="344"/>
      <c r="D419" s="344"/>
      <c r="E419" s="344"/>
      <c r="F419" s="344"/>
      <c r="G419" s="344"/>
      <c r="H419" s="344"/>
      <c r="I419" s="344"/>
      <c r="J419" s="344"/>
      <c r="K419" s="344"/>
      <c r="L419" s="344"/>
      <c r="M419" s="344"/>
      <c r="N419" s="344"/>
      <c r="O419" s="344"/>
      <c r="P419" s="344"/>
      <c r="Q419" s="344"/>
    </row>
    <row r="420" spans="1:17" s="343" customFormat="1" ht="19.5" customHeight="1">
      <c r="A420" s="342"/>
      <c r="B420" s="344"/>
      <c r="C420" s="344"/>
      <c r="D420" s="344"/>
      <c r="E420" s="344"/>
      <c r="F420" s="344"/>
      <c r="G420" s="344"/>
      <c r="H420" s="344"/>
      <c r="I420" s="344"/>
      <c r="J420" s="344"/>
      <c r="K420" s="344"/>
      <c r="L420" s="344"/>
      <c r="M420" s="344"/>
      <c r="N420" s="344"/>
      <c r="O420" s="344"/>
      <c r="P420" s="344"/>
      <c r="Q420" s="344"/>
    </row>
    <row r="421" spans="1:17" s="343" customFormat="1" ht="19.5" customHeight="1">
      <c r="A421" s="342"/>
      <c r="B421" s="344"/>
      <c r="C421" s="344"/>
      <c r="D421" s="344"/>
      <c r="E421" s="344"/>
      <c r="F421" s="344"/>
      <c r="G421" s="344"/>
      <c r="H421" s="344"/>
      <c r="I421" s="344"/>
      <c r="J421" s="344"/>
      <c r="K421" s="344"/>
      <c r="L421" s="344"/>
      <c r="M421" s="344"/>
      <c r="N421" s="344"/>
      <c r="O421" s="344"/>
      <c r="P421" s="344"/>
      <c r="Q421" s="344"/>
    </row>
    <row r="422" spans="1:17" s="343" customFormat="1" ht="19.5" customHeight="1">
      <c r="A422" s="342"/>
      <c r="B422" s="344"/>
      <c r="C422" s="344"/>
      <c r="D422" s="344"/>
      <c r="E422" s="344"/>
      <c r="F422" s="344"/>
      <c r="G422" s="344"/>
      <c r="H422" s="344"/>
      <c r="I422" s="344"/>
      <c r="J422" s="344"/>
      <c r="K422" s="344"/>
      <c r="L422" s="344"/>
      <c r="M422" s="344"/>
      <c r="N422" s="344"/>
      <c r="O422" s="344"/>
      <c r="P422" s="344"/>
      <c r="Q422" s="344"/>
    </row>
    <row r="423" spans="1:17" s="343" customFormat="1" ht="19.5" customHeight="1">
      <c r="A423" s="342"/>
      <c r="B423" s="344"/>
      <c r="C423" s="344"/>
      <c r="D423" s="344"/>
      <c r="E423" s="344"/>
      <c r="F423" s="344"/>
      <c r="G423" s="344"/>
      <c r="H423" s="344"/>
      <c r="I423" s="344"/>
      <c r="J423" s="344"/>
      <c r="K423" s="344"/>
      <c r="L423" s="344"/>
      <c r="M423" s="344"/>
      <c r="N423" s="344"/>
      <c r="O423" s="344"/>
      <c r="P423" s="344"/>
      <c r="Q423" s="344"/>
    </row>
    <row r="424" spans="1:17" s="343" customFormat="1" ht="19.5" customHeight="1">
      <c r="A424" s="342"/>
      <c r="B424" s="344"/>
      <c r="C424" s="344"/>
      <c r="D424" s="344"/>
      <c r="E424" s="344"/>
      <c r="F424" s="344"/>
      <c r="G424" s="344"/>
      <c r="H424" s="344"/>
      <c r="I424" s="344"/>
      <c r="J424" s="344"/>
      <c r="K424" s="344"/>
      <c r="L424" s="344"/>
      <c r="M424" s="344"/>
      <c r="N424" s="344"/>
      <c r="O424" s="344"/>
      <c r="P424" s="344"/>
      <c r="Q424" s="344"/>
    </row>
    <row r="425" spans="1:17" s="343" customFormat="1" ht="19.5" customHeight="1">
      <c r="A425" s="342"/>
      <c r="B425" s="344"/>
      <c r="C425" s="344"/>
      <c r="D425" s="344"/>
      <c r="E425" s="344"/>
      <c r="F425" s="344"/>
      <c r="G425" s="344"/>
      <c r="H425" s="344"/>
      <c r="I425" s="344"/>
      <c r="J425" s="344"/>
      <c r="K425" s="344"/>
      <c r="L425" s="344"/>
      <c r="M425" s="344"/>
      <c r="N425" s="344"/>
      <c r="O425" s="344"/>
      <c r="P425" s="344"/>
      <c r="Q425" s="344"/>
    </row>
    <row r="426" spans="1:17" s="343" customFormat="1" ht="19.5" customHeight="1">
      <c r="A426" s="342"/>
      <c r="B426" s="344"/>
      <c r="C426" s="344"/>
      <c r="D426" s="344"/>
      <c r="E426" s="344"/>
      <c r="F426" s="344"/>
      <c r="G426" s="344"/>
      <c r="H426" s="344"/>
      <c r="I426" s="344"/>
      <c r="J426" s="344"/>
      <c r="K426" s="344"/>
      <c r="L426" s="344"/>
      <c r="M426" s="344"/>
      <c r="N426" s="344"/>
      <c r="O426" s="344"/>
      <c r="P426" s="344"/>
      <c r="Q426" s="344"/>
    </row>
    <row r="427" spans="1:17" s="343" customFormat="1" ht="19.5" customHeight="1">
      <c r="A427" s="342"/>
      <c r="B427" s="344"/>
      <c r="C427" s="344"/>
      <c r="D427" s="344"/>
      <c r="E427" s="344"/>
      <c r="F427" s="344"/>
      <c r="G427" s="344"/>
      <c r="H427" s="344"/>
      <c r="I427" s="344"/>
      <c r="J427" s="344"/>
      <c r="K427" s="344"/>
      <c r="L427" s="344"/>
      <c r="M427" s="344"/>
      <c r="N427" s="344"/>
      <c r="O427" s="344"/>
      <c r="P427" s="344"/>
      <c r="Q427" s="344"/>
    </row>
    <row r="428" spans="1:17" s="343" customFormat="1" ht="19.5" customHeight="1">
      <c r="A428" s="342"/>
      <c r="B428" s="344"/>
      <c r="C428" s="344"/>
      <c r="D428" s="344"/>
      <c r="E428" s="344"/>
      <c r="F428" s="344"/>
      <c r="G428" s="344"/>
      <c r="H428" s="344"/>
      <c r="I428" s="344"/>
      <c r="J428" s="344"/>
      <c r="K428" s="344"/>
      <c r="L428" s="344"/>
      <c r="M428" s="344"/>
      <c r="N428" s="344"/>
      <c r="O428" s="344"/>
      <c r="P428" s="344"/>
      <c r="Q428" s="344"/>
    </row>
    <row r="429" spans="1:17" s="343" customFormat="1" ht="19.5" customHeight="1">
      <c r="A429" s="342"/>
      <c r="B429" s="344"/>
      <c r="C429" s="344"/>
      <c r="D429" s="344"/>
      <c r="E429" s="344"/>
      <c r="F429" s="344"/>
      <c r="G429" s="344"/>
      <c r="H429" s="344"/>
      <c r="I429" s="344"/>
      <c r="J429" s="344"/>
      <c r="K429" s="344"/>
      <c r="L429" s="344"/>
      <c r="M429" s="344"/>
      <c r="N429" s="344"/>
      <c r="O429" s="344"/>
      <c r="P429" s="344"/>
      <c r="Q429" s="344"/>
    </row>
    <row r="430" spans="1:17" s="343" customFormat="1" ht="19.5" customHeight="1">
      <c r="A430" s="342"/>
      <c r="B430" s="344"/>
      <c r="C430" s="344"/>
      <c r="D430" s="344"/>
      <c r="E430" s="344"/>
      <c r="F430" s="344"/>
      <c r="G430" s="344"/>
      <c r="H430" s="344"/>
      <c r="I430" s="344"/>
      <c r="J430" s="344"/>
      <c r="K430" s="344"/>
      <c r="L430" s="344"/>
      <c r="M430" s="344"/>
      <c r="N430" s="344"/>
      <c r="O430" s="344"/>
      <c r="P430" s="344"/>
      <c r="Q430" s="344"/>
    </row>
    <row r="431" spans="1:17" s="343" customFormat="1" ht="19.5" customHeight="1">
      <c r="A431" s="342"/>
      <c r="B431" s="344"/>
      <c r="C431" s="344"/>
      <c r="D431" s="344"/>
      <c r="E431" s="344"/>
      <c r="F431" s="344"/>
      <c r="G431" s="344"/>
      <c r="H431" s="344"/>
      <c r="I431" s="344"/>
      <c r="J431" s="344"/>
      <c r="K431" s="344"/>
      <c r="L431" s="344"/>
      <c r="M431" s="344"/>
      <c r="N431" s="344"/>
      <c r="O431" s="344"/>
      <c r="P431" s="344"/>
      <c r="Q431" s="344"/>
    </row>
    <row r="432" spans="1:17" s="343" customFormat="1" ht="19.5" customHeight="1">
      <c r="A432" s="342"/>
      <c r="B432" s="344"/>
      <c r="C432" s="344"/>
      <c r="D432" s="344"/>
      <c r="E432" s="344"/>
      <c r="F432" s="344"/>
      <c r="G432" s="344"/>
      <c r="H432" s="344"/>
      <c r="I432" s="344"/>
      <c r="J432" s="344"/>
      <c r="K432" s="344"/>
      <c r="L432" s="344"/>
      <c r="M432" s="344"/>
      <c r="N432" s="344"/>
      <c r="O432" s="344"/>
      <c r="P432" s="344"/>
      <c r="Q432" s="344"/>
    </row>
    <row r="433" spans="1:17" s="343" customFormat="1" ht="19.5" customHeight="1">
      <c r="A433" s="342"/>
      <c r="B433" s="344"/>
      <c r="C433" s="344"/>
      <c r="D433" s="344"/>
      <c r="E433" s="344"/>
      <c r="F433" s="344"/>
      <c r="G433" s="344"/>
      <c r="H433" s="344"/>
      <c r="I433" s="344"/>
      <c r="J433" s="344"/>
      <c r="K433" s="344"/>
      <c r="L433" s="344"/>
      <c r="M433" s="344"/>
      <c r="N433" s="344"/>
      <c r="O433" s="344"/>
      <c r="P433" s="344"/>
      <c r="Q433" s="344"/>
    </row>
    <row r="434" spans="1:17" s="343" customFormat="1" ht="19.5" customHeight="1">
      <c r="A434" s="342"/>
      <c r="B434" s="344"/>
      <c r="C434" s="344"/>
      <c r="D434" s="344"/>
      <c r="E434" s="344"/>
      <c r="F434" s="344"/>
      <c r="G434" s="344"/>
      <c r="H434" s="344"/>
      <c r="I434" s="344"/>
      <c r="J434" s="344"/>
      <c r="K434" s="344"/>
      <c r="L434" s="344"/>
      <c r="M434" s="344"/>
      <c r="N434" s="344"/>
      <c r="O434" s="344"/>
      <c r="P434" s="344"/>
      <c r="Q434" s="344"/>
    </row>
    <row r="435" spans="1:17" s="343" customFormat="1" ht="19.5" customHeight="1">
      <c r="A435" s="342"/>
      <c r="B435" s="344"/>
      <c r="C435" s="344"/>
      <c r="D435" s="344"/>
      <c r="E435" s="344"/>
      <c r="F435" s="344"/>
      <c r="G435" s="344"/>
      <c r="H435" s="344"/>
      <c r="I435" s="344"/>
      <c r="J435" s="344"/>
      <c r="K435" s="344"/>
      <c r="L435" s="344"/>
      <c r="M435" s="344"/>
      <c r="N435" s="344"/>
      <c r="O435" s="344"/>
      <c r="P435" s="344"/>
      <c r="Q435" s="344"/>
    </row>
    <row r="436" spans="1:17" s="343" customFormat="1" ht="19.5" customHeight="1">
      <c r="A436" s="342"/>
      <c r="B436" s="344"/>
      <c r="C436" s="344"/>
      <c r="D436" s="344"/>
      <c r="E436" s="344"/>
      <c r="F436" s="344"/>
      <c r="G436" s="344"/>
      <c r="H436" s="344"/>
      <c r="I436" s="344"/>
      <c r="J436" s="344"/>
      <c r="K436" s="344"/>
      <c r="L436" s="344"/>
      <c r="M436" s="344"/>
      <c r="N436" s="344"/>
      <c r="O436" s="344"/>
      <c r="P436" s="344"/>
      <c r="Q436" s="344"/>
    </row>
    <row r="437" spans="1:17" s="343" customFormat="1" ht="19.5" customHeight="1">
      <c r="A437" s="342"/>
      <c r="B437" s="344"/>
      <c r="C437" s="344"/>
      <c r="D437" s="344"/>
      <c r="E437" s="344"/>
      <c r="F437" s="344"/>
      <c r="G437" s="344"/>
      <c r="H437" s="344"/>
      <c r="I437" s="344"/>
      <c r="J437" s="344"/>
      <c r="K437" s="344"/>
      <c r="L437" s="344"/>
      <c r="M437" s="344"/>
      <c r="N437" s="344"/>
      <c r="O437" s="344"/>
      <c r="P437" s="344"/>
      <c r="Q437" s="344"/>
    </row>
    <row r="438" spans="1:17" s="343" customFormat="1" ht="19.5" customHeight="1">
      <c r="A438" s="342"/>
      <c r="B438" s="344"/>
      <c r="C438" s="344"/>
      <c r="D438" s="344"/>
      <c r="E438" s="344"/>
      <c r="F438" s="344"/>
      <c r="G438" s="344"/>
      <c r="H438" s="344"/>
      <c r="I438" s="344"/>
      <c r="J438" s="344"/>
      <c r="K438" s="344"/>
      <c r="L438" s="344"/>
      <c r="M438" s="344"/>
      <c r="N438" s="344"/>
      <c r="O438" s="344"/>
      <c r="P438" s="344"/>
      <c r="Q438" s="344"/>
    </row>
    <row r="439" spans="1:17" s="343" customFormat="1" ht="19.5" customHeight="1">
      <c r="A439" s="342"/>
      <c r="B439" s="344"/>
      <c r="C439" s="344"/>
      <c r="D439" s="344"/>
      <c r="E439" s="344"/>
      <c r="F439" s="344"/>
      <c r="G439" s="344"/>
      <c r="H439" s="344"/>
      <c r="I439" s="344"/>
      <c r="J439" s="344"/>
      <c r="K439" s="344"/>
      <c r="L439" s="344"/>
      <c r="M439" s="344"/>
      <c r="N439" s="344"/>
      <c r="O439" s="344"/>
      <c r="P439" s="344"/>
      <c r="Q439" s="344"/>
    </row>
    <row r="440" spans="1:17" s="343" customFormat="1" ht="19.5" customHeight="1">
      <c r="A440" s="342"/>
      <c r="B440" s="344"/>
      <c r="C440" s="344"/>
      <c r="D440" s="344"/>
      <c r="E440" s="344"/>
      <c r="F440" s="344"/>
      <c r="G440" s="344"/>
      <c r="H440" s="344"/>
      <c r="I440" s="344"/>
      <c r="J440" s="344"/>
      <c r="K440" s="344"/>
      <c r="L440" s="344"/>
      <c r="M440" s="344"/>
      <c r="N440" s="344"/>
      <c r="O440" s="344"/>
      <c r="P440" s="344"/>
      <c r="Q440" s="344"/>
    </row>
    <row r="441" spans="1:17" s="343" customFormat="1" ht="19.5" customHeight="1">
      <c r="A441" s="342"/>
      <c r="B441" s="344"/>
      <c r="C441" s="344"/>
      <c r="D441" s="344"/>
      <c r="E441" s="344"/>
      <c r="F441" s="344"/>
      <c r="G441" s="344"/>
      <c r="H441" s="344"/>
      <c r="I441" s="344"/>
      <c r="J441" s="344"/>
      <c r="K441" s="344"/>
      <c r="L441" s="344"/>
      <c r="M441" s="344"/>
      <c r="N441" s="344"/>
      <c r="O441" s="344"/>
      <c r="P441" s="344"/>
      <c r="Q441" s="344"/>
    </row>
    <row r="442" spans="1:17" s="343" customFormat="1" ht="19.5" customHeight="1">
      <c r="A442" s="342"/>
      <c r="B442" s="344"/>
      <c r="C442" s="344"/>
      <c r="D442" s="344"/>
      <c r="E442" s="344"/>
      <c r="F442" s="344"/>
      <c r="G442" s="344"/>
      <c r="H442" s="344"/>
      <c r="I442" s="344"/>
      <c r="J442" s="344"/>
      <c r="K442" s="344"/>
      <c r="L442" s="344"/>
      <c r="M442" s="344"/>
      <c r="N442" s="344"/>
      <c r="O442" s="344"/>
      <c r="P442" s="344"/>
      <c r="Q442" s="344"/>
    </row>
    <row r="443" spans="1:17" s="343" customFormat="1" ht="19.5" customHeight="1">
      <c r="A443" s="342"/>
      <c r="B443" s="344"/>
      <c r="C443" s="344"/>
      <c r="D443" s="344"/>
      <c r="E443" s="344"/>
      <c r="F443" s="344"/>
      <c r="G443" s="344"/>
      <c r="H443" s="344"/>
      <c r="I443" s="344"/>
      <c r="J443" s="344"/>
      <c r="K443" s="344"/>
      <c r="L443" s="344"/>
      <c r="M443" s="344"/>
      <c r="N443" s="344"/>
      <c r="O443" s="344"/>
      <c r="P443" s="344"/>
      <c r="Q443" s="344"/>
    </row>
    <row r="444" spans="1:17" s="343" customFormat="1" ht="19.5" customHeight="1">
      <c r="A444" s="342"/>
      <c r="B444" s="344"/>
      <c r="C444" s="344"/>
      <c r="D444" s="344"/>
      <c r="E444" s="344"/>
      <c r="F444" s="344"/>
      <c r="G444" s="344"/>
      <c r="H444" s="344"/>
      <c r="I444" s="344"/>
      <c r="J444" s="344"/>
      <c r="K444" s="344"/>
      <c r="L444" s="344"/>
      <c r="M444" s="344"/>
      <c r="N444" s="344"/>
      <c r="O444" s="344"/>
      <c r="P444" s="344"/>
      <c r="Q444" s="344"/>
    </row>
    <row r="445" spans="1:17" s="343" customFormat="1" ht="19.5" customHeight="1">
      <c r="A445" s="342"/>
      <c r="B445" s="344"/>
      <c r="C445" s="344"/>
      <c r="D445" s="344"/>
      <c r="E445" s="344"/>
      <c r="F445" s="344"/>
      <c r="G445" s="344"/>
      <c r="H445" s="344"/>
      <c r="I445" s="344"/>
      <c r="J445" s="344"/>
      <c r="K445" s="344"/>
      <c r="L445" s="344"/>
      <c r="M445" s="344"/>
      <c r="N445" s="344"/>
      <c r="O445" s="344"/>
      <c r="P445" s="344"/>
      <c r="Q445" s="344"/>
    </row>
    <row r="446" spans="1:17" s="343" customFormat="1" ht="19.5" customHeight="1">
      <c r="A446" s="342"/>
      <c r="B446" s="344"/>
      <c r="C446" s="344"/>
      <c r="D446" s="344"/>
      <c r="E446" s="344"/>
      <c r="F446" s="344"/>
      <c r="G446" s="344"/>
      <c r="H446" s="344"/>
      <c r="I446" s="344"/>
      <c r="J446" s="344"/>
      <c r="K446" s="344"/>
      <c r="L446" s="344"/>
      <c r="M446" s="344"/>
      <c r="N446" s="344"/>
      <c r="O446" s="344"/>
      <c r="P446" s="344"/>
      <c r="Q446" s="344"/>
    </row>
    <row r="447" spans="1:17" s="343" customFormat="1" ht="19.5" customHeight="1">
      <c r="A447" s="342"/>
      <c r="B447" s="344"/>
      <c r="C447" s="344"/>
      <c r="D447" s="344"/>
      <c r="E447" s="344"/>
      <c r="F447" s="344"/>
      <c r="G447" s="344"/>
      <c r="H447" s="344"/>
      <c r="I447" s="344"/>
      <c r="J447" s="344"/>
      <c r="K447" s="344"/>
      <c r="L447" s="344"/>
      <c r="M447" s="344"/>
      <c r="N447" s="344"/>
      <c r="O447" s="344"/>
      <c r="P447" s="344"/>
      <c r="Q447" s="344"/>
    </row>
    <row r="448" ht="19.5" customHeight="1"/>
    <row r="449" ht="9.75" customHeight="1"/>
  </sheetData>
  <sheetProtection/>
  <mergeCells count="16">
    <mergeCell ref="A33:B33"/>
    <mergeCell ref="E8:G8"/>
    <mergeCell ref="C8:C10"/>
    <mergeCell ref="D8:D10"/>
    <mergeCell ref="A10:A11"/>
    <mergeCell ref="B10:B11"/>
    <mergeCell ref="A6:Q6"/>
    <mergeCell ref="A7:Q7"/>
    <mergeCell ref="Q8:Q9"/>
    <mergeCell ref="A8:B9"/>
    <mergeCell ref="K8:O8"/>
    <mergeCell ref="A2:Q2"/>
    <mergeCell ref="H8:I8"/>
    <mergeCell ref="A3:Q3"/>
    <mergeCell ref="A4:Q4"/>
    <mergeCell ref="P8:P9"/>
  </mergeCells>
  <conditionalFormatting sqref="K10:N10 E10:F10 H11:J11 B13:J32">
    <cfRule type="cellIs" priority="82" dxfId="0" operator="equal">
      <formula>0</formula>
    </cfRule>
  </conditionalFormatting>
  <conditionalFormatting sqref="A10:B10">
    <cfRule type="cellIs" priority="74" dxfId="0" operator="equal">
      <formula>0</formula>
    </cfRule>
  </conditionalFormatting>
  <conditionalFormatting sqref="K13:Q32">
    <cfRule type="cellIs" priority="77" dxfId="0" operator="equal">
      <formula>0</formula>
    </cfRule>
  </conditionalFormatting>
  <conditionalFormatting sqref="I10:J10">
    <cfRule type="cellIs" priority="76" dxfId="0" operator="equal">
      <formula>0</formula>
    </cfRule>
  </conditionalFormatting>
  <conditionalFormatting sqref="O10:Q10">
    <cfRule type="cellIs" priority="43" dxfId="0" operator="equal">
      <formula>0</formula>
    </cfRule>
  </conditionalFormatting>
  <conditionalFormatting sqref="H10">
    <cfRule type="cellIs" priority="42" dxfId="0" operator="equal">
      <formula>0</formula>
    </cfRule>
  </conditionalFormatting>
  <conditionalFormatting sqref="G10">
    <cfRule type="cellIs" priority="15" dxfId="0" operator="equal">
      <formula>0</formula>
    </cfRule>
  </conditionalFormatting>
  <conditionalFormatting sqref="E11:G11">
    <cfRule type="cellIs" priority="11" dxfId="0" operator="equal">
      <formula>0</formula>
    </cfRule>
  </conditionalFormatting>
  <conditionalFormatting sqref="K11:Q11">
    <cfRule type="cellIs" priority="10" dxfId="0" operator="equal">
      <formula>0</formula>
    </cfRule>
  </conditionalFormatting>
  <conditionalFormatting sqref="C11:D11">
    <cfRule type="cellIs" priority="8" dxfId="0" operator="equal">
      <formula>0</formula>
    </cfRule>
  </conditionalFormatting>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30" r:id="rId4"/>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IQ30"/>
  <sheetViews>
    <sheetView view="pageBreakPreview" zoomScale="85" zoomScaleNormal="85" zoomScaleSheetLayoutView="85" zoomScalePageLayoutView="0" workbookViewId="0" topLeftCell="A1">
      <selection activeCell="A12" sqref="A12:L30"/>
    </sheetView>
  </sheetViews>
  <sheetFormatPr defaultColWidth="12.00390625" defaultRowHeight="12.75"/>
  <cols>
    <col min="1" max="1" width="8.28125" style="54" customWidth="1"/>
    <col min="2" max="2" width="29.421875" style="54" customWidth="1"/>
    <col min="3" max="3" width="12.28125" style="54" bestFit="1" customWidth="1"/>
    <col min="4" max="4" width="14.7109375" style="54" customWidth="1"/>
    <col min="5" max="12" width="16.7109375" style="54" customWidth="1"/>
    <col min="13" max="13" width="17.7109375" style="54" customWidth="1"/>
    <col min="14" max="247" width="9.140625" style="54" customWidth="1"/>
    <col min="248" max="248" width="8.28125" style="54" customWidth="1"/>
    <col min="249" max="249" width="31.140625" style="54" customWidth="1"/>
    <col min="250" max="250" width="8.140625" style="54" customWidth="1"/>
    <col min="251" max="251" width="12.00390625" style="54" customWidth="1"/>
    <col min="252" max="16384" width="12.00390625" style="100" customWidth="1"/>
  </cols>
  <sheetData>
    <row r="1" spans="1:12" ht="12.75">
      <c r="A1" s="50"/>
      <c r="B1" s="51"/>
      <c r="C1" s="51"/>
      <c r="D1" s="51"/>
      <c r="E1" s="51"/>
      <c r="F1" s="51"/>
      <c r="G1" s="51"/>
      <c r="H1" s="51"/>
      <c r="I1" s="51"/>
      <c r="J1" s="51"/>
      <c r="K1" s="51"/>
      <c r="L1" s="52"/>
    </row>
    <row r="2" spans="1:12" ht="24.75" customHeight="1">
      <c r="A2" s="725" t="s">
        <v>20</v>
      </c>
      <c r="B2" s="726"/>
      <c r="C2" s="726"/>
      <c r="D2" s="726"/>
      <c r="E2" s="726"/>
      <c r="F2" s="726"/>
      <c r="G2" s="726"/>
      <c r="H2" s="726"/>
      <c r="I2" s="726"/>
      <c r="J2" s="726"/>
      <c r="K2" s="726"/>
      <c r="L2" s="727"/>
    </row>
    <row r="3" spans="1:251" ht="15">
      <c r="A3" s="728" t="s">
        <v>199</v>
      </c>
      <c r="B3" s="729"/>
      <c r="C3" s="729"/>
      <c r="D3" s="729"/>
      <c r="E3" s="729"/>
      <c r="F3" s="729"/>
      <c r="G3" s="729"/>
      <c r="H3" s="729"/>
      <c r="I3" s="729"/>
      <c r="J3" s="729"/>
      <c r="K3" s="729"/>
      <c r="L3" s="730"/>
      <c r="M3" s="101"/>
      <c r="N3" s="101"/>
      <c r="O3" s="101"/>
      <c r="P3" s="101"/>
      <c r="Q3" s="101"/>
      <c r="R3" s="101"/>
      <c r="S3" s="101"/>
      <c r="T3" s="101"/>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row>
    <row r="4" spans="1:251" ht="15">
      <c r="A4" s="731" t="s">
        <v>19</v>
      </c>
      <c r="B4" s="732"/>
      <c r="C4" s="732"/>
      <c r="D4" s="732"/>
      <c r="E4" s="732"/>
      <c r="F4" s="732"/>
      <c r="G4" s="732"/>
      <c r="H4" s="732"/>
      <c r="I4" s="732"/>
      <c r="J4" s="732"/>
      <c r="K4" s="732"/>
      <c r="L4" s="733"/>
      <c r="M4" s="101"/>
      <c r="N4" s="101"/>
      <c r="O4" s="101"/>
      <c r="P4" s="101"/>
      <c r="Q4" s="101"/>
      <c r="R4" s="101"/>
      <c r="S4" s="101"/>
      <c r="T4" s="101"/>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row>
    <row r="5" spans="1:251" ht="13.5" thickBot="1">
      <c r="A5" s="734"/>
      <c r="B5" s="735"/>
      <c r="C5" s="735"/>
      <c r="D5" s="735"/>
      <c r="E5" s="735"/>
      <c r="F5" s="735"/>
      <c r="G5" s="735"/>
      <c r="H5" s="735"/>
      <c r="I5" s="735"/>
      <c r="J5" s="735"/>
      <c r="K5" s="735"/>
      <c r="L5" s="736"/>
      <c r="M5" s="101"/>
      <c r="N5" s="101"/>
      <c r="O5" s="101"/>
      <c r="P5" s="101"/>
      <c r="Q5" s="101"/>
      <c r="R5" s="101"/>
      <c r="S5" s="101"/>
      <c r="T5" s="101"/>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row>
    <row r="6" spans="1:251" ht="20.25" thickBot="1" thickTop="1">
      <c r="A6" s="737" t="s">
        <v>223</v>
      </c>
      <c r="B6" s="738"/>
      <c r="C6" s="738"/>
      <c r="D6" s="738"/>
      <c r="E6" s="738"/>
      <c r="F6" s="738"/>
      <c r="G6" s="738"/>
      <c r="H6" s="738"/>
      <c r="I6" s="738"/>
      <c r="J6" s="738"/>
      <c r="K6" s="738"/>
      <c r="L6" s="739"/>
      <c r="M6" s="101"/>
      <c r="N6" s="101"/>
      <c r="O6" s="101"/>
      <c r="P6" s="101"/>
      <c r="Q6" s="101"/>
      <c r="R6" s="101"/>
      <c r="S6" s="101"/>
      <c r="T6" s="101"/>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row>
    <row r="7" spans="1:20" ht="38.25" customHeight="1" thickTop="1">
      <c r="A7" s="742" t="str">
        <f>'ORÇAMENTO GERAL'!C7</f>
        <v>EXECUÇÃO DOS SERVIÇOS DE DRENAGEM SUPERFICIAL E PROFUNDA NA RUA DO PORTO E RUA DO PORTO 2 - DISTRITO INDUSTRIAL - NO MUNICÍPIO DE ANANINDEUA - PA.</v>
      </c>
      <c r="B7" s="743"/>
      <c r="C7" s="743"/>
      <c r="D7" s="743"/>
      <c r="E7" s="743"/>
      <c r="F7" s="743"/>
      <c r="G7" s="743"/>
      <c r="H7" s="743"/>
      <c r="I7" s="743"/>
      <c r="J7" s="743"/>
      <c r="K7" s="743"/>
      <c r="L7" s="744"/>
      <c r="M7" s="102"/>
      <c r="N7" s="102"/>
      <c r="O7" s="102"/>
      <c r="P7" s="102"/>
      <c r="Q7" s="102"/>
      <c r="R7" s="102"/>
      <c r="S7" s="102"/>
      <c r="T7" s="102"/>
    </row>
    <row r="8" spans="1:20" ht="3" customHeight="1" thickBot="1">
      <c r="A8" s="107"/>
      <c r="B8" s="108"/>
      <c r="C8" s="108"/>
      <c r="D8" s="108"/>
      <c r="E8" s="108"/>
      <c r="F8" s="108"/>
      <c r="G8" s="108"/>
      <c r="H8" s="108"/>
      <c r="I8" s="108"/>
      <c r="J8" s="109"/>
      <c r="K8" s="108"/>
      <c r="L8" s="109"/>
      <c r="M8" s="102"/>
      <c r="N8" s="102"/>
      <c r="O8" s="102"/>
      <c r="P8" s="102"/>
      <c r="Q8" s="102"/>
      <c r="R8" s="102"/>
      <c r="S8" s="102"/>
      <c r="T8" s="102"/>
    </row>
    <row r="9" spans="1:12" ht="15.75">
      <c r="A9" s="724" t="s">
        <v>7</v>
      </c>
      <c r="B9" s="722" t="s">
        <v>224</v>
      </c>
      <c r="C9" s="722" t="s">
        <v>225</v>
      </c>
      <c r="D9" s="740" t="s">
        <v>226</v>
      </c>
      <c r="E9" s="974" t="s">
        <v>227</v>
      </c>
      <c r="F9" s="975"/>
      <c r="G9" s="975"/>
      <c r="H9" s="975"/>
      <c r="I9" s="975"/>
      <c r="J9" s="975"/>
      <c r="K9" s="975"/>
      <c r="L9" s="976"/>
    </row>
    <row r="10" spans="1:12" ht="15.75">
      <c r="A10" s="721"/>
      <c r="B10" s="723" t="s">
        <v>224</v>
      </c>
      <c r="C10" s="723" t="s">
        <v>228</v>
      </c>
      <c r="D10" s="741"/>
      <c r="E10" s="977">
        <v>1</v>
      </c>
      <c r="F10" s="978"/>
      <c r="G10" s="979">
        <v>2</v>
      </c>
      <c r="H10" s="978"/>
      <c r="I10" s="979">
        <v>3</v>
      </c>
      <c r="J10" s="978"/>
      <c r="K10" s="979">
        <v>4</v>
      </c>
      <c r="L10" s="978"/>
    </row>
    <row r="11" spans="1:12" ht="12.75">
      <c r="A11" s="721"/>
      <c r="B11" s="723"/>
      <c r="C11" s="723"/>
      <c r="D11" s="741"/>
      <c r="E11" s="103" t="s">
        <v>228</v>
      </c>
      <c r="F11" s="104" t="s">
        <v>229</v>
      </c>
      <c r="G11" s="105" t="s">
        <v>228</v>
      </c>
      <c r="H11" s="104" t="s">
        <v>229</v>
      </c>
      <c r="I11" s="105" t="s">
        <v>228</v>
      </c>
      <c r="J11" s="104" t="s">
        <v>229</v>
      </c>
      <c r="K11" s="105" t="s">
        <v>228</v>
      </c>
      <c r="L11" s="104" t="s">
        <v>229</v>
      </c>
    </row>
    <row r="12" spans="1:13" ht="54.75" customHeight="1">
      <c r="A12" s="980">
        <f>'ORÇAMENTO GERAL'!C10</f>
        <v>1</v>
      </c>
      <c r="B12" s="981" t="str">
        <f>'ORÇAMENTO GERAL'!D10</f>
        <v>SERVIÇOS PRELIMINARES</v>
      </c>
      <c r="C12" s="982">
        <f>D12/$D$29</f>
        <v>0.0156</v>
      </c>
      <c r="D12" s="983">
        <f>'ORÇAMENTO GERAL'!K16</f>
        <v>5087.19</v>
      </c>
      <c r="E12" s="984">
        <v>0.25</v>
      </c>
      <c r="F12" s="985">
        <f>ROUND($D12*E12,2)</f>
        <v>1271.8</v>
      </c>
      <c r="G12" s="986">
        <v>0.25</v>
      </c>
      <c r="H12" s="985">
        <f>ROUND($D12*G12,2)</f>
        <v>1271.8</v>
      </c>
      <c r="I12" s="986">
        <v>0.25</v>
      </c>
      <c r="J12" s="985">
        <f>ROUND($D12*I12,2)</f>
        <v>1271.8</v>
      </c>
      <c r="K12" s="986">
        <v>0.25</v>
      </c>
      <c r="L12" s="985">
        <f>ROUND($D12*K12,2)</f>
        <v>1271.8</v>
      </c>
      <c r="M12" s="106">
        <f>E12+G12+I12+K12</f>
        <v>1</v>
      </c>
    </row>
    <row r="13" spans="1:13" ht="6" customHeight="1">
      <c r="A13" s="980"/>
      <c r="B13" s="981"/>
      <c r="C13" s="982"/>
      <c r="D13" s="983"/>
      <c r="E13" s="987"/>
      <c r="F13" s="988"/>
      <c r="G13" s="989"/>
      <c r="H13" s="988"/>
      <c r="I13" s="990"/>
      <c r="J13" s="988"/>
      <c r="K13" s="990"/>
      <c r="L13" s="988"/>
      <c r="M13" s="106">
        <f aca="true" t="shared" si="0" ref="M13:M27">E13+G13+I13+K13</f>
        <v>0</v>
      </c>
    </row>
    <row r="14" spans="1:13" ht="30" customHeight="1" hidden="1">
      <c r="A14" s="980">
        <f>'ORÇAMENTO GERAL'!C17</f>
        <v>2</v>
      </c>
      <c r="B14" s="981" t="str">
        <f>'ORÇAMENTO GERAL'!D17</f>
        <v>DEMOLIÇÕES E RETIRADAS</v>
      </c>
      <c r="C14" s="982">
        <f>D14/$D$29</f>
        <v>0</v>
      </c>
      <c r="D14" s="983">
        <f>'ORÇAMENTO GERAL'!K20</f>
        <v>0</v>
      </c>
      <c r="E14" s="984">
        <v>0.25</v>
      </c>
      <c r="F14" s="985">
        <f>ROUND($D14*E14,2)</f>
        <v>0</v>
      </c>
      <c r="G14" s="986">
        <v>0.25</v>
      </c>
      <c r="H14" s="985">
        <f>ROUND($D14*G14,2)</f>
        <v>0</v>
      </c>
      <c r="I14" s="986">
        <v>0.25</v>
      </c>
      <c r="J14" s="985">
        <f>ROUND($D14*I14,2)</f>
        <v>0</v>
      </c>
      <c r="K14" s="986">
        <v>0.25</v>
      </c>
      <c r="L14" s="985">
        <f>ROUND($D14*K14,2)</f>
        <v>0</v>
      </c>
      <c r="M14" s="106">
        <f>E14+G14+I14+K14</f>
        <v>1</v>
      </c>
    </row>
    <row r="15" spans="1:13" ht="6" customHeight="1" hidden="1">
      <c r="A15" s="980"/>
      <c r="B15" s="981"/>
      <c r="C15" s="982"/>
      <c r="D15" s="983"/>
      <c r="E15" s="987"/>
      <c r="F15" s="988"/>
      <c r="G15" s="989"/>
      <c r="H15" s="988"/>
      <c r="I15" s="990"/>
      <c r="J15" s="988"/>
      <c r="K15" s="990"/>
      <c r="L15" s="988"/>
      <c r="M15" s="106">
        <f>E15+G15+I15+K15</f>
        <v>0</v>
      </c>
    </row>
    <row r="16" spans="1:13" ht="54.75" customHeight="1">
      <c r="A16" s="980">
        <f>'ORÇAMENTO GERAL'!C21</f>
        <v>2</v>
      </c>
      <c r="B16" s="981" t="str">
        <f>'ORÇAMENTO GERAL'!D21</f>
        <v>DISPOSITIVOS DE DRENAGEM SUPERFICIAL</v>
      </c>
      <c r="C16" s="982">
        <f>D16/$D$29</f>
        <v>0.2257</v>
      </c>
      <c r="D16" s="983">
        <f>'ORÇAMENTO GERAL'!K26</f>
        <v>73710.94</v>
      </c>
      <c r="E16" s="984"/>
      <c r="F16" s="985">
        <f>ROUND($D16*E16,2)</f>
        <v>0</v>
      </c>
      <c r="G16" s="991">
        <v>0.3</v>
      </c>
      <c r="H16" s="985">
        <f>ROUND($D16*G16,2)</f>
        <v>22113.28</v>
      </c>
      <c r="I16" s="991">
        <v>0.4</v>
      </c>
      <c r="J16" s="985">
        <f>ROUND($D16*I16,2)</f>
        <v>29484.38</v>
      </c>
      <c r="K16" s="991">
        <v>0.3</v>
      </c>
      <c r="L16" s="985">
        <f>ROUND($D16*K16,2)</f>
        <v>22113.28</v>
      </c>
      <c r="M16" s="106">
        <f t="shared" si="0"/>
        <v>1</v>
      </c>
    </row>
    <row r="17" spans="1:13" ht="6" customHeight="1">
      <c r="A17" s="980"/>
      <c r="B17" s="981"/>
      <c r="C17" s="982"/>
      <c r="D17" s="983"/>
      <c r="E17" s="984"/>
      <c r="F17" s="985"/>
      <c r="G17" s="989"/>
      <c r="H17" s="988"/>
      <c r="I17" s="990"/>
      <c r="J17" s="988"/>
      <c r="K17" s="990"/>
      <c r="L17" s="988"/>
      <c r="M17" s="106">
        <f t="shared" si="0"/>
        <v>0</v>
      </c>
    </row>
    <row r="18" spans="1:13" ht="54.75" customHeight="1">
      <c r="A18" s="980">
        <f>'ORÇAMENTO GERAL'!C27</f>
        <v>3</v>
      </c>
      <c r="B18" s="981" t="str">
        <f>'ORÇAMENTO GERAL'!F27</f>
        <v>DISPOSITIVOS DE DRENAGEM PROFUNDA</v>
      </c>
      <c r="C18" s="982">
        <f>D18/$D$29</f>
        <v>0.7587</v>
      </c>
      <c r="D18" s="983">
        <f>'ORÇAMENTO GERAL'!K98</f>
        <v>247730.28</v>
      </c>
      <c r="E18" s="984">
        <v>0.25</v>
      </c>
      <c r="F18" s="985">
        <f>ROUND($D18*E18,2)</f>
        <v>61932.57</v>
      </c>
      <c r="G18" s="991">
        <v>0.3</v>
      </c>
      <c r="H18" s="985">
        <f>ROUND($D18*G18,2)</f>
        <v>74319.08</v>
      </c>
      <c r="I18" s="991">
        <v>0.3</v>
      </c>
      <c r="J18" s="985">
        <f>ROUND($D18*I18,2)</f>
        <v>74319.08</v>
      </c>
      <c r="K18" s="991">
        <v>0.15</v>
      </c>
      <c r="L18" s="985">
        <f>ROUND($D18*K18,2)</f>
        <v>37159.54</v>
      </c>
      <c r="M18" s="106">
        <f t="shared" si="0"/>
        <v>1</v>
      </c>
    </row>
    <row r="19" spans="1:13" ht="6" customHeight="1">
      <c r="A19" s="980"/>
      <c r="B19" s="981"/>
      <c r="C19" s="982"/>
      <c r="D19" s="983"/>
      <c r="E19" s="987"/>
      <c r="F19" s="988"/>
      <c r="G19" s="989"/>
      <c r="H19" s="988"/>
      <c r="I19" s="990"/>
      <c r="J19" s="988"/>
      <c r="K19" s="990"/>
      <c r="L19" s="988"/>
      <c r="M19" s="106">
        <f t="shared" si="0"/>
        <v>0</v>
      </c>
    </row>
    <row r="20" spans="1:13" ht="30" customHeight="1" hidden="1">
      <c r="A20" s="980">
        <f>'ORÇAMENTO GERAL'!C99</f>
        <v>5</v>
      </c>
      <c r="B20" s="981" t="str">
        <f>'ORÇAMENTO GERAL'!F99</f>
        <v>SERVIÇOS DE TERRAPLENAGEM</v>
      </c>
      <c r="C20" s="982">
        <f>D20/$D$29</f>
        <v>0</v>
      </c>
      <c r="D20" s="983">
        <f>'ORÇAMENTO GERAL'!K104</f>
        <v>0</v>
      </c>
      <c r="E20" s="984"/>
      <c r="F20" s="985">
        <f>ROUND($D20*E20,2)</f>
        <v>0</v>
      </c>
      <c r="G20" s="986">
        <v>0.2</v>
      </c>
      <c r="H20" s="985">
        <f>ROUND($D20*G20,2)</f>
        <v>0</v>
      </c>
      <c r="I20" s="986">
        <v>0.5</v>
      </c>
      <c r="J20" s="985">
        <f>ROUND($D20*I20,2)</f>
        <v>0</v>
      </c>
      <c r="K20" s="986">
        <v>0.3</v>
      </c>
      <c r="L20" s="985">
        <f>ROUND($D20*K20,2)</f>
        <v>0</v>
      </c>
      <c r="M20" s="106">
        <f t="shared" si="0"/>
        <v>1</v>
      </c>
    </row>
    <row r="21" spans="1:13" ht="6" customHeight="1" hidden="1">
      <c r="A21" s="980"/>
      <c r="B21" s="981"/>
      <c r="C21" s="982"/>
      <c r="D21" s="983"/>
      <c r="E21" s="992"/>
      <c r="F21" s="985"/>
      <c r="G21" s="989"/>
      <c r="H21" s="988"/>
      <c r="I21" s="990"/>
      <c r="J21" s="988"/>
      <c r="K21" s="990"/>
      <c r="L21" s="988"/>
      <c r="M21" s="106">
        <f t="shared" si="0"/>
        <v>0</v>
      </c>
    </row>
    <row r="22" spans="1:13" ht="30" customHeight="1" hidden="1">
      <c r="A22" s="980">
        <f>'ORÇAMENTO GERAL'!C105</f>
        <v>6</v>
      </c>
      <c r="B22" s="981" t="str">
        <f>'ORÇAMENTO GERAL'!F105</f>
        <v>SERVIÇOS DE CAIXA PRIMÁRIA</v>
      </c>
      <c r="C22" s="982">
        <f>D22/$D$29</f>
        <v>0</v>
      </c>
      <c r="D22" s="983">
        <f>'ORÇAMENTO GERAL'!K114</f>
        <v>0</v>
      </c>
      <c r="E22" s="984"/>
      <c r="F22" s="985">
        <f>ROUND($D22*E22,2)</f>
        <v>0</v>
      </c>
      <c r="G22" s="991">
        <v>0.2</v>
      </c>
      <c r="H22" s="985">
        <f>ROUND($D22*G22,2)</f>
        <v>0</v>
      </c>
      <c r="I22" s="991">
        <v>0.5</v>
      </c>
      <c r="J22" s="985">
        <f>ROUND($D22*I22,2)</f>
        <v>0</v>
      </c>
      <c r="K22" s="991">
        <v>0.3</v>
      </c>
      <c r="L22" s="985">
        <f>ROUND($D22*K22,2)</f>
        <v>0</v>
      </c>
      <c r="M22" s="106">
        <f t="shared" si="0"/>
        <v>1</v>
      </c>
    </row>
    <row r="23" spans="1:13" ht="6" customHeight="1" hidden="1">
      <c r="A23" s="980"/>
      <c r="B23" s="981"/>
      <c r="C23" s="982"/>
      <c r="D23" s="983"/>
      <c r="E23" s="984"/>
      <c r="F23" s="985"/>
      <c r="G23" s="989"/>
      <c r="H23" s="988"/>
      <c r="I23" s="990"/>
      <c r="J23" s="988"/>
      <c r="K23" s="990"/>
      <c r="L23" s="988"/>
      <c r="M23" s="106">
        <f t="shared" si="0"/>
        <v>0</v>
      </c>
    </row>
    <row r="24" spans="1:13" ht="30" customHeight="1" hidden="1">
      <c r="A24" s="980">
        <f>'ORÇAMENTO GERAL'!C115</f>
        <v>7</v>
      </c>
      <c r="B24" s="981" t="str">
        <f>'ORÇAMENTO GERAL'!F115</f>
        <v>SERVIÇOS DE REVESTIMENTO</v>
      </c>
      <c r="C24" s="982">
        <f>D24/$D$29</f>
        <v>0</v>
      </c>
      <c r="D24" s="983">
        <f>'ORÇAMENTO GERAL'!K123</f>
        <v>0</v>
      </c>
      <c r="E24" s="984"/>
      <c r="F24" s="985">
        <f>ROUND($D24*E24,2)</f>
        <v>0</v>
      </c>
      <c r="G24" s="991"/>
      <c r="H24" s="985">
        <f>ROUND($D24*G24,2)</f>
        <v>0</v>
      </c>
      <c r="I24" s="991">
        <v>0.5</v>
      </c>
      <c r="J24" s="985">
        <f>ROUND($D24*I24,2)</f>
        <v>0</v>
      </c>
      <c r="K24" s="991">
        <v>0.5</v>
      </c>
      <c r="L24" s="985">
        <f>ROUND($D24*K24,2)</f>
        <v>0</v>
      </c>
      <c r="M24" s="106">
        <f t="shared" si="0"/>
        <v>1</v>
      </c>
    </row>
    <row r="25" spans="1:13" ht="6" customHeight="1" hidden="1">
      <c r="A25" s="980"/>
      <c r="B25" s="981"/>
      <c r="C25" s="982"/>
      <c r="D25" s="983"/>
      <c r="E25" s="993"/>
      <c r="F25" s="994"/>
      <c r="G25" s="995"/>
      <c r="H25" s="994"/>
      <c r="I25" s="996"/>
      <c r="J25" s="997"/>
      <c r="K25" s="996"/>
      <c r="L25" s="997"/>
      <c r="M25" s="106">
        <f t="shared" si="0"/>
        <v>0</v>
      </c>
    </row>
    <row r="26" spans="1:13" ht="30" customHeight="1" hidden="1">
      <c r="A26" s="980">
        <f>'ORÇAMENTO GERAL'!C124</f>
        <v>8</v>
      </c>
      <c r="B26" s="981" t="str">
        <f>'ORÇAMENTO GERAL'!F124</f>
        <v>LIMPEZA FINAL</v>
      </c>
      <c r="C26" s="982">
        <f>D26/$D$29</f>
        <v>0</v>
      </c>
      <c r="D26" s="983">
        <f>'ORÇAMENTO GERAL'!K126</f>
        <v>0</v>
      </c>
      <c r="E26" s="984"/>
      <c r="F26" s="985">
        <f>ROUND($D26*E26,2)</f>
        <v>0</v>
      </c>
      <c r="G26" s="991"/>
      <c r="H26" s="985">
        <f>ROUND($D26*G26,2)</f>
        <v>0</v>
      </c>
      <c r="I26" s="991">
        <v>0.5</v>
      </c>
      <c r="J26" s="985">
        <f>ROUND($D26*I26,2)</f>
        <v>0</v>
      </c>
      <c r="K26" s="991">
        <v>0.5</v>
      </c>
      <c r="L26" s="985">
        <f>ROUND($D26*K26,2)</f>
        <v>0</v>
      </c>
      <c r="M26" s="106">
        <f t="shared" si="0"/>
        <v>1</v>
      </c>
    </row>
    <row r="27" spans="1:13" ht="6" customHeight="1" hidden="1">
      <c r="A27" s="980"/>
      <c r="B27" s="981"/>
      <c r="C27" s="982"/>
      <c r="D27" s="983"/>
      <c r="E27" s="993"/>
      <c r="F27" s="994"/>
      <c r="G27" s="995"/>
      <c r="H27" s="994"/>
      <c r="I27" s="996"/>
      <c r="J27" s="997"/>
      <c r="K27" s="996"/>
      <c r="L27" s="997"/>
      <c r="M27" s="106">
        <f t="shared" si="0"/>
        <v>0</v>
      </c>
    </row>
    <row r="28" spans="1:12" ht="15">
      <c r="A28" s="998"/>
      <c r="B28" s="999"/>
      <c r="C28" s="1000"/>
      <c r="D28" s="1001"/>
      <c r="E28" s="1002"/>
      <c r="F28" s="1003"/>
      <c r="G28" s="553"/>
      <c r="H28" s="1003"/>
      <c r="I28" s="553"/>
      <c r="J28" s="1003"/>
      <c r="K28" s="553"/>
      <c r="L28" s="1003"/>
    </row>
    <row r="29" spans="1:12" ht="54.75" customHeight="1">
      <c r="A29" s="980" t="s">
        <v>24</v>
      </c>
      <c r="B29" s="424" t="s">
        <v>230</v>
      </c>
      <c r="C29" s="982">
        <f>ROUND(SUM(C12:C27),2)</f>
        <v>1</v>
      </c>
      <c r="D29" s="983">
        <f>ROUND(SUM(D12:D27),2)</f>
        <v>326528.41</v>
      </c>
      <c r="E29" s="1004">
        <f>F29/$D$29</f>
        <v>0.1936</v>
      </c>
      <c r="F29" s="1005">
        <f>F12+F14+F16+F18+F20+F22+F24+F26</f>
        <v>63204.37</v>
      </c>
      <c r="G29" s="1006">
        <f>H29/D29</f>
        <v>0.2992</v>
      </c>
      <c r="H29" s="1005">
        <f>H12+H14+H16+H18+H20+H22+H24+H26</f>
        <v>97704.16</v>
      </c>
      <c r="I29" s="1006">
        <f>J29/D29</f>
        <v>0.3218</v>
      </c>
      <c r="J29" s="1005">
        <f>J12+J14+J16+J18+J20+J22+J24+J26</f>
        <v>105075.26</v>
      </c>
      <c r="K29" s="1006">
        <f>L29/D29</f>
        <v>0.1854</v>
      </c>
      <c r="L29" s="1005">
        <f>L12+L14+L16+L18+L20+L22+L24+L26</f>
        <v>60544.62</v>
      </c>
    </row>
    <row r="30" spans="1:12" ht="54.75" customHeight="1" thickBot="1">
      <c r="A30" s="1007"/>
      <c r="B30" s="1008" t="s">
        <v>231</v>
      </c>
      <c r="C30" s="1009">
        <v>1</v>
      </c>
      <c r="D30" s="1010">
        <v>528609.19</v>
      </c>
      <c r="E30" s="1011">
        <f>F30/$D$29</f>
        <v>0.1936</v>
      </c>
      <c r="F30" s="1012">
        <f>F29</f>
        <v>63204.37</v>
      </c>
      <c r="G30" s="1013">
        <f>H30/$D$29</f>
        <v>0.4928</v>
      </c>
      <c r="H30" s="1012">
        <f>F30+H29</f>
        <v>160908.53</v>
      </c>
      <c r="I30" s="1013">
        <f>J30/$D$29</f>
        <v>0.8146</v>
      </c>
      <c r="J30" s="1012">
        <f>H30+J29</f>
        <v>265983.79</v>
      </c>
      <c r="K30" s="1013">
        <f>L30/$D$29</f>
        <v>1</v>
      </c>
      <c r="L30" s="1012">
        <f>J30+L29</f>
        <v>326528.41</v>
      </c>
    </row>
  </sheetData>
  <sheetProtection/>
  <mergeCells count="50">
    <mergeCell ref="C9:C11"/>
    <mergeCell ref="A2:L2"/>
    <mergeCell ref="A3:L3"/>
    <mergeCell ref="A4:L4"/>
    <mergeCell ref="A5:L5"/>
    <mergeCell ref="A6:L6"/>
    <mergeCell ref="E10:F10"/>
    <mergeCell ref="D9:D11"/>
    <mergeCell ref="E9:L9"/>
    <mergeCell ref="A7:L7"/>
    <mergeCell ref="I10:J10"/>
    <mergeCell ref="A14:A15"/>
    <mergeCell ref="B14:B15"/>
    <mergeCell ref="G10:H10"/>
    <mergeCell ref="K10:L10"/>
    <mergeCell ref="A12:A13"/>
    <mergeCell ref="B12:B13"/>
    <mergeCell ref="C12:C13"/>
    <mergeCell ref="D12:D13"/>
    <mergeCell ref="A9:A11"/>
    <mergeCell ref="B9:B11"/>
    <mergeCell ref="C24:C25"/>
    <mergeCell ref="A22:A23"/>
    <mergeCell ref="B22:B23"/>
    <mergeCell ref="C22:C23"/>
    <mergeCell ref="D16:D17"/>
    <mergeCell ref="A18:A19"/>
    <mergeCell ref="B18:B19"/>
    <mergeCell ref="C18:C19"/>
    <mergeCell ref="D18:D19"/>
    <mergeCell ref="A26:A27"/>
    <mergeCell ref="B26:B27"/>
    <mergeCell ref="C26:C27"/>
    <mergeCell ref="C14:C15"/>
    <mergeCell ref="D14:D15"/>
    <mergeCell ref="A16:A17"/>
    <mergeCell ref="B16:B17"/>
    <mergeCell ref="C16:C17"/>
    <mergeCell ref="C20:C21"/>
    <mergeCell ref="B24:B25"/>
    <mergeCell ref="A29:A30"/>
    <mergeCell ref="C29:C30"/>
    <mergeCell ref="D29:D30"/>
    <mergeCell ref="D26:D27"/>
    <mergeCell ref="A20:A21"/>
    <mergeCell ref="B20:B21"/>
    <mergeCell ref="D24:D25"/>
    <mergeCell ref="D20:D21"/>
    <mergeCell ref="D22:D23"/>
    <mergeCell ref="A24:A25"/>
  </mergeCells>
  <printOptions horizontalCentered="1"/>
  <pageMargins left="0.5118110236220472" right="0.5118110236220472" top="0.7874015748031497" bottom="0.7874015748031497" header="0.31496062992125984" footer="0.31496062992125984"/>
  <pageSetup fitToHeight="1" fitToWidth="1"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K27"/>
  <sheetViews>
    <sheetView view="pageBreakPreview" zoomScaleNormal="85" zoomScaleSheetLayoutView="100" zoomScalePageLayoutView="0" workbookViewId="0" topLeftCell="A1">
      <selection activeCell="A9" sqref="A9"/>
    </sheetView>
  </sheetViews>
  <sheetFormatPr defaultColWidth="9.140625" defaultRowHeight="12.75"/>
  <cols>
    <col min="1" max="1" width="9.28125" style="2" bestFit="1" customWidth="1"/>
    <col min="2" max="7" width="9.140625" style="2" customWidth="1"/>
    <col min="8" max="8" width="9.28125" style="2" bestFit="1" customWidth="1"/>
    <col min="9" max="9" width="11.421875" style="2" bestFit="1" customWidth="1"/>
    <col min="10" max="10" width="9.140625" style="2" customWidth="1"/>
    <col min="11" max="11" width="11.57421875" style="2" bestFit="1" customWidth="1"/>
    <col min="12" max="16384" width="9.140625" style="2" customWidth="1"/>
  </cols>
  <sheetData>
    <row r="1" spans="1:11" s="61" customFormat="1" ht="15" customHeight="1">
      <c r="A1" s="776"/>
      <c r="B1" s="777"/>
      <c r="C1" s="777"/>
      <c r="D1" s="777"/>
      <c r="E1" s="777"/>
      <c r="F1" s="777"/>
      <c r="G1" s="777"/>
      <c r="H1" s="777"/>
      <c r="I1" s="777"/>
      <c r="J1" s="777"/>
      <c r="K1" s="778"/>
    </row>
    <row r="2" spans="1:11" s="61" customFormat="1" ht="15" customHeight="1">
      <c r="A2" s="779" t="s">
        <v>20</v>
      </c>
      <c r="B2" s="780"/>
      <c r="C2" s="780"/>
      <c r="D2" s="780"/>
      <c r="E2" s="780"/>
      <c r="F2" s="780"/>
      <c r="G2" s="780"/>
      <c r="H2" s="780"/>
      <c r="I2" s="780"/>
      <c r="J2" s="780"/>
      <c r="K2" s="781"/>
    </row>
    <row r="3" spans="1:11" s="61" customFormat="1" ht="15" customHeight="1">
      <c r="A3" s="782" t="s">
        <v>199</v>
      </c>
      <c r="B3" s="783"/>
      <c r="C3" s="783"/>
      <c r="D3" s="783"/>
      <c r="E3" s="783"/>
      <c r="F3" s="783"/>
      <c r="G3" s="783"/>
      <c r="H3" s="783"/>
      <c r="I3" s="783"/>
      <c r="J3" s="783"/>
      <c r="K3" s="784"/>
    </row>
    <row r="4" spans="1:11" s="61" customFormat="1" ht="15" customHeight="1">
      <c r="A4" s="782" t="s">
        <v>19</v>
      </c>
      <c r="B4" s="783"/>
      <c r="C4" s="783"/>
      <c r="D4" s="783"/>
      <c r="E4" s="783"/>
      <c r="F4" s="783"/>
      <c r="G4" s="783"/>
      <c r="H4" s="783"/>
      <c r="I4" s="783"/>
      <c r="J4" s="783"/>
      <c r="K4" s="784"/>
    </row>
    <row r="5" spans="1:11" s="61" customFormat="1" ht="15" customHeight="1" thickBot="1">
      <c r="A5" s="785"/>
      <c r="B5" s="786"/>
      <c r="C5" s="786"/>
      <c r="D5" s="786"/>
      <c r="E5" s="786"/>
      <c r="F5" s="786"/>
      <c r="G5" s="786"/>
      <c r="H5" s="786"/>
      <c r="I5" s="786"/>
      <c r="J5" s="786"/>
      <c r="K5" s="787"/>
    </row>
    <row r="6" spans="1:11" s="62" customFormat="1" ht="19.5" customHeight="1" thickBot="1" thickTop="1">
      <c r="A6" s="395" t="s">
        <v>641</v>
      </c>
      <c r="B6" s="396" t="s">
        <v>453</v>
      </c>
      <c r="C6" s="397" t="s">
        <v>454</v>
      </c>
      <c r="D6" s="398"/>
      <c r="E6" s="398"/>
      <c r="F6" s="398"/>
      <c r="G6" s="399"/>
      <c r="H6" s="398"/>
      <c r="I6" s="398"/>
      <c r="J6" s="788" t="s">
        <v>455</v>
      </c>
      <c r="K6" s="789"/>
    </row>
    <row r="7" spans="1:11" s="62" customFormat="1" ht="53.25" customHeight="1" thickTop="1">
      <c r="A7" s="761" t="str">
        <f>'[1]ORÇAMENTO GERAL'!C6</f>
        <v>EXECUÇÃO DOS SERVIÇOS ...  - NO MUNICÍPIO DE ANANINDEUA - PA.</v>
      </c>
      <c r="B7" s="762"/>
      <c r="C7" s="762"/>
      <c r="D7" s="762"/>
      <c r="E7" s="762"/>
      <c r="F7" s="762"/>
      <c r="G7" s="762"/>
      <c r="H7" s="762"/>
      <c r="I7" s="762"/>
      <c r="J7" s="762"/>
      <c r="K7" s="763"/>
    </row>
    <row r="8" spans="1:11" s="62" customFormat="1" ht="38.25">
      <c r="A8" s="362" t="s">
        <v>665</v>
      </c>
      <c r="B8" s="764" t="s">
        <v>200</v>
      </c>
      <c r="C8" s="765"/>
      <c r="D8" s="765"/>
      <c r="E8" s="765"/>
      <c r="F8" s="766"/>
      <c r="G8" s="363" t="s">
        <v>23</v>
      </c>
      <c r="H8" s="363" t="s">
        <v>201</v>
      </c>
      <c r="I8" s="363" t="s">
        <v>202</v>
      </c>
      <c r="J8" s="364" t="s">
        <v>203</v>
      </c>
      <c r="K8" s="365"/>
    </row>
    <row r="9" spans="1:11" s="62" customFormat="1" ht="24.75" customHeight="1">
      <c r="A9" s="65">
        <v>90778</v>
      </c>
      <c r="B9" s="767" t="s">
        <v>456</v>
      </c>
      <c r="C9" s="768"/>
      <c r="D9" s="768"/>
      <c r="E9" s="768"/>
      <c r="F9" s="769"/>
      <c r="G9" s="66" t="s">
        <v>44</v>
      </c>
      <c r="H9" s="366">
        <f>G25</f>
        <v>120</v>
      </c>
      <c r="I9" s="67">
        <v>102.65</v>
      </c>
      <c r="J9" s="68"/>
      <c r="K9" s="69">
        <f>ROUND(H9*I9,2)</f>
        <v>12318</v>
      </c>
    </row>
    <row r="10" spans="1:11" s="62" customFormat="1" ht="24.75" customHeight="1" thickBot="1">
      <c r="A10" s="65">
        <v>90776</v>
      </c>
      <c r="B10" s="767" t="s">
        <v>457</v>
      </c>
      <c r="C10" s="768"/>
      <c r="D10" s="768"/>
      <c r="E10" s="768"/>
      <c r="F10" s="769"/>
      <c r="G10" s="66" t="s">
        <v>44</v>
      </c>
      <c r="H10" s="366">
        <f>G26</f>
        <v>420</v>
      </c>
      <c r="I10" s="67">
        <v>18.51</v>
      </c>
      <c r="J10" s="68"/>
      <c r="K10" s="69">
        <f>ROUND(H10*I10,2)</f>
        <v>7774.2</v>
      </c>
    </row>
    <row r="11" spans="1:11" s="62" customFormat="1" ht="24.75" customHeight="1" hidden="1">
      <c r="A11" s="65">
        <v>88326</v>
      </c>
      <c r="B11" s="770" t="s">
        <v>458</v>
      </c>
      <c r="C11" s="771"/>
      <c r="D11" s="771"/>
      <c r="E11" s="771"/>
      <c r="F11" s="772"/>
      <c r="G11" s="66" t="s">
        <v>44</v>
      </c>
      <c r="H11" s="366">
        <f>G27</f>
        <v>0</v>
      </c>
      <c r="I11" s="67">
        <v>19.07</v>
      </c>
      <c r="J11" s="68"/>
      <c r="K11" s="69">
        <f>ROUND(H11*I11,2)</f>
        <v>0</v>
      </c>
    </row>
    <row r="12" spans="1:11" s="62" customFormat="1" ht="19.5" customHeight="1" thickBot="1">
      <c r="A12" s="70"/>
      <c r="B12" s="68"/>
      <c r="C12" s="68"/>
      <c r="D12" s="68"/>
      <c r="E12" s="68"/>
      <c r="F12" s="68"/>
      <c r="G12" s="71"/>
      <c r="H12" s="72" t="s">
        <v>205</v>
      </c>
      <c r="I12" s="73"/>
      <c r="J12" s="74"/>
      <c r="K12" s="75">
        <f>SUM(K9:K11)</f>
        <v>20092.2</v>
      </c>
    </row>
    <row r="13" spans="1:11" s="62" customFormat="1" ht="19.5" customHeight="1">
      <c r="A13" s="76"/>
      <c r="B13" s="773" t="s">
        <v>206</v>
      </c>
      <c r="C13" s="774"/>
      <c r="D13" s="774"/>
      <c r="E13" s="774"/>
      <c r="F13" s="775"/>
      <c r="G13" s="77" t="s">
        <v>23</v>
      </c>
      <c r="H13" s="78" t="s">
        <v>207</v>
      </c>
      <c r="I13" s="77" t="s">
        <v>208</v>
      </c>
      <c r="J13" s="79" t="s">
        <v>203</v>
      </c>
      <c r="K13" s="80"/>
    </row>
    <row r="14" spans="1:11" s="62" customFormat="1" ht="19.5" customHeight="1" thickBot="1">
      <c r="A14" s="81"/>
      <c r="B14" s="82"/>
      <c r="C14" s="83"/>
      <c r="D14" s="83"/>
      <c r="E14" s="83"/>
      <c r="F14" s="83"/>
      <c r="G14" s="84"/>
      <c r="H14" s="367"/>
      <c r="I14" s="368"/>
      <c r="J14" s="83"/>
      <c r="K14" s="69"/>
    </row>
    <row r="15" spans="1:11" s="62" customFormat="1" ht="19.5" customHeight="1" thickBot="1">
      <c r="A15" s="70" t="s">
        <v>209</v>
      </c>
      <c r="B15" s="68"/>
      <c r="C15" s="68"/>
      <c r="D15" s="68"/>
      <c r="E15" s="68"/>
      <c r="F15" s="68"/>
      <c r="G15" s="71"/>
      <c r="H15" s="72" t="s">
        <v>210</v>
      </c>
      <c r="I15" s="85"/>
      <c r="J15" s="86"/>
      <c r="K15" s="75">
        <f>SUM(K14:K14)</f>
        <v>0</v>
      </c>
    </row>
    <row r="16" spans="1:11" s="62" customFormat="1" ht="19.5" customHeight="1">
      <c r="A16" s="76"/>
      <c r="B16" s="748" t="s">
        <v>211</v>
      </c>
      <c r="C16" s="749"/>
      <c r="D16" s="749"/>
      <c r="E16" s="749"/>
      <c r="F16" s="750"/>
      <c r="G16" s="77" t="s">
        <v>23</v>
      </c>
      <c r="H16" s="78" t="s">
        <v>207</v>
      </c>
      <c r="I16" s="77" t="s">
        <v>208</v>
      </c>
      <c r="J16" s="79" t="s">
        <v>203</v>
      </c>
      <c r="K16" s="80"/>
    </row>
    <row r="17" spans="1:11" s="62" customFormat="1" ht="19.5" customHeight="1" thickBot="1">
      <c r="A17" s="81"/>
      <c r="B17" s="82"/>
      <c r="C17" s="83"/>
      <c r="D17" s="83"/>
      <c r="E17" s="83"/>
      <c r="F17" s="83"/>
      <c r="G17" s="84"/>
      <c r="H17" s="367"/>
      <c r="I17" s="368"/>
      <c r="J17" s="83"/>
      <c r="K17" s="69"/>
    </row>
    <row r="18" spans="1:11" s="62" customFormat="1" ht="19.5" customHeight="1" thickBot="1">
      <c r="A18" s="87" t="s">
        <v>209</v>
      </c>
      <c r="B18" s="68"/>
      <c r="C18" s="68"/>
      <c r="D18" s="68"/>
      <c r="E18" s="68"/>
      <c r="F18" s="68"/>
      <c r="G18" s="71"/>
      <c r="H18" s="72" t="s">
        <v>213</v>
      </c>
      <c r="I18" s="85"/>
      <c r="J18" s="86"/>
      <c r="K18" s="75">
        <f>SUM(K17:K17)</f>
        <v>0</v>
      </c>
    </row>
    <row r="19" spans="1:11" s="62" customFormat="1" ht="19.5" customHeight="1">
      <c r="A19" s="751" t="s">
        <v>214</v>
      </c>
      <c r="B19" s="752"/>
      <c r="C19" s="752"/>
      <c r="D19" s="752"/>
      <c r="E19" s="752"/>
      <c r="F19" s="752"/>
      <c r="G19" s="752"/>
      <c r="H19" s="752"/>
      <c r="I19" s="752"/>
      <c r="J19" s="753"/>
      <c r="K19" s="88">
        <f>SUM(K12+K15+K18)</f>
        <v>20092.2</v>
      </c>
    </row>
    <row r="20" spans="1:11" s="62" customFormat="1" ht="19.5" customHeight="1" thickBot="1">
      <c r="A20" s="754" t="s">
        <v>215</v>
      </c>
      <c r="B20" s="755"/>
      <c r="C20" s="755"/>
      <c r="D20" s="755"/>
      <c r="E20" s="755"/>
      <c r="F20" s="755"/>
      <c r="G20" s="755"/>
      <c r="H20" s="755"/>
      <c r="I20" s="755"/>
      <c r="J20" s="369">
        <v>0.2746</v>
      </c>
      <c r="K20" s="93">
        <f>J20*K19</f>
        <v>5517.32</v>
      </c>
    </row>
    <row r="21" spans="1:11" s="62" customFormat="1" ht="19.5" customHeight="1" thickBot="1">
      <c r="A21" s="370" t="s">
        <v>216</v>
      </c>
      <c r="B21" s="371"/>
      <c r="C21" s="371"/>
      <c r="D21" s="371"/>
      <c r="E21" s="371"/>
      <c r="F21" s="371"/>
      <c r="G21" s="372"/>
      <c r="H21" s="371"/>
      <c r="I21" s="371"/>
      <c r="J21" s="373"/>
      <c r="K21" s="374">
        <f>SUM(K19:K20)</f>
        <v>25609.52</v>
      </c>
    </row>
    <row r="23" spans="1:7" ht="12.75">
      <c r="A23" s="756" t="s">
        <v>264</v>
      </c>
      <c r="B23" s="756"/>
      <c r="C23" s="756"/>
      <c r="D23" s="756"/>
      <c r="E23" s="756"/>
      <c r="F23" s="756"/>
      <c r="G23" s="756"/>
    </row>
    <row r="24" spans="1:7" ht="15">
      <c r="A24" s="757" t="s">
        <v>265</v>
      </c>
      <c r="B24" s="758"/>
      <c r="C24" s="375" t="s">
        <v>267</v>
      </c>
      <c r="D24" s="376" t="s">
        <v>268</v>
      </c>
      <c r="E24" s="759" t="s">
        <v>269</v>
      </c>
      <c r="F24" s="760"/>
      <c r="G24" s="377"/>
    </row>
    <row r="25" spans="1:7" ht="15">
      <c r="A25" s="745" t="s">
        <v>459</v>
      </c>
      <c r="B25" s="745"/>
      <c r="C25" s="378">
        <v>2</v>
      </c>
      <c r="D25" s="375">
        <v>20</v>
      </c>
      <c r="E25" s="375">
        <v>3</v>
      </c>
      <c r="F25" s="377" t="s">
        <v>242</v>
      </c>
      <c r="G25" s="377">
        <f>ROUND((C25*D25*E25),2)</f>
        <v>120</v>
      </c>
    </row>
    <row r="26" spans="1:7" ht="15">
      <c r="A26" s="745" t="s">
        <v>460</v>
      </c>
      <c r="B26" s="745"/>
      <c r="C26" s="378">
        <v>7</v>
      </c>
      <c r="D26" s="375">
        <v>20</v>
      </c>
      <c r="E26" s="375">
        <v>3</v>
      </c>
      <c r="F26" s="377" t="s">
        <v>242</v>
      </c>
      <c r="G26" s="377">
        <f>ROUND((C26*D26*E26),2)</f>
        <v>420</v>
      </c>
    </row>
    <row r="27" spans="1:7" ht="15" hidden="1">
      <c r="A27" s="746" t="s">
        <v>461</v>
      </c>
      <c r="B27" s="747"/>
      <c r="C27" s="378"/>
      <c r="D27" s="375">
        <v>20</v>
      </c>
      <c r="E27" s="375">
        <v>3</v>
      </c>
      <c r="F27" s="377" t="s">
        <v>242</v>
      </c>
      <c r="G27" s="377">
        <f>ROUND((C27*D27*E27),2)</f>
        <v>0</v>
      </c>
    </row>
  </sheetData>
  <sheetProtection/>
  <mergeCells count="21">
    <mergeCell ref="A1:K1"/>
    <mergeCell ref="A2:K2"/>
    <mergeCell ref="A3:K3"/>
    <mergeCell ref="A4:K4"/>
    <mergeCell ref="A5:K5"/>
    <mergeCell ref="J6:K6"/>
    <mergeCell ref="A7:K7"/>
    <mergeCell ref="B8:F8"/>
    <mergeCell ref="B9:F9"/>
    <mergeCell ref="B10:F10"/>
    <mergeCell ref="B11:F11"/>
    <mergeCell ref="B13:F13"/>
    <mergeCell ref="A25:B25"/>
    <mergeCell ref="A26:B26"/>
    <mergeCell ref="A27:B27"/>
    <mergeCell ref="B16:F16"/>
    <mergeCell ref="A19:J19"/>
    <mergeCell ref="A20:I20"/>
    <mergeCell ref="A23:G23"/>
    <mergeCell ref="A24:B24"/>
    <mergeCell ref="E24:F24"/>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H38"/>
  <sheetViews>
    <sheetView view="pageBreakPreview" zoomScaleSheetLayoutView="100" zoomScalePageLayoutView="0" workbookViewId="0" topLeftCell="A1">
      <selection activeCell="A7" sqref="A7:H7"/>
    </sheetView>
  </sheetViews>
  <sheetFormatPr defaultColWidth="9.140625" defaultRowHeight="12.75"/>
  <cols>
    <col min="1" max="1" width="6.7109375" style="54" customWidth="1"/>
    <col min="2" max="2" width="9.7109375" style="54" bestFit="1" customWidth="1"/>
    <col min="3" max="4" width="13.7109375" style="54" customWidth="1"/>
    <col min="5" max="8" width="11.7109375" style="54" customWidth="1"/>
    <col min="9" max="16384" width="9.140625" style="54" customWidth="1"/>
  </cols>
  <sheetData>
    <row r="1" spans="1:8" ht="12.75">
      <c r="A1" s="50"/>
      <c r="B1" s="51"/>
      <c r="C1" s="51"/>
      <c r="D1" s="51"/>
      <c r="E1" s="51"/>
      <c r="F1" s="51"/>
      <c r="G1" s="51"/>
      <c r="H1" s="52"/>
    </row>
    <row r="2" spans="1:8" ht="12.75">
      <c r="A2" s="790" t="s">
        <v>20</v>
      </c>
      <c r="B2" s="791"/>
      <c r="C2" s="791"/>
      <c r="D2" s="791"/>
      <c r="E2" s="791"/>
      <c r="F2" s="791"/>
      <c r="G2" s="791"/>
      <c r="H2" s="792"/>
    </row>
    <row r="3" spans="1:8" ht="12.75">
      <c r="A3" s="793" t="s">
        <v>199</v>
      </c>
      <c r="B3" s="794"/>
      <c r="C3" s="794"/>
      <c r="D3" s="794"/>
      <c r="E3" s="794"/>
      <c r="F3" s="794"/>
      <c r="G3" s="794"/>
      <c r="H3" s="795"/>
    </row>
    <row r="4" spans="1:8" ht="12.75">
      <c r="A4" s="796" t="s">
        <v>19</v>
      </c>
      <c r="B4" s="797"/>
      <c r="C4" s="797"/>
      <c r="D4" s="797"/>
      <c r="E4" s="797"/>
      <c r="F4" s="797"/>
      <c r="G4" s="797"/>
      <c r="H4" s="798"/>
    </row>
    <row r="5" spans="1:8" ht="13.5" thickBot="1">
      <c r="A5" s="799"/>
      <c r="B5" s="800"/>
      <c r="C5" s="800"/>
      <c r="D5" s="800"/>
      <c r="E5" s="800"/>
      <c r="F5" s="800"/>
      <c r="G5" s="800"/>
      <c r="H5" s="801"/>
    </row>
    <row r="6" spans="1:8" ht="27" thickBot="1" thickTop="1">
      <c r="A6" s="400" t="s">
        <v>641</v>
      </c>
      <c r="B6" s="401" t="s">
        <v>665</v>
      </c>
      <c r="C6" s="802" t="s">
        <v>471</v>
      </c>
      <c r="D6" s="802"/>
      <c r="E6" s="802"/>
      <c r="F6" s="802"/>
      <c r="G6" s="802"/>
      <c r="H6" s="402" t="s">
        <v>261</v>
      </c>
    </row>
    <row r="7" spans="1:8" ht="29.25" customHeight="1" thickTop="1">
      <c r="A7" s="803" t="str">
        <f>'ORÇAMENTO GERAL'!C7</f>
        <v>EXECUÇÃO DOS SERVIÇOS DE DRENAGEM SUPERFICIAL E PROFUNDA NA RUA DO PORTO E RUA DO PORTO 2 - DISTRITO INDUSTRIAL - NO MUNICÍPIO DE ANANINDEUA - PA.</v>
      </c>
      <c r="B7" s="804"/>
      <c r="C7" s="804"/>
      <c r="D7" s="804"/>
      <c r="E7" s="804"/>
      <c r="F7" s="804"/>
      <c r="G7" s="804"/>
      <c r="H7" s="805"/>
    </row>
    <row r="8" spans="1:8" s="56" customFormat="1" ht="19.5" customHeight="1">
      <c r="A8" s="806" t="s">
        <v>36</v>
      </c>
      <c r="B8" s="807"/>
      <c r="C8" s="807"/>
      <c r="D8" s="807"/>
      <c r="E8" s="807"/>
      <c r="F8" s="807"/>
      <c r="G8" s="807"/>
      <c r="H8" s="808"/>
    </row>
    <row r="9" spans="1:8" s="56" customFormat="1" ht="19.5" customHeight="1">
      <c r="A9" s="21" t="s">
        <v>37</v>
      </c>
      <c r="B9" s="42"/>
      <c r="C9" s="809" t="s">
        <v>38</v>
      </c>
      <c r="D9" s="810"/>
      <c r="E9" s="42" t="s">
        <v>39</v>
      </c>
      <c r="F9" s="3" t="s">
        <v>163</v>
      </c>
      <c r="G9" s="4" t="s">
        <v>40</v>
      </c>
      <c r="H9" s="22" t="s">
        <v>41</v>
      </c>
    </row>
    <row r="10" spans="1:8" s="56" customFormat="1" ht="19.5" customHeight="1">
      <c r="A10" s="23">
        <v>1</v>
      </c>
      <c r="B10" s="5" t="s">
        <v>42</v>
      </c>
      <c r="C10" s="811" t="s">
        <v>43</v>
      </c>
      <c r="D10" s="812"/>
      <c r="E10" s="43" t="s">
        <v>44</v>
      </c>
      <c r="F10" s="6">
        <f>H37</f>
        <v>80</v>
      </c>
      <c r="G10" s="7">
        <v>24.71</v>
      </c>
      <c r="H10" s="24">
        <f>ROUND(F10*G10,2)</f>
        <v>1976.8</v>
      </c>
    </row>
    <row r="11" spans="1:8" s="56" customFormat="1" ht="19.5" customHeight="1">
      <c r="A11" s="23">
        <v>2</v>
      </c>
      <c r="B11" s="5" t="s">
        <v>262</v>
      </c>
      <c r="C11" s="811" t="s">
        <v>263</v>
      </c>
      <c r="D11" s="812"/>
      <c r="E11" s="43" t="s">
        <v>44</v>
      </c>
      <c r="F11" s="6">
        <f>H38</f>
        <v>80</v>
      </c>
      <c r="G11" s="7">
        <v>11.96</v>
      </c>
      <c r="H11" s="24">
        <f>ROUND(F11*G11,2)</f>
        <v>956.8</v>
      </c>
    </row>
    <row r="12" spans="1:8" s="56" customFormat="1" ht="19.5" customHeight="1" hidden="1">
      <c r="A12" s="23">
        <v>3</v>
      </c>
      <c r="B12" s="8"/>
      <c r="C12" s="9"/>
      <c r="D12" s="9"/>
      <c r="E12" s="43"/>
      <c r="F12" s="6"/>
      <c r="G12" s="7"/>
      <c r="H12" s="24"/>
    </row>
    <row r="13" spans="1:8" s="56" customFormat="1" ht="19.5" customHeight="1" hidden="1">
      <c r="A13" s="23">
        <v>4</v>
      </c>
      <c r="B13" s="8"/>
      <c r="C13" s="9"/>
      <c r="D13" s="9"/>
      <c r="E13" s="43"/>
      <c r="F13" s="6"/>
      <c r="G13" s="7"/>
      <c r="H13" s="24"/>
    </row>
    <row r="14" spans="1:8" s="56" customFormat="1" ht="19.5" customHeight="1">
      <c r="A14" s="813" t="s">
        <v>46</v>
      </c>
      <c r="B14" s="814"/>
      <c r="C14" s="814"/>
      <c r="D14" s="814"/>
      <c r="E14" s="814"/>
      <c r="F14" s="815">
        <f>SUM(H10:H13)</f>
        <v>2933.6</v>
      </c>
      <c r="G14" s="815"/>
      <c r="H14" s="816"/>
    </row>
    <row r="15" spans="1:8" s="56" customFormat="1" ht="19.5" customHeight="1">
      <c r="A15" s="817" t="s">
        <v>47</v>
      </c>
      <c r="B15" s="818"/>
      <c r="C15" s="818"/>
      <c r="D15" s="818"/>
      <c r="E15" s="818"/>
      <c r="F15" s="818"/>
      <c r="G15" s="818"/>
      <c r="H15" s="819"/>
    </row>
    <row r="16" spans="1:8" s="56" customFormat="1" ht="19.5" customHeight="1">
      <c r="A16" s="25" t="s">
        <v>37</v>
      </c>
      <c r="B16" s="43"/>
      <c r="C16" s="809" t="s">
        <v>38</v>
      </c>
      <c r="D16" s="810"/>
      <c r="E16" s="43" t="s">
        <v>39</v>
      </c>
      <c r="F16" s="3" t="s">
        <v>163</v>
      </c>
      <c r="G16" s="10" t="s">
        <v>40</v>
      </c>
      <c r="H16" s="26" t="s">
        <v>41</v>
      </c>
    </row>
    <row r="17" spans="1:8" s="56" customFormat="1" ht="19.5" customHeight="1">
      <c r="A17" s="23">
        <v>1</v>
      </c>
      <c r="B17" s="8"/>
      <c r="C17" s="820"/>
      <c r="D17" s="821"/>
      <c r="E17" s="43"/>
      <c r="F17" s="6"/>
      <c r="G17" s="7"/>
      <c r="H17" s="24">
        <f>ROUND(F17*G17,2)</f>
        <v>0</v>
      </c>
    </row>
    <row r="18" spans="1:8" s="56" customFormat="1" ht="19.5" customHeight="1">
      <c r="A18" s="23">
        <v>2</v>
      </c>
      <c r="B18" s="8"/>
      <c r="C18" s="820"/>
      <c r="D18" s="821"/>
      <c r="E18" s="43"/>
      <c r="F18" s="6"/>
      <c r="G18" s="7"/>
      <c r="H18" s="24"/>
    </row>
    <row r="19" spans="1:8" s="56" customFormat="1" ht="19.5" customHeight="1">
      <c r="A19" s="813" t="s">
        <v>48</v>
      </c>
      <c r="B19" s="814"/>
      <c r="C19" s="814"/>
      <c r="D19" s="814"/>
      <c r="E19" s="814"/>
      <c r="F19" s="815">
        <f>SUM(H17:H18)</f>
        <v>0</v>
      </c>
      <c r="G19" s="815"/>
      <c r="H19" s="816"/>
    </row>
    <row r="20" spans="1:8" s="56" customFormat="1" ht="19.5" customHeight="1">
      <c r="A20" s="817" t="s">
        <v>49</v>
      </c>
      <c r="B20" s="818"/>
      <c r="C20" s="818"/>
      <c r="D20" s="818"/>
      <c r="E20" s="818"/>
      <c r="F20" s="818"/>
      <c r="G20" s="818"/>
      <c r="H20" s="819"/>
    </row>
    <row r="21" spans="1:8" s="56" customFormat="1" ht="19.5" customHeight="1">
      <c r="A21" s="21" t="s">
        <v>37</v>
      </c>
      <c r="B21" s="42"/>
      <c r="C21" s="809" t="s">
        <v>38</v>
      </c>
      <c r="D21" s="810"/>
      <c r="E21" s="42" t="s">
        <v>39</v>
      </c>
      <c r="F21" s="3" t="s">
        <v>163</v>
      </c>
      <c r="G21" s="4" t="s">
        <v>40</v>
      </c>
      <c r="H21" s="22" t="s">
        <v>41</v>
      </c>
    </row>
    <row r="22" spans="1:8" s="56" customFormat="1" ht="19.5" customHeight="1">
      <c r="A22" s="27">
        <v>1</v>
      </c>
      <c r="B22" s="11"/>
      <c r="C22" s="820"/>
      <c r="D22" s="821"/>
      <c r="E22" s="42"/>
      <c r="F22" s="12"/>
      <c r="G22" s="13"/>
      <c r="H22" s="24"/>
    </row>
    <row r="23" spans="1:8" s="56" customFormat="1" ht="19.5" customHeight="1">
      <c r="A23" s="27">
        <v>2</v>
      </c>
      <c r="B23" s="11"/>
      <c r="C23" s="820"/>
      <c r="D23" s="821"/>
      <c r="E23" s="42"/>
      <c r="F23" s="12"/>
      <c r="G23" s="13"/>
      <c r="H23" s="24"/>
    </row>
    <row r="24" spans="1:8" s="56" customFormat="1" ht="19.5" customHeight="1">
      <c r="A24" s="823" t="s">
        <v>50</v>
      </c>
      <c r="B24" s="824"/>
      <c r="C24" s="824"/>
      <c r="D24" s="824"/>
      <c r="E24" s="825"/>
      <c r="F24" s="815">
        <f>SUM(H22:H23)</f>
        <v>0</v>
      </c>
      <c r="G24" s="815"/>
      <c r="H24" s="816"/>
    </row>
    <row r="25" spans="1:8" s="56" customFormat="1" ht="19.5" customHeight="1">
      <c r="A25" s="836" t="s">
        <v>51</v>
      </c>
      <c r="B25" s="837"/>
      <c r="C25" s="837"/>
      <c r="D25" s="837"/>
      <c r="E25" s="837"/>
      <c r="F25" s="837"/>
      <c r="G25" s="837"/>
      <c r="H25" s="838"/>
    </row>
    <row r="26" spans="1:8" s="56" customFormat="1" ht="19.5" customHeight="1">
      <c r="A26" s="21" t="s">
        <v>37</v>
      </c>
      <c r="B26" s="42"/>
      <c r="C26" s="42" t="s">
        <v>52</v>
      </c>
      <c r="D26" s="42"/>
      <c r="E26" s="42" t="s">
        <v>41</v>
      </c>
      <c r="F26" s="42"/>
      <c r="G26" s="14"/>
      <c r="H26" s="22"/>
    </row>
    <row r="27" spans="1:8" s="56" customFormat="1" ht="19.5" customHeight="1">
      <c r="A27" s="21" t="s">
        <v>53</v>
      </c>
      <c r="B27" s="42"/>
      <c r="C27" s="43" t="s">
        <v>54</v>
      </c>
      <c r="D27" s="43"/>
      <c r="E27" s="839" t="s">
        <v>55</v>
      </c>
      <c r="F27" s="839"/>
      <c r="G27" s="839"/>
      <c r="H27" s="22">
        <f>F14</f>
        <v>2933.6</v>
      </c>
    </row>
    <row r="28" spans="1:8" s="56" customFormat="1" ht="19.5" customHeight="1">
      <c r="A28" s="21" t="s">
        <v>56</v>
      </c>
      <c r="B28" s="42"/>
      <c r="C28" s="43" t="s">
        <v>57</v>
      </c>
      <c r="D28" s="43"/>
      <c r="E28" s="839" t="s">
        <v>58</v>
      </c>
      <c r="F28" s="839"/>
      <c r="G28" s="839"/>
      <c r="H28" s="22">
        <f>F19</f>
        <v>0</v>
      </c>
    </row>
    <row r="29" spans="1:8" s="56" customFormat="1" ht="19.5" customHeight="1">
      <c r="A29" s="21" t="s">
        <v>16</v>
      </c>
      <c r="B29" s="42"/>
      <c r="C29" s="43" t="s">
        <v>59</v>
      </c>
      <c r="D29" s="43"/>
      <c r="E29" s="839" t="s">
        <v>60</v>
      </c>
      <c r="F29" s="839"/>
      <c r="G29" s="839"/>
      <c r="H29" s="22">
        <f>F24</f>
        <v>0</v>
      </c>
    </row>
    <row r="30" spans="1:8" s="56" customFormat="1" ht="19.5" customHeight="1">
      <c r="A30" s="21" t="s">
        <v>9</v>
      </c>
      <c r="B30" s="42"/>
      <c r="C30" s="15" t="s">
        <v>61</v>
      </c>
      <c r="D30" s="15"/>
      <c r="E30" s="840" t="s">
        <v>62</v>
      </c>
      <c r="F30" s="840"/>
      <c r="G30" s="840"/>
      <c r="H30" s="44">
        <f>H27+H28+H29</f>
        <v>2933.6</v>
      </c>
    </row>
    <row r="31" spans="1:8" s="56" customFormat="1" ht="19.5" customHeight="1">
      <c r="A31" s="21" t="s">
        <v>63</v>
      </c>
      <c r="B31" s="42"/>
      <c r="C31" s="15" t="s">
        <v>64</v>
      </c>
      <c r="D31" s="119"/>
      <c r="E31" s="16" t="s">
        <v>215</v>
      </c>
      <c r="F31" s="17"/>
      <c r="G31" s="280">
        <v>0.2746</v>
      </c>
      <c r="H31" s="28">
        <f>G31*H30</f>
        <v>805.57</v>
      </c>
    </row>
    <row r="32" spans="1:8" s="56" customFormat="1" ht="19.5" customHeight="1">
      <c r="A32" s="124"/>
      <c r="B32" s="48"/>
      <c r="C32" s="48"/>
      <c r="D32" s="48"/>
      <c r="E32" s="822" t="s">
        <v>65</v>
      </c>
      <c r="F32" s="822"/>
      <c r="G32" s="822"/>
      <c r="H32" s="125">
        <f>H30+H31</f>
        <v>3739.17</v>
      </c>
    </row>
    <row r="33" spans="1:8" ht="12.75">
      <c r="A33" s="126"/>
      <c r="B33" s="18"/>
      <c r="C33" s="18"/>
      <c r="D33" s="18"/>
      <c r="E33" s="19"/>
      <c r="F33" s="19"/>
      <c r="G33" s="19"/>
      <c r="H33" s="127"/>
    </row>
    <row r="34" spans="1:8" ht="12.75">
      <c r="A34" s="128"/>
      <c r="B34" s="102"/>
      <c r="C34" s="102"/>
      <c r="D34" s="102"/>
      <c r="E34" s="102"/>
      <c r="F34" s="102"/>
      <c r="G34" s="102"/>
      <c r="H34" s="129"/>
    </row>
    <row r="35" spans="1:8" ht="12.75">
      <c r="A35" s="826" t="s">
        <v>264</v>
      </c>
      <c r="B35" s="756"/>
      <c r="C35" s="756"/>
      <c r="D35" s="756"/>
      <c r="E35" s="756"/>
      <c r="F35" s="756"/>
      <c r="G35" s="756"/>
      <c r="H35" s="827"/>
    </row>
    <row r="36" spans="1:8" ht="12.75">
      <c r="A36" s="828" t="s">
        <v>265</v>
      </c>
      <c r="B36" s="829"/>
      <c r="C36" s="120" t="s">
        <v>266</v>
      </c>
      <c r="D36" s="120" t="s">
        <v>267</v>
      </c>
      <c r="E36" s="121" t="s">
        <v>268</v>
      </c>
      <c r="F36" s="830" t="s">
        <v>269</v>
      </c>
      <c r="G36" s="831"/>
      <c r="H36" s="130"/>
    </row>
    <row r="37" spans="1:8" ht="12.75">
      <c r="A37" s="832" t="s">
        <v>270</v>
      </c>
      <c r="B37" s="833"/>
      <c r="C37" s="122">
        <v>1</v>
      </c>
      <c r="D37" s="122">
        <v>4</v>
      </c>
      <c r="E37" s="121">
        <v>20</v>
      </c>
      <c r="F37" s="121">
        <v>1</v>
      </c>
      <c r="G37" s="123" t="s">
        <v>242</v>
      </c>
      <c r="H37" s="131">
        <f>ROUND((C37*D37*E37*F37),2)</f>
        <v>80</v>
      </c>
    </row>
    <row r="38" spans="1:8" ht="27.75" customHeight="1" thickBot="1">
      <c r="A38" s="834" t="s">
        <v>271</v>
      </c>
      <c r="B38" s="835"/>
      <c r="C38" s="132">
        <v>1</v>
      </c>
      <c r="D38" s="132">
        <v>4</v>
      </c>
      <c r="E38" s="133">
        <v>20</v>
      </c>
      <c r="F38" s="133">
        <v>1</v>
      </c>
      <c r="G38" s="134" t="s">
        <v>242</v>
      </c>
      <c r="H38" s="135">
        <f>ROUND((C38*D38*E38*F38),2)</f>
        <v>80</v>
      </c>
    </row>
  </sheetData>
  <sheetProtection/>
  <mergeCells count="35">
    <mergeCell ref="A35:H35"/>
    <mergeCell ref="A36:B36"/>
    <mergeCell ref="F36:G36"/>
    <mergeCell ref="A37:B37"/>
    <mergeCell ref="A38:B38"/>
    <mergeCell ref="A25:H25"/>
    <mergeCell ref="E27:G27"/>
    <mergeCell ref="E28:G28"/>
    <mergeCell ref="E29:G29"/>
    <mergeCell ref="E30:G30"/>
    <mergeCell ref="E32:G32"/>
    <mergeCell ref="A20:H20"/>
    <mergeCell ref="C21:D21"/>
    <mergeCell ref="C22:D22"/>
    <mergeCell ref="C23:D23"/>
    <mergeCell ref="A24:E24"/>
    <mergeCell ref="F24:H24"/>
    <mergeCell ref="A15:H15"/>
    <mergeCell ref="C16:D16"/>
    <mergeCell ref="C17:D17"/>
    <mergeCell ref="C18:D18"/>
    <mergeCell ref="A19:E19"/>
    <mergeCell ref="F19:H19"/>
    <mergeCell ref="A8:H8"/>
    <mergeCell ref="C9:D9"/>
    <mergeCell ref="C10:D10"/>
    <mergeCell ref="C11:D11"/>
    <mergeCell ref="A14:E14"/>
    <mergeCell ref="F14:H14"/>
    <mergeCell ref="A2:H2"/>
    <mergeCell ref="A3:H3"/>
    <mergeCell ref="A4:H4"/>
    <mergeCell ref="A5:H5"/>
    <mergeCell ref="C6:G6"/>
    <mergeCell ref="A7:H7"/>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G31"/>
  <sheetViews>
    <sheetView view="pageBreakPreview" zoomScale="85" zoomScaleSheetLayoutView="85" zoomScalePageLayoutView="0" workbookViewId="0" topLeftCell="A1">
      <selection activeCell="A7" sqref="A7:L7"/>
    </sheetView>
  </sheetViews>
  <sheetFormatPr defaultColWidth="9.140625" defaultRowHeight="12.75"/>
  <cols>
    <col min="1" max="1" width="9.28125" style="2" bestFit="1" customWidth="1"/>
    <col min="2" max="2" width="47.140625" style="2" customWidth="1"/>
    <col min="3" max="3" width="9.140625" style="2" customWidth="1"/>
    <col min="4" max="4" width="16.28125" style="2" customWidth="1"/>
    <col min="5" max="5" width="11.421875" style="2" bestFit="1" customWidth="1"/>
    <col min="6" max="6" width="9.140625" style="2" customWidth="1"/>
    <col min="7" max="7" width="11.57421875" style="2" bestFit="1" customWidth="1"/>
    <col min="8" max="16384" width="9.140625" style="2" customWidth="1"/>
  </cols>
  <sheetData>
    <row r="1" spans="1:7" s="61" customFormat="1" ht="12.75">
      <c r="A1" s="776"/>
      <c r="B1" s="777"/>
      <c r="C1" s="777"/>
      <c r="D1" s="777"/>
      <c r="E1" s="777"/>
      <c r="F1" s="777"/>
      <c r="G1" s="778"/>
    </row>
    <row r="2" spans="1:7" s="61" customFormat="1" ht="19.5" customHeight="1">
      <c r="A2" s="779" t="s">
        <v>20</v>
      </c>
      <c r="B2" s="780"/>
      <c r="C2" s="780"/>
      <c r="D2" s="780"/>
      <c r="E2" s="780"/>
      <c r="F2" s="780"/>
      <c r="G2" s="781"/>
    </row>
    <row r="3" spans="1:7" s="61" customFormat="1" ht="19.5" customHeight="1">
      <c r="A3" s="779" t="s">
        <v>199</v>
      </c>
      <c r="B3" s="780"/>
      <c r="C3" s="780"/>
      <c r="D3" s="780"/>
      <c r="E3" s="780"/>
      <c r="F3" s="780"/>
      <c r="G3" s="781"/>
    </row>
    <row r="4" spans="1:7" s="61" customFormat="1" ht="19.5" customHeight="1">
      <c r="A4" s="779" t="s">
        <v>19</v>
      </c>
      <c r="B4" s="780"/>
      <c r="C4" s="780"/>
      <c r="D4" s="780"/>
      <c r="E4" s="780"/>
      <c r="F4" s="780"/>
      <c r="G4" s="781"/>
    </row>
    <row r="5" spans="1:7" s="61" customFormat="1" ht="13.5" thickBot="1">
      <c r="A5" s="785"/>
      <c r="B5" s="786"/>
      <c r="C5" s="786"/>
      <c r="D5" s="786"/>
      <c r="E5" s="786"/>
      <c r="F5" s="786"/>
      <c r="G5" s="787"/>
    </row>
    <row r="6" spans="1:7" s="62" customFormat="1" ht="24.75" customHeight="1" thickBot="1" thickTop="1">
      <c r="A6" s="395" t="s">
        <v>642</v>
      </c>
      <c r="B6" s="841" t="s">
        <v>660</v>
      </c>
      <c r="C6" s="842"/>
      <c r="D6" s="842"/>
      <c r="E6" s="843"/>
      <c r="F6" s="788" t="s">
        <v>316</v>
      </c>
      <c r="G6" s="789"/>
    </row>
    <row r="7" spans="1:7" s="62" customFormat="1" ht="29.25" customHeight="1" thickTop="1">
      <c r="A7" s="761" t="str">
        <f>'ORÇAMENTO GERAL'!C7</f>
        <v>EXECUÇÃO DOS SERVIÇOS DE DRENAGEM SUPERFICIAL E PROFUNDA NA RUA DO PORTO E RUA DO PORTO 2 - DISTRITO INDUSTRIAL - NO MUNICÍPIO DE ANANINDEUA - PA.</v>
      </c>
      <c r="B7" s="762"/>
      <c r="C7" s="762"/>
      <c r="D7" s="762"/>
      <c r="E7" s="762"/>
      <c r="F7" s="762"/>
      <c r="G7" s="763"/>
    </row>
    <row r="8" spans="1:7" s="62" customFormat="1" ht="25.5">
      <c r="A8" s="114" t="s">
        <v>523</v>
      </c>
      <c r="B8" s="112" t="s">
        <v>200</v>
      </c>
      <c r="C8" s="63" t="s">
        <v>23</v>
      </c>
      <c r="D8" s="63" t="s">
        <v>201</v>
      </c>
      <c r="E8" s="63" t="s">
        <v>202</v>
      </c>
      <c r="F8" s="64" t="s">
        <v>203</v>
      </c>
      <c r="G8" s="115"/>
    </row>
    <row r="9" spans="1:7" s="62" customFormat="1" ht="24.75" customHeight="1" thickBot="1">
      <c r="A9" s="65" t="s">
        <v>45</v>
      </c>
      <c r="B9" s="113" t="s">
        <v>204</v>
      </c>
      <c r="C9" s="66" t="s">
        <v>254</v>
      </c>
      <c r="D9" s="265" t="s">
        <v>437</v>
      </c>
      <c r="E9" s="67">
        <v>17.09</v>
      </c>
      <c r="F9" s="68"/>
      <c r="G9" s="69">
        <f>ROUND(D9*E9,2)</f>
        <v>2.73</v>
      </c>
    </row>
    <row r="10" spans="1:7" s="62" customFormat="1" ht="19.5" customHeight="1" thickBot="1">
      <c r="A10" s="70"/>
      <c r="B10" s="68"/>
      <c r="C10" s="71"/>
      <c r="D10" s="72" t="s">
        <v>205</v>
      </c>
      <c r="E10" s="73"/>
      <c r="F10" s="74"/>
      <c r="G10" s="75">
        <f>SUM(G9:G9)</f>
        <v>2.73</v>
      </c>
    </row>
    <row r="11" spans="1:7" s="62" customFormat="1" ht="19.5" customHeight="1">
      <c r="A11" s="76"/>
      <c r="B11" s="110" t="s">
        <v>206</v>
      </c>
      <c r="C11" s="77" t="s">
        <v>23</v>
      </c>
      <c r="D11" s="78" t="s">
        <v>207</v>
      </c>
      <c r="E11" s="77" t="s">
        <v>208</v>
      </c>
      <c r="F11" s="79" t="s">
        <v>203</v>
      </c>
      <c r="G11" s="80"/>
    </row>
    <row r="12" spans="1:7" s="62" customFormat="1" ht="24.75" customHeight="1">
      <c r="A12" s="81">
        <v>4734</v>
      </c>
      <c r="B12" s="82" t="s">
        <v>255</v>
      </c>
      <c r="C12" s="84" t="s">
        <v>212</v>
      </c>
      <c r="D12" s="266">
        <f>1-D13</f>
        <v>0.31</v>
      </c>
      <c r="E12" s="117">
        <v>376.51</v>
      </c>
      <c r="F12" s="83"/>
      <c r="G12" s="69">
        <f>ROUND(D12*E12,2)</f>
        <v>116.72</v>
      </c>
    </row>
    <row r="13" spans="1:7" s="62" customFormat="1" ht="24.75" customHeight="1" thickBot="1">
      <c r="A13" s="512" t="s">
        <v>643</v>
      </c>
      <c r="B13" s="422" t="s">
        <v>574</v>
      </c>
      <c r="C13" s="84" t="s">
        <v>212</v>
      </c>
      <c r="D13" s="419">
        <v>0.69</v>
      </c>
      <c r="E13" s="421">
        <v>41</v>
      </c>
      <c r="F13" s="420"/>
      <c r="G13" s="69">
        <f>ROUND(D13*E13,2)</f>
        <v>28.29</v>
      </c>
    </row>
    <row r="14" spans="1:7" s="62" customFormat="1" ht="19.5" customHeight="1" thickBot="1">
      <c r="A14" s="70" t="s">
        <v>209</v>
      </c>
      <c r="B14" s="68"/>
      <c r="C14" s="71"/>
      <c r="D14" s="72" t="s">
        <v>210</v>
      </c>
      <c r="E14" s="85"/>
      <c r="F14" s="86"/>
      <c r="G14" s="75">
        <f>SUM(G12:G13)</f>
        <v>145.01</v>
      </c>
    </row>
    <row r="15" spans="1:7" s="62" customFormat="1" ht="19.5" customHeight="1">
      <c r="A15" s="76"/>
      <c r="B15" s="111" t="s">
        <v>211</v>
      </c>
      <c r="C15" s="77" t="s">
        <v>23</v>
      </c>
      <c r="D15" s="78" t="s">
        <v>207</v>
      </c>
      <c r="E15" s="77" t="s">
        <v>208</v>
      </c>
      <c r="F15" s="79" t="s">
        <v>203</v>
      </c>
      <c r="G15" s="80"/>
    </row>
    <row r="16" spans="1:7" s="62" customFormat="1" ht="24.75" customHeight="1">
      <c r="A16" s="81" t="s">
        <v>256</v>
      </c>
      <c r="B16" s="118" t="s">
        <v>257</v>
      </c>
      <c r="C16" s="84" t="s">
        <v>186</v>
      </c>
      <c r="D16" s="266" t="s">
        <v>438</v>
      </c>
      <c r="E16" s="117">
        <v>166.78</v>
      </c>
      <c r="F16" s="83"/>
      <c r="G16" s="69">
        <f aca="true" t="shared" si="0" ref="G16:G27">ROUND(D16*E16,2)</f>
        <v>2</v>
      </c>
    </row>
    <row r="17" spans="1:7" s="62" customFormat="1" ht="24.75" customHeight="1">
      <c r="A17" s="81" t="s">
        <v>258</v>
      </c>
      <c r="B17" s="118" t="s">
        <v>259</v>
      </c>
      <c r="C17" s="84" t="s">
        <v>188</v>
      </c>
      <c r="D17" s="266" t="s">
        <v>321</v>
      </c>
      <c r="E17" s="117">
        <v>55.51</v>
      </c>
      <c r="F17" s="83"/>
      <c r="G17" s="69">
        <f t="shared" si="0"/>
        <v>1.55</v>
      </c>
    </row>
    <row r="18" spans="1:7" s="62" customFormat="1" ht="24.75" customHeight="1">
      <c r="A18" s="81" t="s">
        <v>317</v>
      </c>
      <c r="B18" s="118" t="s">
        <v>318</v>
      </c>
      <c r="C18" s="84" t="s">
        <v>186</v>
      </c>
      <c r="D18" s="266" t="s">
        <v>260</v>
      </c>
      <c r="E18" s="117">
        <v>345.02</v>
      </c>
      <c r="F18" s="83"/>
      <c r="G18" s="69">
        <f t="shared" si="0"/>
        <v>1.38</v>
      </c>
    </row>
    <row r="19" spans="1:7" s="62" customFormat="1" ht="24.75" customHeight="1">
      <c r="A19" s="81" t="s">
        <v>319</v>
      </c>
      <c r="B19" s="118" t="s">
        <v>320</v>
      </c>
      <c r="C19" s="84" t="s">
        <v>188</v>
      </c>
      <c r="D19" s="266" t="s">
        <v>439</v>
      </c>
      <c r="E19" s="117">
        <v>56.14</v>
      </c>
      <c r="F19" s="83"/>
      <c r="G19" s="69">
        <f t="shared" si="0"/>
        <v>2.02</v>
      </c>
    </row>
    <row r="20" spans="1:7" s="62" customFormat="1" ht="24.75" customHeight="1">
      <c r="A20" s="81" t="s">
        <v>443</v>
      </c>
      <c r="B20" s="118" t="s">
        <v>444</v>
      </c>
      <c r="C20" s="84" t="s">
        <v>186</v>
      </c>
      <c r="D20" s="266" t="s">
        <v>324</v>
      </c>
      <c r="E20" s="117">
        <v>5.92</v>
      </c>
      <c r="F20" s="83"/>
      <c r="G20" s="69">
        <f>ROUND(D20*E20,2)</f>
        <v>0.05</v>
      </c>
    </row>
    <row r="21" spans="1:7" s="62" customFormat="1" ht="24.75" customHeight="1">
      <c r="A21" s="81" t="s">
        <v>445</v>
      </c>
      <c r="B21" s="118" t="s">
        <v>446</v>
      </c>
      <c r="C21" s="84" t="s">
        <v>188</v>
      </c>
      <c r="D21" s="266" t="s">
        <v>440</v>
      </c>
      <c r="E21" s="117">
        <v>3.68</v>
      </c>
      <c r="F21" s="83"/>
      <c r="G21" s="69">
        <f>ROUND(D21*E21,2)</f>
        <v>0.12</v>
      </c>
    </row>
    <row r="22" spans="1:7" s="62" customFormat="1" ht="24.75" customHeight="1">
      <c r="A22" s="81" t="s">
        <v>322</v>
      </c>
      <c r="B22" s="118" t="s">
        <v>323</v>
      </c>
      <c r="C22" s="84" t="s">
        <v>186</v>
      </c>
      <c r="D22" s="266" t="s">
        <v>324</v>
      </c>
      <c r="E22" s="117">
        <v>251.33</v>
      </c>
      <c r="F22" s="83"/>
      <c r="G22" s="69">
        <f t="shared" si="0"/>
        <v>2.01</v>
      </c>
    </row>
    <row r="23" spans="1:7" s="62" customFormat="1" ht="24.75" customHeight="1">
      <c r="A23" s="81" t="s">
        <v>325</v>
      </c>
      <c r="B23" s="118" t="s">
        <v>326</v>
      </c>
      <c r="C23" s="84" t="s">
        <v>188</v>
      </c>
      <c r="D23" s="266" t="s">
        <v>440</v>
      </c>
      <c r="E23" s="117">
        <v>76.02</v>
      </c>
      <c r="F23" s="83"/>
      <c r="G23" s="69">
        <f t="shared" si="0"/>
        <v>2.43</v>
      </c>
    </row>
    <row r="24" spans="1:7" s="62" customFormat="1" ht="24.75" customHeight="1">
      <c r="A24" s="81" t="s">
        <v>447</v>
      </c>
      <c r="B24" s="118" t="s">
        <v>304</v>
      </c>
      <c r="C24" s="84" t="s">
        <v>186</v>
      </c>
      <c r="D24" s="266" t="s">
        <v>324</v>
      </c>
      <c r="E24" s="117">
        <v>134.92</v>
      </c>
      <c r="F24" s="83"/>
      <c r="G24" s="69">
        <f>ROUND(D24*E24,2)</f>
        <v>1.08</v>
      </c>
    </row>
    <row r="25" spans="1:7" s="62" customFormat="1" ht="24.75" customHeight="1">
      <c r="A25" s="81" t="s">
        <v>448</v>
      </c>
      <c r="B25" s="118" t="s">
        <v>305</v>
      </c>
      <c r="C25" s="84" t="s">
        <v>188</v>
      </c>
      <c r="D25" s="266" t="s">
        <v>440</v>
      </c>
      <c r="E25" s="117">
        <v>35.34</v>
      </c>
      <c r="F25" s="83"/>
      <c r="G25" s="69">
        <f>ROUND(D25*E25,2)</f>
        <v>1.13</v>
      </c>
    </row>
    <row r="26" spans="1:7" s="62" customFormat="1" ht="24.75" customHeight="1">
      <c r="A26" s="81" t="s">
        <v>327</v>
      </c>
      <c r="B26" s="118" t="s">
        <v>328</v>
      </c>
      <c r="C26" s="84" t="s">
        <v>186</v>
      </c>
      <c r="D26" s="266" t="s">
        <v>441</v>
      </c>
      <c r="E26" s="117">
        <v>225.52</v>
      </c>
      <c r="F26" s="83"/>
      <c r="G26" s="69">
        <f t="shared" si="0"/>
        <v>1.13</v>
      </c>
    </row>
    <row r="27" spans="1:7" s="62" customFormat="1" ht="24.75" customHeight="1" thickBot="1">
      <c r="A27" s="81" t="s">
        <v>329</v>
      </c>
      <c r="B27" s="118" t="s">
        <v>330</v>
      </c>
      <c r="C27" s="84" t="s">
        <v>188</v>
      </c>
      <c r="D27" s="266" t="s">
        <v>442</v>
      </c>
      <c r="E27" s="117">
        <v>79.52</v>
      </c>
      <c r="F27" s="83"/>
      <c r="G27" s="69">
        <f t="shared" si="0"/>
        <v>2.78</v>
      </c>
    </row>
    <row r="28" spans="1:7" s="62" customFormat="1" ht="19.5" customHeight="1" thickBot="1">
      <c r="A28" s="87" t="s">
        <v>209</v>
      </c>
      <c r="B28" s="68"/>
      <c r="C28" s="71"/>
      <c r="D28" s="72" t="s">
        <v>213</v>
      </c>
      <c r="E28" s="85"/>
      <c r="F28" s="86"/>
      <c r="G28" s="75">
        <f>SUM(G16:G27)</f>
        <v>17.68</v>
      </c>
    </row>
    <row r="29" spans="1:7" s="62" customFormat="1" ht="19.5" customHeight="1">
      <c r="A29" s="751" t="s">
        <v>214</v>
      </c>
      <c r="B29" s="752"/>
      <c r="C29" s="752"/>
      <c r="D29" s="752"/>
      <c r="E29" s="752"/>
      <c r="F29" s="753"/>
      <c r="G29" s="88">
        <f>SUM(G10+G14+G28)</f>
        <v>165.42</v>
      </c>
    </row>
    <row r="30" spans="1:7" s="62" customFormat="1" ht="19.5" customHeight="1" thickBot="1">
      <c r="A30" s="89"/>
      <c r="B30" s="90"/>
      <c r="C30" s="71"/>
      <c r="D30" s="91" t="s">
        <v>215</v>
      </c>
      <c r="E30" s="92">
        <v>0.2746</v>
      </c>
      <c r="F30" s="68"/>
      <c r="G30" s="93">
        <f>E30*G29</f>
        <v>45.42</v>
      </c>
    </row>
    <row r="31" spans="1:7" s="62" customFormat="1" ht="19.5" customHeight="1" thickBot="1">
      <c r="A31" s="94" t="s">
        <v>216</v>
      </c>
      <c r="B31" s="95"/>
      <c r="C31" s="96"/>
      <c r="D31" s="95"/>
      <c r="E31" s="95"/>
      <c r="F31" s="97"/>
      <c r="G31" s="98">
        <f>SUM(G29:G30)</f>
        <v>210.84</v>
      </c>
    </row>
  </sheetData>
  <sheetProtection/>
  <mergeCells count="9">
    <mergeCell ref="A29:F29"/>
    <mergeCell ref="A1:G1"/>
    <mergeCell ref="A2:G2"/>
    <mergeCell ref="A3:G3"/>
    <mergeCell ref="A4:G4"/>
    <mergeCell ref="A5:G5"/>
    <mergeCell ref="B6:E6"/>
    <mergeCell ref="F6:G6"/>
    <mergeCell ref="A7:G7"/>
  </mergeCells>
  <printOptions horizontalCentered="1"/>
  <pageMargins left="0.5118110236220472" right="0.5118110236220472" top="0.7874015748031497" bottom="0.7874015748031497" header="0.31496062992125984" footer="0.31496062992125984"/>
  <pageSetup fitToHeight="1" fitToWidth="1" horizontalDpi="300" verticalDpi="3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jeniffer nascimento</cp:lastModifiedBy>
  <cp:lastPrinted>2022-11-07T19:35:35Z</cp:lastPrinted>
  <dcterms:created xsi:type="dcterms:W3CDTF">2005-01-22T11:41:57Z</dcterms:created>
  <dcterms:modified xsi:type="dcterms:W3CDTF">2022-11-07T19:35:39Z</dcterms:modified>
  <cp:category/>
  <cp:version/>
  <cp:contentType/>
  <cp:contentStatus/>
</cp:coreProperties>
</file>