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media/image32.wmf" ContentType="image/x-wmf"/>
  <Override PartName="/xl/media/image35.jpeg" ContentType="image/jpeg"/>
  <Override PartName="/xl/media/image33.jpeg" ContentType="image/jpeg"/>
  <Override PartName="/xl/media/image34.wmf" ContentType="image/x-wmf"/>
  <Override PartName="/xl/media/image36.jpeg" ContentType="image/jpeg"/>
  <Override PartName="/xl/media/image3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I equipamento" sheetId="1" state="visible" r:id="rId2"/>
    <sheet name="BDI obra 25" sheetId="2" state="visible" r:id="rId3"/>
    <sheet name="ENCARGOS" sheetId="3" state="visible" r:id="rId4"/>
    <sheet name="CRONOGRAMA" sheetId="4" state="hidden" r:id="rId5"/>
    <sheet name="Sinalização " sheetId="5" state="hidden" r:id="rId6"/>
    <sheet name="Composição de Preços Unitários" sheetId="6" state="hidden" r:id="rId7"/>
    <sheet name="Folha Rosto Comp. P. Unit. " sheetId="7" state="hidden" r:id="rId8"/>
  </sheets>
  <externalReferences>
    <externalReference r:id="rId9"/>
    <externalReference r:id="rId10"/>
  </externalReferences>
  <definedNames>
    <definedName function="false" hidden="false" localSheetId="0" name="_xlnm.Print_Area" vbProcedure="false">'BDI equipamento'!$A$1:$C$37</definedName>
    <definedName function="false" hidden="false" localSheetId="0" name="_xlnm.Print_Titles" vbProcedure="false">'BDI equipamento'!$3:$3</definedName>
    <definedName function="false" hidden="false" localSheetId="1" name="_xlnm.Print_Area" vbProcedure="false">'BDI obra 25'!$A$1:$C$37</definedName>
    <definedName function="false" hidden="false" localSheetId="1" name="_xlnm.Print_Titles" vbProcedure="false">'BDI obra 25'!$3:$3</definedName>
    <definedName function="false" hidden="false" localSheetId="5" name="_xlnm.Print_Area" vbProcedure="false">'Composição de Preços Unitários'!$B$1:$K$743</definedName>
    <definedName function="false" hidden="false" localSheetId="5" name="_xlnm.Print_Titles" vbProcedure="false">'Composição de Preços Unitários'!$1:$6</definedName>
    <definedName function="false" hidden="false" localSheetId="3" name="_xlnm.Print_Area" vbProcedure="false">CRONOGRAMA!$B$2:$H$81</definedName>
    <definedName function="false" hidden="false" localSheetId="2" name="_xlnm.Print_Area" vbProcedure="false">ENCARGOS!$A$1:$D$42</definedName>
    <definedName function="false" hidden="false" localSheetId="2" name="_xlnm.Print_Titles" vbProcedure="false">ENCARGOS!$3:$3</definedName>
    <definedName function="false" hidden="false" localSheetId="4" name="_xlnm.Print_Area" vbProcedure="false">'Sinalização '!$A$1:$G$49</definedName>
    <definedName function="false" hidden="false" localSheetId="4" name="_xlnm.Print_Titles" vbProcedure="false">'Sinalização '!$1:$7</definedName>
    <definedName function="false" hidden="false" name="OBRA" vbProcedure="false">#REF!</definedName>
    <definedName function="false" hidden="false" name="_xlnm.Database" vbProcedure="false">#REF!</definedName>
    <definedName function="false" hidden="false" localSheetId="0" name="OBRA" vbProcedure="false">#REF!</definedName>
    <definedName function="false" hidden="false" localSheetId="0" name="_xlnm.Database" vbProcedure="false">#REF!</definedName>
    <definedName function="false" hidden="false" localSheetId="0" name="_xlnm.Print_Area_0" vbProcedure="false">'BDI equipamento'!$A$3:$C$37</definedName>
    <definedName function="false" hidden="false" localSheetId="1" name="OBRA" vbProcedure="false">#REF!</definedName>
    <definedName function="false" hidden="false" localSheetId="1" name="_xlnm.Database" vbProcedure="false">#REF!</definedName>
    <definedName function="false" hidden="false" localSheetId="1" name="_xlnm.Print_Area_0" vbProcedure="false">'BDI obra 25'!$A$3:$C$37</definedName>
    <definedName function="false" hidden="false" localSheetId="2" name="OBRA" vbProcedure="false">#REF!</definedName>
    <definedName function="false" hidden="false" localSheetId="2" name="_xlnm.Database" vbProcedure="false">#REF!</definedName>
    <definedName function="false" hidden="false" localSheetId="2" name="_xlnm.Print_Area_0" vbProcedure="false">ENCARGOS!$A$3:$D$42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<sst xmlns="http://schemas.openxmlformats.org/spreadsheetml/2006/main" count="1741" uniqueCount="465">
  <si>
    <t xml:space="preserve">COMPOSIÇÃO ANALÍTICA DAS TAXAS DE BDI_EQUIPAMENTO</t>
  </si>
  <si>
    <t xml:space="preserve">ITEM</t>
  </si>
  <si>
    <t xml:space="preserve">DESCRIÇÃO</t>
  </si>
  <si>
    <t xml:space="preserve">%</t>
  </si>
  <si>
    <t xml:space="preserve">DESPESAS FINANCEIRAS</t>
  </si>
  <si>
    <t xml:space="preserve">ADMINISTRAÇÃO CENTRAL</t>
  </si>
  <si>
    <t xml:space="preserve">LUCRO</t>
  </si>
  <si>
    <t xml:space="preserve">IMPOSTOS</t>
  </si>
  <si>
    <t xml:space="preserve">4.1</t>
  </si>
  <si>
    <t xml:space="preserve">PIS</t>
  </si>
  <si>
    <t xml:space="preserve">4.2</t>
  </si>
  <si>
    <t xml:space="preserve">ISS</t>
  </si>
  <si>
    <t xml:space="preserve">4.3</t>
  </si>
  <si>
    <t xml:space="preserve">COFINS</t>
  </si>
  <si>
    <t xml:space="preserve">4.4</t>
  </si>
  <si>
    <t xml:space="preserve">INSS - LEI 12.844/13</t>
  </si>
  <si>
    <t xml:space="preserve">OUTRAS DESPESAS</t>
  </si>
  <si>
    <t xml:space="preserve">5.1</t>
  </si>
  <si>
    <t xml:space="preserve">RISCO</t>
  </si>
  <si>
    <t xml:space="preserve">5.2</t>
  </si>
  <si>
    <t xml:space="preserve">GARANTIA</t>
  </si>
  <si>
    <t xml:space="preserve">5.3</t>
  </si>
  <si>
    <t xml:space="preserve">SEGUROS</t>
  </si>
  <si>
    <t xml:space="preserve">BDI TOTAL</t>
  </si>
  <si>
    <t xml:space="preserve">Fórmula:</t>
  </si>
  <si>
    <t xml:space="preserve">OBS: ISS para fornecimento de materiais e equipamentos é igual a 0,00%</t>
  </si>
  <si>
    <t xml:space="preserve">FONTE UTILIZADA: TCU - Acordão 2.622/2013</t>
  </si>
  <si>
    <t xml:space="preserve">COMPOSIÇÃO DE BDI - NÃO DESONERADO</t>
  </si>
  <si>
    <t xml:space="preserve">Obs: (*) % de ISS considerando 2%, 3,5% e 5% sobre 50% do Preço de Venda - Observar a legislação do Município.</t>
  </si>
  <si>
    <t xml:space="preserve">COMP. ANALITICA DAS TAXAS DE ENCARGOS SOCIAIS_NÃO DESONERADO</t>
  </si>
  <si>
    <t xml:space="preserve">CÓDIGO</t>
  </si>
  <si>
    <t xml:space="preserve">HORISTA</t>
  </si>
  <si>
    <t xml:space="preserve">MENSALISTA</t>
  </si>
  <si>
    <t xml:space="preserve">GRUPO A</t>
  </si>
  <si>
    <t xml:space="preserve">ENCARGOS SOCIAIS BÁSICOS</t>
  </si>
  <si>
    <t xml:space="preserve">A 1</t>
  </si>
  <si>
    <t xml:space="preserve">Previdência Social - INSS*</t>
  </si>
  <si>
    <t xml:space="preserve">A 2</t>
  </si>
  <si>
    <t xml:space="preserve">Serviço Social da Industria - SESI</t>
  </si>
  <si>
    <t xml:space="preserve">A 3</t>
  </si>
  <si>
    <t xml:space="preserve">Serviço Nacional de Aprendizagem Industrial - SENAI</t>
  </si>
  <si>
    <t xml:space="preserve">A 4</t>
  </si>
  <si>
    <t xml:space="preserve">Instituto Nacional de Colonização e reforma Agraria - INCRA</t>
  </si>
  <si>
    <t xml:space="preserve">A 5</t>
  </si>
  <si>
    <t xml:space="preserve">Salario - Educação</t>
  </si>
  <si>
    <t xml:space="preserve">A 6</t>
  </si>
  <si>
    <t xml:space="preserve">Fundo de Garantia por Tempo de Serviço - FGTS</t>
  </si>
  <si>
    <t xml:space="preserve">A 7</t>
  </si>
  <si>
    <t xml:space="preserve">Seguro contra  Acidente do Trabalho - INSS</t>
  </si>
  <si>
    <t xml:space="preserve">A 8</t>
  </si>
  <si>
    <t xml:space="preserve">Serviço de Apoio a Pequena e Media Empresa - SEBRAE</t>
  </si>
  <si>
    <t xml:space="preserve">A9</t>
  </si>
  <si>
    <t xml:space="preserve">SINDUSCON</t>
  </si>
  <si>
    <t xml:space="preserve">SUB –TOTAL</t>
  </si>
  <si>
    <t xml:space="preserve">GRUPO B</t>
  </si>
  <si>
    <t xml:space="preserve">ENCARGOS QUE RECEBEM A INCIDÊNCIA DO GRUPO A</t>
  </si>
  <si>
    <t xml:space="preserve">B 1</t>
  </si>
  <si>
    <t xml:space="preserve">Férias</t>
  </si>
  <si>
    <t xml:space="preserve">B 2</t>
  </si>
  <si>
    <t xml:space="preserve">Auxílio Enfermidade</t>
  </si>
  <si>
    <t xml:space="preserve">B 3</t>
  </si>
  <si>
    <t xml:space="preserve">Licença Paternidade</t>
  </si>
  <si>
    <t xml:space="preserve">B 4</t>
  </si>
  <si>
    <t xml:space="preserve">Licença Maternidade</t>
  </si>
  <si>
    <t xml:space="preserve">B 5</t>
  </si>
  <si>
    <t xml:space="preserve">Faltas legais</t>
  </si>
  <si>
    <t xml:space="preserve">B 6</t>
  </si>
  <si>
    <t xml:space="preserve">Acidentes de Trabalho</t>
  </si>
  <si>
    <t xml:space="preserve">B 7</t>
  </si>
  <si>
    <t xml:space="preserve">13º Salário</t>
  </si>
  <si>
    <t xml:space="preserve">B 8</t>
  </si>
  <si>
    <t xml:space="preserve">Repouso semanal remunerado</t>
  </si>
  <si>
    <t xml:space="preserve">B 9</t>
  </si>
  <si>
    <t xml:space="preserve">Feriados</t>
  </si>
  <si>
    <t xml:space="preserve">B 10</t>
  </si>
  <si>
    <t xml:space="preserve">Dias de chuvas</t>
  </si>
  <si>
    <t xml:space="preserve">SUB – TOTAL</t>
  </si>
  <si>
    <t xml:space="preserve">GRUPO C</t>
  </si>
  <si>
    <t xml:space="preserve">ENCARGOS QUE NÃO RECEBEM INCIDÊNCIA DO GRUPO A</t>
  </si>
  <si>
    <t xml:space="preserve">C 1</t>
  </si>
  <si>
    <t xml:space="preserve">Aviso Prévio Indenizado</t>
  </si>
  <si>
    <t xml:space="preserve">C 2</t>
  </si>
  <si>
    <t xml:space="preserve">Aviso Prévio Trabalhado</t>
  </si>
  <si>
    <t xml:space="preserve">C 3</t>
  </si>
  <si>
    <t xml:space="preserve">Férias Indenizadas + 1/3</t>
  </si>
  <si>
    <t xml:space="preserve">C 4</t>
  </si>
  <si>
    <t xml:space="preserve">Indenização Adicional</t>
  </si>
  <si>
    <t xml:space="preserve">C 5</t>
  </si>
  <si>
    <t xml:space="preserve">Depósito por rescisões sem justa causa</t>
  </si>
  <si>
    <t xml:space="preserve">GRUPO D</t>
  </si>
  <si>
    <t xml:space="preserve">TOTAL DAS TAXAS DE REINCIDÊNCIAS</t>
  </si>
  <si>
    <t xml:space="preserve">D 1</t>
  </si>
  <si>
    <t xml:space="preserve">Reincidência do grupa A sobre o Grupo B</t>
  </si>
  <si>
    <t xml:space="preserve">D 2</t>
  </si>
  <si>
    <t xml:space="preserve">Reincidência do grupa A sobre  Aviso Prévio Trabalho + Reincidência de FGTS sobre Aviso Prévio Indenizado</t>
  </si>
  <si>
    <t xml:space="preserve">TAXA TOTAL DE ENCARGOS SOCIAIS</t>
  </si>
  <si>
    <t xml:space="preserve">PREFEITURA MUNICIPAL DE ANANINDEUA</t>
  </si>
  <si>
    <t xml:space="preserve">SECRETARIA MUNICIPAL SAUDE - SESAU</t>
  </si>
  <si>
    <t xml:space="preserve">OBRA: CONSTRUÇÃO UBS JARDIM AMAZÔNIA</t>
  </si>
  <si>
    <t xml:space="preserve">LOCAL: </t>
  </si>
  <si>
    <t xml:space="preserve">DATA BASE: ABRIL 2013</t>
  </si>
  <si>
    <t xml:space="preserve">CRONOGRAMA FÍSICO - FINANCEIRO</t>
  </si>
  <si>
    <t xml:space="preserve">DISCRIMINAÇÃO</t>
  </si>
  <si>
    <t xml:space="preserve">MESES DE SERVIÇOS</t>
  </si>
  <si>
    <t xml:space="preserve">TOTAL</t>
  </si>
  <si>
    <t xml:space="preserve">SERVIÇOS PRELIMINARES</t>
  </si>
  <si>
    <t xml:space="preserve">Percentual(%)</t>
  </si>
  <si>
    <t xml:space="preserve">Valor (R$)</t>
  </si>
  <si>
    <t xml:space="preserve">DEMOLIÇÕES E RETIRADAS</t>
  </si>
  <si>
    <t xml:space="preserve">MOVIMENTO DE TERRA</t>
  </si>
  <si>
    <t xml:space="preserve">FUNDAÇÕES</t>
  </si>
  <si>
    <t xml:space="preserve">ESTRUTURA</t>
  </si>
  <si>
    <t xml:space="preserve">PAREDES E PAÍNEIS</t>
  </si>
  <si>
    <t xml:space="preserve">PISOS</t>
  </si>
  <si>
    <t xml:space="preserve">REVESTIMENTO</t>
  </si>
  <si>
    <t xml:space="preserve">FORRO</t>
  </si>
  <si>
    <t xml:space="preserve">COBERTURA</t>
  </si>
  <si>
    <t xml:space="preserve">TELHAMENTO</t>
  </si>
  <si>
    <t xml:space="preserve">IMPERMEABILIZAÇÃO E TRATAMENTO</t>
  </si>
  <si>
    <t xml:space="preserve">ESQUADRIAS</t>
  </si>
  <si>
    <t xml:space="preserve">FERRAGENS</t>
  </si>
  <si>
    <t xml:space="preserve">RODAPES, SOLEIRAS E PEITORIS</t>
  </si>
  <si>
    <t xml:space="preserve">PINTURAS</t>
  </si>
  <si>
    <t xml:space="preserve">INSTALAÇÕES ELETRICAS</t>
  </si>
  <si>
    <t xml:space="preserve">INSTALAÇÕES HIDROSANITARIAS</t>
  </si>
  <si>
    <t xml:space="preserve">APARELHOAS, LOUÇAS E METAIS</t>
  </si>
  <si>
    <t xml:space="preserve">INSTALAÇÃO DE AR CONDICIONADO</t>
  </si>
  <si>
    <t xml:space="preserve">DIVERSOS</t>
  </si>
  <si>
    <t xml:space="preserve">LIMPEZA FINAL</t>
  </si>
  <si>
    <t xml:space="preserve">PERCENTUAL SIMPLES</t>
  </si>
  <si>
    <t xml:space="preserve">PERCENTUAL ACUMULADO</t>
  </si>
  <si>
    <t xml:space="preserve">VALOR TOTAL SIMPLES</t>
  </si>
  <si>
    <t xml:space="preserve">VALOR TOTAL </t>
  </si>
  <si>
    <t xml:space="preserve">VALOR TOTAL ACUMULADO</t>
  </si>
  <si>
    <t xml:space="preserve">OBRA: CICLOVIA DO GUAMÁ - BELÉM/PA</t>
  </si>
  <si>
    <r>
      <rPr>
        <b val="true"/>
        <sz val="8"/>
        <rFont val="Arial"/>
        <family val="2"/>
        <charset val="1"/>
      </rPr>
      <t xml:space="preserve">DATA BASE: </t>
    </r>
    <r>
      <rPr>
        <b val="true"/>
        <sz val="14"/>
        <rFont val="Arial"/>
        <family val="2"/>
        <charset val="1"/>
      </rPr>
      <t xml:space="preserve">SETEMBRO / 2006</t>
    </r>
  </si>
  <si>
    <t xml:space="preserve">ORÇAMENTO EXECUTIVO</t>
  </si>
  <si>
    <t xml:space="preserve">CODIGO DA COMP. PREÇOS</t>
  </si>
  <si>
    <t xml:space="preserve">DESCRIÇÃO DOS SERVIÇOS</t>
  </si>
  <si>
    <t xml:space="preserve">UNID.</t>
  </si>
  <si>
    <t xml:space="preserve">QUANT.</t>
  </si>
  <si>
    <t xml:space="preserve">UNITÁRIO</t>
  </si>
  <si>
    <t xml:space="preserve">4</t>
  </si>
  <si>
    <t xml:space="preserve">SINALIZACAO HORIZONTAL, VERTICAL E SEMAFORICA</t>
  </si>
  <si>
    <t xml:space="preserve"> SINALIZAÇÃO VERTICAL</t>
  </si>
  <si>
    <t xml:space="preserve">4.1.1</t>
  </si>
  <si>
    <t xml:space="preserve">PLACAS DE REGULAMENTAÇÃO</t>
  </si>
  <si>
    <t xml:space="preserve">4.1.1.1</t>
  </si>
  <si>
    <t xml:space="preserve">Placa de Sinalização de Regulamentação octogonal</t>
  </si>
  <si>
    <t xml:space="preserve">unid.</t>
  </si>
  <si>
    <t xml:space="preserve">4.1.1.2</t>
  </si>
  <si>
    <t xml:space="preserve">Placa de Sinalização de Regulamentação circular</t>
  </si>
  <si>
    <t xml:space="preserve">4.1.1.3</t>
  </si>
  <si>
    <t xml:space="preserve">Placa de Sinalização de Advertência</t>
  </si>
  <si>
    <t xml:space="preserve">4.1.1.4</t>
  </si>
  <si>
    <t xml:space="preserve">Placa de Indicação de Serviços Auxiliares</t>
  </si>
  <si>
    <t xml:space="preserve">4.1.1.5</t>
  </si>
  <si>
    <t xml:space="preserve">Placa de Sinalização de Indicação</t>
  </si>
  <si>
    <t xml:space="preserve">4.1.1.6</t>
  </si>
  <si>
    <t xml:space="preserve">Placa de Sin. de Regulamentação Especial - PRE</t>
  </si>
  <si>
    <r>
      <rPr>
        <sz val="8"/>
        <rFont val="Arial"/>
        <family val="2"/>
        <charset val="1"/>
      </rPr>
      <t xml:space="preserve">m</t>
    </r>
    <r>
      <rPr>
        <vertAlign val="superscript"/>
        <sz val="8"/>
        <rFont val="Arial"/>
        <family val="2"/>
        <charset val="1"/>
      </rPr>
      <t xml:space="preserve">2</t>
    </r>
  </si>
  <si>
    <t xml:space="preserve">4.1.1.7</t>
  </si>
  <si>
    <t xml:space="preserve">Placa de Sin. de Advertência Especial - PA</t>
  </si>
  <si>
    <t xml:space="preserve"> Total do Item - 4.1</t>
  </si>
  <si>
    <t xml:space="preserve"> SINALIZAÇÃO HORIZONTAL</t>
  </si>
  <si>
    <t xml:space="preserve">4.2.1</t>
  </si>
  <si>
    <t xml:space="preserve">Pintura de faixa de pedestres  </t>
  </si>
  <si>
    <t xml:space="preserve">4.2.2</t>
  </si>
  <si>
    <t xml:space="preserve">Pintura de faixa divisória de fluxo seccionada (via)</t>
  </si>
  <si>
    <t xml:space="preserve">4.2.3</t>
  </si>
  <si>
    <t xml:space="preserve">Pintura de faixa divisória de fluxo seccionada (ciclovia)</t>
  </si>
  <si>
    <t xml:space="preserve">4.2.4</t>
  </si>
  <si>
    <t xml:space="preserve">Pintura de faixa de estacionamento seccionada</t>
  </si>
  <si>
    <t xml:space="preserve">4.2.5</t>
  </si>
  <si>
    <t xml:space="preserve">Pintura de faixa de bordo contínua (via) </t>
  </si>
  <si>
    <t xml:space="preserve">4.2.6</t>
  </si>
  <si>
    <t xml:space="preserve">Pintura de faixa de bordo contínua (ciclovia)</t>
  </si>
  <si>
    <t xml:space="preserve">4.2.7</t>
  </si>
  <si>
    <t xml:space="preserve">Pintura de faixa de retenção branca </t>
  </si>
  <si>
    <t xml:space="preserve">4.2.8</t>
  </si>
  <si>
    <t xml:space="preserve">Pintura de faixa de aproximação simples branca </t>
  </si>
  <si>
    <t xml:space="preserve">4.2.9</t>
  </si>
  <si>
    <t xml:space="preserve">Pintura de faixa de aproximação dupla amarela</t>
  </si>
  <si>
    <t xml:space="preserve">4.2.10</t>
  </si>
  <si>
    <t xml:space="preserve">Pintura de cruzamento em ângulo reto (ciclovia)</t>
  </si>
  <si>
    <t xml:space="preserve">4.2.11</t>
  </si>
  <si>
    <t xml:space="preserve">Pintura de bicicleta</t>
  </si>
  <si>
    <t xml:space="preserve">4.2.12</t>
  </si>
  <si>
    <t xml:space="preserve">Pintura de setas </t>
  </si>
  <si>
    <t xml:space="preserve">4.2.13</t>
  </si>
  <si>
    <t xml:space="preserve">Pintura de canalização (zebrado)</t>
  </si>
  <si>
    <t xml:space="preserve">4.2.14</t>
  </si>
  <si>
    <t xml:space="preserve">Pintura de legenda PARE (via)</t>
  </si>
  <si>
    <t xml:space="preserve">4.2.15</t>
  </si>
  <si>
    <t xml:space="preserve">Pintura de legenda PARE (ciclovia)</t>
  </si>
  <si>
    <t xml:space="preserve">4.2.16</t>
  </si>
  <si>
    <t xml:space="preserve">Pintura de legenda SINAL (ciclovia)</t>
  </si>
  <si>
    <t xml:space="preserve">4.2.17</t>
  </si>
  <si>
    <t xml:space="preserve">Tacha refletiva bidirecional</t>
  </si>
  <si>
    <t xml:space="preserve">4.2.18</t>
  </si>
  <si>
    <t xml:space="preserve">Tachão refletivo bidirecional</t>
  </si>
  <si>
    <t xml:space="preserve"> Total do Item - 4.2</t>
  </si>
  <si>
    <t xml:space="preserve"> SINALIZAÇÃO SEMAFÓRICA</t>
  </si>
  <si>
    <t xml:space="preserve">4.3.1</t>
  </si>
  <si>
    <t xml:space="preserve">Semáforo para pedestre 200x200 </t>
  </si>
  <si>
    <t xml:space="preserve">4.3.2</t>
  </si>
  <si>
    <t xml:space="preserve">Coluna simples para semáforo de pedestre</t>
  </si>
  <si>
    <t xml:space="preserve"> Total do Item - 4.3</t>
  </si>
  <si>
    <t xml:space="preserve">TOTAL GERAL DO ITEM - 4</t>
  </si>
  <si>
    <t xml:space="preserve">COMPOSIÇÃO DE PREÇOS UNITÁRIOS</t>
  </si>
  <si>
    <t xml:space="preserve">1</t>
  </si>
  <si>
    <t xml:space="preserve">SERVIÇO:  </t>
  </si>
  <si>
    <t xml:space="preserve">INSTALAÇÕES PROVISÓRIAS</t>
  </si>
  <si>
    <t xml:space="preserve">UNIDADE:</t>
  </si>
  <si>
    <t xml:space="preserve">un</t>
  </si>
  <si>
    <t xml:space="preserve">                    MÃO DE OBRA SUPLEMENTAR</t>
  </si>
  <si>
    <t xml:space="preserve">UNIDADE</t>
  </si>
  <si>
    <t xml:space="preserve">COEFIC.</t>
  </si>
  <si>
    <t xml:space="preserve">CUSTO</t>
  </si>
  <si>
    <t xml:space="preserve">   CUSTO UNITÁRIO</t>
  </si>
  <si>
    <t xml:space="preserve">LEIS SOCIAIS</t>
  </si>
  <si>
    <t xml:space="preserve">(  A )   T O T A L                                      </t>
  </si>
  <si>
    <t xml:space="preserve">                                M A T E R I A L</t>
  </si>
  <si>
    <t xml:space="preserve">CUSTO UNITÁRIO</t>
  </si>
  <si>
    <t xml:space="preserve">LUZ, ÁGUA</t>
  </si>
  <si>
    <t xml:space="preserve">BANHEIRO  QUÍMICO</t>
  </si>
  <si>
    <t xml:space="preserve">                   </t>
  </si>
  <si>
    <t xml:space="preserve">(  B  )   T O T A L</t>
  </si>
  <si>
    <t xml:space="preserve">     C U S T O   D I R E T O   T O T A L   ( A )+ ( B )  =                         </t>
  </si>
  <si>
    <t xml:space="preserve">      B O N I F I C A Ç Ã O</t>
  </si>
  <si>
    <t xml:space="preserve">C U S T O   U N I T Á R I O     T O T A L</t>
  </si>
  <si>
    <t xml:space="preserve">2</t>
  </si>
  <si>
    <t xml:space="preserve">MOBILIZAÇÃO E DESMOBILIZAÇÃO</t>
  </si>
  <si>
    <t xml:space="preserve">TRANSPORTES DE PESSOAL</t>
  </si>
  <si>
    <t xml:space="preserve">FRETE DE EQUIPAMENTOS</t>
  </si>
  <si>
    <t xml:space="preserve">CONSTRUÇÃO  DO BARRACÃO DA OBRA</t>
  </si>
  <si>
    <t xml:space="preserve">m²</t>
  </si>
  <si>
    <t xml:space="preserve">CUSTO TOTAL</t>
  </si>
  <si>
    <t xml:space="preserve">CARPINTEIRO</t>
  </si>
  <si>
    <t xml:space="preserve">h</t>
  </si>
  <si>
    <t xml:space="preserve">SERVENTE</t>
  </si>
  <si>
    <t xml:space="preserve">SOMA</t>
  </si>
  <si>
    <t xml:space="preserve">LEIS SOCIAIS   </t>
  </si>
  <si>
    <t xml:space="preserve">(  A  )   T O T A L                                      </t>
  </si>
  <si>
    <t xml:space="preserve"> CONSUMO </t>
  </si>
  <si>
    <t xml:space="preserve">PERNAMANCA 3"x 2" 20 PALMOS - MADEIRA BRANCA</t>
  </si>
  <si>
    <t xml:space="preserve">dz</t>
  </si>
  <si>
    <t xml:space="preserve">CADEADO - Nº: 30</t>
  </si>
  <si>
    <t xml:space="preserve">ARRUELA CONCAVA DE CHUMBO D= 5/16" </t>
  </si>
  <si>
    <t xml:space="preserve">TELHA FIBROTEX ( 1,22 x 0,55 )m, e=4,00mm</t>
  </si>
  <si>
    <t xml:space="preserve">RÉGUA 3" x 1"  20 PALMOS APAR.</t>
  </si>
  <si>
    <t xml:space="preserve">TÁBUA DE MADEIRA BRANCA - 20 PALMOS</t>
  </si>
  <si>
    <t xml:space="preserve">PARAFUSO FºGº 5/16" C= 110mm</t>
  </si>
  <si>
    <t xml:space="preserve">FECHADURA DE SOBREPOR COMUM</t>
  </si>
  <si>
    <t xml:space="preserve">DOBRADIÇA 3"x 3"  COM PARAFUSO</t>
  </si>
  <si>
    <t xml:space="preserve">PREGO 2 1/2" x 10</t>
  </si>
  <si>
    <t xml:space="preserve">kg</t>
  </si>
  <si>
    <t xml:space="preserve">MASSA DE VEDAÇÃO</t>
  </si>
  <si>
    <t xml:space="preserve">TÁBUA DE MADEIRA FORTE DE 20 PALMOS</t>
  </si>
  <si>
    <t xml:space="preserve">ALDRAVA PARA CADEADO ( 4 x 1/2" )</t>
  </si>
  <si>
    <t xml:space="preserve">INSTALAÇÃO ELÉTRICA</t>
  </si>
  <si>
    <t xml:space="preserve">INSTALAÇÃO HIDRO SANITÁRIA</t>
  </si>
  <si>
    <t xml:space="preserve">     C U S T O   D I R E T O   T O T A L   ( A )+ ( B )  =                    </t>
  </si>
  <si>
    <t xml:space="preserve">FORNECIMENTO E COLOCAÇÃO DA PLACA DA OBRA</t>
  </si>
  <si>
    <t xml:space="preserve">PINTOR</t>
  </si>
  <si>
    <t xml:space="preserve">MATERIAL</t>
  </si>
  <si>
    <t xml:space="preserve">FUNDO ANTIÓXIDO CROMATO DE ZINCO</t>
  </si>
  <si>
    <t xml:space="preserve">gl</t>
  </si>
  <si>
    <t xml:space="preserve">TINTA A BASE DE ÓLEO</t>
  </si>
  <si>
    <t xml:space="preserve">PREGO 2" x 11</t>
  </si>
  <si>
    <t xml:space="preserve">CHAPA DE FERRO GALVANIZADO-26 (1,00 x 2,00)m</t>
  </si>
  <si>
    <t xml:space="preserve">ch</t>
  </si>
  <si>
    <t xml:space="preserve">RÉGUA DE 3"x 1 20 PALMOS APAR.</t>
  </si>
  <si>
    <t xml:space="preserve">     C U S T O   D I R E T O   T O T A L   ( A )+ ( B ) =            </t>
  </si>
  <si>
    <t xml:space="preserve">LIMPEZA PERMANENTE DA OBRA</t>
  </si>
  <si>
    <t xml:space="preserve"> MÊS</t>
  </si>
  <si>
    <t xml:space="preserve">  CUSTO</t>
  </si>
  <si>
    <t xml:space="preserve">M A T E R I A L</t>
  </si>
  <si>
    <t xml:space="preserve">( B  )   T O T A L</t>
  </si>
  <si>
    <t xml:space="preserve">ADMINISTRAÇÃO DA OBRA</t>
  </si>
  <si>
    <t xml:space="preserve">mês</t>
  </si>
  <si>
    <t xml:space="preserve">ENGENHEIRO CIVIL</t>
  </si>
  <si>
    <t xml:space="preserve">MESTRE DE OBRA</t>
  </si>
  <si>
    <t xml:space="preserve">ALMOXARIFE</t>
  </si>
  <si>
    <t xml:space="preserve">APONTADOR</t>
  </si>
  <si>
    <t xml:space="preserve">TAXAS E EMOLUMENTOS</t>
  </si>
  <si>
    <t xml:space="preserve">CREA - PA</t>
  </si>
  <si>
    <t xml:space="preserve">PREFEITURA MUNICIPAL </t>
  </si>
  <si>
    <t xml:space="preserve">REDE CELPA</t>
  </si>
  <si>
    <t xml:space="preserve">TAXAS, CARTÓRIOS, SERVIÇOS, ETC</t>
  </si>
  <si>
    <t xml:space="preserve">       C U S T O   U N I T Á R I O     T O T A L</t>
  </si>
  <si>
    <t xml:space="preserve">LOCAÇÃO TOPOGRÁFICA DA OBRA</t>
  </si>
  <si>
    <t xml:space="preserve">Km</t>
  </si>
  <si>
    <t xml:space="preserve">TOPÓGRAFO</t>
  </si>
  <si>
    <t xml:space="preserve">AJUDANTE DE TOPÓGRAFO</t>
  </si>
  <si>
    <t xml:space="preserve">AJUDANTE</t>
  </si>
  <si>
    <t xml:space="preserve">CONSUMO</t>
  </si>
  <si>
    <t xml:space="preserve">TÁBUA EM MADEIRA BRANCA</t>
  </si>
  <si>
    <t xml:space="preserve">CAIBRO ROLIÇO</t>
  </si>
  <si>
    <t xml:space="preserve">PREGO 2"x 10</t>
  </si>
  <si>
    <t xml:space="preserve">ARAME RECOZIDO</t>
  </si>
  <si>
    <t xml:space="preserve">(  B  )   T O T A L                                      </t>
  </si>
  <si>
    <t xml:space="preserve">EQUIPAMENTOS</t>
  </si>
  <si>
    <t xml:space="preserve">TEODOLITO</t>
  </si>
  <si>
    <t xml:space="preserve">NÍVEL</t>
  </si>
  <si>
    <t xml:space="preserve">(  C  )   T O T A L                                      </t>
  </si>
  <si>
    <t xml:space="preserve">     C U S T O   D I R E T O   T O T A L   ( A )  =                          </t>
  </si>
  <si>
    <t xml:space="preserve">C U S T O   U N I T Á R I O     T O T A L (Km)</t>
  </si>
  <si>
    <t xml:space="preserve">RET. PAVIM. ASFÁLTICA</t>
  </si>
  <si>
    <t xml:space="preserve">PRODUÇÃO:</t>
  </si>
  <si>
    <t xml:space="preserve">M³</t>
  </si>
  <si>
    <t xml:space="preserve">m³</t>
  </si>
  <si>
    <t xml:space="preserve">ENCARREGADO</t>
  </si>
  <si>
    <t xml:space="preserve">EQUIPAMENTO</t>
  </si>
  <si>
    <t xml:space="preserve">CUSTO HORÁRIO</t>
  </si>
  <si>
    <t xml:space="preserve">PRODUTIVO</t>
  </si>
  <si>
    <t xml:space="preserve">IMPRODUTIVO</t>
  </si>
  <si>
    <t xml:space="preserve">PÁ CARREGADEIRA / RETROESCAVADEIRA (57 kw)</t>
  </si>
  <si>
    <t xml:space="preserve">(  C  )   T O T A L</t>
  </si>
  <si>
    <t xml:space="preserve">     C U S T O   D I R E T O   T O T A L   ( A )+ ( B ) + ( C ) =            </t>
  </si>
  <si>
    <t xml:space="preserve">ADICIONAL DE FERRAMENTAS (5%)</t>
  </si>
  <si>
    <t xml:space="preserve">CUSTO DIRETO TOTAL =</t>
  </si>
  <si>
    <t xml:space="preserve">       C U S T O  T O T A L</t>
  </si>
  <si>
    <t xml:space="preserve">       C U S T O  U  N  I  T  Á  R  I  O   T O T A L</t>
  </si>
  <si>
    <t xml:space="preserve">ESCAVAÇÃO CARGA TRANSPORTE E COMPAC. DE ATERROS (EMPRÉSTIMOS)</t>
  </si>
  <si>
    <t xml:space="preserve"> MODELO</t>
  </si>
  <si>
    <t xml:space="preserve">QUANTIDADE</t>
  </si>
  <si>
    <t xml:space="preserve">UTILIZAÇÃO</t>
  </si>
  <si>
    <t xml:space="preserve">  CUSTO OPERACIONAL</t>
  </si>
  <si>
    <t xml:space="preserve">PROD.</t>
  </si>
  <si>
    <t xml:space="preserve">IMPROD.</t>
  </si>
  <si>
    <t xml:space="preserve">PÁ MECÂNICA</t>
  </si>
  <si>
    <t xml:space="preserve">CAMINHÃO BASCULANTE</t>
  </si>
  <si>
    <t xml:space="preserve">CONSUMO </t>
  </si>
  <si>
    <t xml:space="preserve">DEMOLIÇÃO DE MEIO-FIO</t>
  </si>
  <si>
    <t xml:space="preserve">m</t>
  </si>
  <si>
    <t xml:space="preserve">DEMOLIÇÃO DE CALÇADAS</t>
  </si>
  <si>
    <t xml:space="preserve">ESCAVAÇÃO MECANIZADA EM MATERIAL DE 1ª CATEGORIA</t>
  </si>
  <si>
    <t xml:space="preserve">RETROESCAVADEIRA</t>
  </si>
  <si>
    <t xml:space="preserve">SERVIÇO: </t>
  </si>
  <si>
    <t xml:space="preserve">BOTA-FORA MECANIZADO - DMT=10 Km</t>
  </si>
  <si>
    <t xml:space="preserve">m³ </t>
  </si>
  <si>
    <t xml:space="preserve">  MODELO</t>
  </si>
  <si>
    <t xml:space="preserve"> QUANT: </t>
  </si>
  <si>
    <t xml:space="preserve">CUSTO  OPERACIONAL</t>
  </si>
  <si>
    <t xml:space="preserve">(A) TOTAL:</t>
  </si>
  <si>
    <t xml:space="preserve">     C U S T O   D I R E T O   T O T A L   ( A ) =                   </t>
  </si>
  <si>
    <t xml:space="preserve">IMPRIMAÇÃO ASFÁLTICA COM CM - 30</t>
  </si>
  <si>
    <t xml:space="preserve">ENCARREGADO </t>
  </si>
  <si>
    <t xml:space="preserve">LEIS  SOCIAIS  </t>
  </si>
  <si>
    <t xml:space="preserve">COEFICIENTE</t>
  </si>
  <si>
    <t xml:space="preserve">   CUSTO OPERACIONAL</t>
  </si>
  <si>
    <t xml:space="preserve">VASSOURA MECÂNICA REBOCÁVEL</t>
  </si>
  <si>
    <t xml:space="preserve">TANQUE DE ESTOC. ASFALTO ( 20.000 litros )</t>
  </si>
  <si>
    <t xml:space="preserve">CAMINHÃO DISTRIBUIDOR DE ASFALTO</t>
  </si>
  <si>
    <t xml:space="preserve">TRATOR DE PNEUS 80 A 115 HP</t>
  </si>
  <si>
    <t xml:space="preserve">EMULSÃO ASFÁLTICA RR - 1C ( Frete incluso )</t>
  </si>
  <si>
    <t xml:space="preserve">ton.</t>
  </si>
  <si>
    <t xml:space="preserve">REVESTIMENTO EM C.B.U.Q - e= 5,00Cm</t>
  </si>
  <si>
    <t xml:space="preserve">TON</t>
  </si>
  <si>
    <t xml:space="preserve">USINA DE ASFALTO A QUENTE 40/60 T/H</t>
  </si>
  <si>
    <t xml:space="preserve">CARREGADOR FRONTAL DE PNEUS 1,33 m³</t>
  </si>
  <si>
    <t xml:space="preserve">GRUPO GERADOR 86 KWA</t>
  </si>
  <si>
    <t xml:space="preserve">CIMENTO ASFALTICO CAP-20</t>
  </si>
  <si>
    <t xml:space="preserve">FILLER</t>
  </si>
  <si>
    <t xml:space="preserve">ÓLEO COMBUSTÍVEL</t>
  </si>
  <si>
    <t xml:space="preserve">AREIA</t>
  </si>
  <si>
    <t xml:space="preserve">CONCRETO ESTRUTURAL - FCK= 15mpa</t>
  </si>
  <si>
    <t xml:space="preserve">PEDREIRO</t>
  </si>
  <si>
    <t xml:space="preserve">CIMENTO</t>
  </si>
  <si>
    <t xml:space="preserve">sc</t>
  </si>
  <si>
    <t xml:space="preserve">SEIXO</t>
  </si>
  <si>
    <t xml:space="preserve">     C U S T O   D I R E T O   T O T A L   ( A )+ ( B )  =        </t>
  </si>
  <si>
    <t xml:space="preserve">PINTURA DE PLATAFORMA E PASSAGEM DE NÍVEL</t>
  </si>
  <si>
    <t xml:space="preserve">FUNDO ANTIÓXIDO CROMADO DE ZINCO</t>
  </si>
  <si>
    <t xml:space="preserve">TINTA A BASE DE ÓLEO - COR BRANCA</t>
  </si>
  <si>
    <t xml:space="preserve">TINTA A BASE DE ÓLEO - COR AMARELA</t>
  </si>
  <si>
    <t xml:space="preserve">ATERRO  COMPACTADO C/ MATERIAL PROVENIENTE DA JAZIDA</t>
  </si>
  <si>
    <t xml:space="preserve">CUSTO OPERACIONAL</t>
  </si>
  <si>
    <t xml:space="preserve">COMPACTADOR DE SOLO</t>
  </si>
  <si>
    <t xml:space="preserve">PÁ CARREGADEIRA</t>
  </si>
  <si>
    <t xml:space="preserve">( A )  T O T A L</t>
  </si>
  <si>
    <t xml:space="preserve">MATERIAL </t>
  </si>
  <si>
    <t xml:space="preserve">ATERRO</t>
  </si>
  <si>
    <t xml:space="preserve">     C U S T O   D I R E T O   T O T A L   ( A )+ ( B )   =                          </t>
  </si>
  <si>
    <t xml:space="preserve">CAPA SELANTE ASFÁLTICO</t>
  </si>
  <si>
    <t xml:space="preserve">SELANTE ASFÁLTICO</t>
  </si>
  <si>
    <t xml:space="preserve">EXECUÇÃO DE SARJETÃO EM CONCRETO</t>
  </si>
  <si>
    <t xml:space="preserve">LEIS SOCIAIS </t>
  </si>
  <si>
    <t xml:space="preserve">   CONSUMO </t>
  </si>
  <si>
    <t xml:space="preserve">CONCRETO SIMPLES FCK= 9,00mpa</t>
  </si>
  <si>
    <t xml:space="preserve">FORMA DE MADEIRA PARA ESTRUTURA COMUM</t>
  </si>
  <si>
    <t xml:space="preserve">(  B )   T O T A L                                      </t>
  </si>
  <si>
    <t xml:space="preserve">     C U S T O   D I R E T O   T O T A L   ( A )+ ( B )  =             </t>
  </si>
  <si>
    <t xml:space="preserve">RECOMPOSIÇÃO DE MEIO-FIO E SARJETA</t>
  </si>
  <si>
    <t xml:space="preserve">EXECUÇÃO DE MEIO FIO EM CONCRETO, COM LÂMINA D'ÁGUA</t>
  </si>
  <si>
    <t xml:space="preserve">   SERVIÇO:     </t>
  </si>
  <si>
    <t xml:space="preserve">PINTURA À CAL</t>
  </si>
  <si>
    <t xml:space="preserve">CAL</t>
  </si>
  <si>
    <t xml:space="preserve">Kg</t>
  </si>
  <si>
    <t xml:space="preserve">ADITIVO FIXADOR</t>
  </si>
  <si>
    <t xml:space="preserve">Pc</t>
  </si>
  <si>
    <t xml:space="preserve">     C U S T O   D I R E T O   T O T A L   ( A )+ ( B )  =                      </t>
  </si>
  <si>
    <t xml:space="preserve">EXECUÇÃO RECUPERAÇÃO PARCIAL DE BOCA DE LOBO DE BORDA EM CONCRETO ARMADO COM GRADE METÁLICA PARA RETENÇAO DE DETRITOS, MEDIDAS INTERNAS (1,00m x 0,60m x 0,80m).</t>
  </si>
  <si>
    <t xml:space="preserve">GRADE METÁLICA</t>
  </si>
  <si>
    <t xml:space="preserve">ESCAVAÇÃO MANUAL</t>
  </si>
  <si>
    <t xml:space="preserve">CONCRETO ARMADO, FCK= 13,50 mpa</t>
  </si>
  <si>
    <t xml:space="preserve">PISO EM CONCRETO COM SEIXO FINO, FCK= 15 mpa, SECCIONADO COM JUNTAS PLÁSTICAS PRETO DE 1" </t>
  </si>
  <si>
    <t xml:space="preserve">CONCRETO FCK= 13,5 mpa e= 0,10m</t>
  </si>
  <si>
    <t xml:space="preserve">FORNECIMENTO DE JUNTA PLÁSTICA PRETO DE 1"</t>
  </si>
  <si>
    <t xml:space="preserve">PINTURA COM DEMARCADORES</t>
  </si>
  <si>
    <t xml:space="preserve">TINTA ACRÍLICA PARA PISO</t>
  </si>
  <si>
    <t xml:space="preserve">galão</t>
  </si>
  <si>
    <t xml:space="preserve">BLOCOS DE CONCRETO PRÉ-MOLDADO L = 0,80 m</t>
  </si>
  <si>
    <t xml:space="preserve">BLOCOS DE CONCRETO PRÉ-MOLDADO 0,26 x 0,16 x 0,05 m - L = 0,80 m</t>
  </si>
  <si>
    <t xml:space="preserve">ESCAVAÇÃO MECÂNICA</t>
  </si>
  <si>
    <t xml:space="preserve">CONCRETO SIMPLES 9 Mpa</t>
  </si>
  <si>
    <t xml:space="preserve">EXECUÇÃO DE TENTO EM CONCRETO SIMPLES REBAIXADO PARA ACESSO À GARAGEM</t>
  </si>
  <si>
    <t xml:space="preserve">EXECUÇÃO DE RAMPA EM CONCRETO SIMPLES </t>
  </si>
  <si>
    <t xml:space="preserve">FORNECIMENTO E INTALAÇÃO DE DEFENSAS METÁLICA</t>
  </si>
  <si>
    <t xml:space="preserve">DEFENSAS METÁLICAS D = 2" - 2,70 m</t>
  </si>
  <si>
    <t xml:space="preserve">PINTURA ANTIFERRUGINOSA</t>
  </si>
  <si>
    <t xml:space="preserve">PINTURA ESMALTE SINTÉTICO</t>
  </si>
  <si>
    <t xml:space="preserve">MONUMENTO COM PLACA DE INAUGURAÇÃO</t>
  </si>
  <si>
    <t xml:space="preserve">CONCRETO SIMPLES FCK= 13,5mpa</t>
  </si>
  <si>
    <t xml:space="preserve">AÇO CA 60</t>
  </si>
  <si>
    <t xml:space="preserve">PLACA DE INAUGURAÇÃO - 0,45 x 0,65 m EM AÇO ESCOVADO</t>
  </si>
  <si>
    <t xml:space="preserve">RETIRADA DE  ÁRVORES</t>
  </si>
  <si>
    <t xml:space="preserve">ESCAVAÇÃO MANUAL EM MAT. 1ª CATEGORIA</t>
  </si>
  <si>
    <t xml:space="preserve">     C U S T O   D I R E T O   T O T A L   ( A ) + ( B ) =                          </t>
  </si>
  <si>
    <t xml:space="preserve">LIMPEZA GERAL</t>
  </si>
  <si>
    <t xml:space="preserve">CONCRETO - FCK= 9mpa</t>
  </si>
  <si>
    <t xml:space="preserve">CONCRETO ESTRUTURAL - FCK= 13,50mpa</t>
  </si>
  <si>
    <t xml:space="preserve">    UNIDADE</t>
  </si>
  <si>
    <t xml:space="preserve">FORMA EM MADEIRA COMUM PARA ESTRUTURA </t>
  </si>
  <si>
    <t xml:space="preserve">( A  )   T O T A L                                      </t>
  </si>
  <si>
    <t xml:space="preserve">TÁBUA DE MADEIRA BRANCA 20 PLS</t>
  </si>
  <si>
    <t xml:space="preserve">PERNAMANCA 3" x 2"  20 PLS - MADEIRA BRANCA</t>
  </si>
  <si>
    <t xml:space="preserve">PREGO  2" x 11</t>
  </si>
  <si>
    <t xml:space="preserve"> </t>
  </si>
  <si>
    <t xml:space="preserve">     C U S T O   D I R E T O   T O T A L   ( A )+ ( B )  =              </t>
  </si>
  <si>
    <t xml:space="preserve">FORMA EM COMPENSADO PLASTIFICADO PARA CONCRETO APARENTE</t>
  </si>
  <si>
    <t xml:space="preserve">PREGO  2 1/2" x 12"</t>
  </si>
  <si>
    <t xml:space="preserve">COMPENSADO PLASTIFICADO</t>
  </si>
  <si>
    <t xml:space="preserve">RÉGUA 3/8" X 7/8"</t>
  </si>
  <si>
    <t xml:space="preserve">DESFORMA </t>
  </si>
  <si>
    <t xml:space="preserve">AÇO ( CA - 50 )</t>
  </si>
  <si>
    <t xml:space="preserve">FERREIRO</t>
  </si>
  <si>
    <t xml:space="preserve">AÇO CA-50</t>
  </si>
  <si>
    <t xml:space="preserve">   AÇO ( CA - 60 )</t>
  </si>
  <si>
    <t xml:space="preserve">AÇO CA-60</t>
  </si>
  <si>
    <t xml:space="preserve">ESCAVAÇÃO MANUAL EM MATERIAL DE 1ª CATEGORIA</t>
  </si>
  <si>
    <t xml:space="preserve">PINTURA ANTIFERRUGINOSA COM PRIMER PARA GALVANIZADO INTERPLATE</t>
  </si>
  <si>
    <t xml:space="preserve">PRIMER INTERPLATE INTERNATIONAL</t>
  </si>
  <si>
    <t xml:space="preserve">SOLVENTE GTA 137 - INTERNATIONAL</t>
  </si>
  <si>
    <t xml:space="preserve">LIXA PARA FERRO</t>
  </si>
  <si>
    <t xml:space="preserve">TINTA ESMALTE SINTÉTICO</t>
  </si>
  <si>
    <t xml:space="preserve">FOLHA DE ROSTO DA COMPOSIÇÃO DE PREÇOS UNITÁRIOS - SETEMBRO/2006</t>
  </si>
  <si>
    <t xml:space="preserve">LEIS SOCIAIS:</t>
  </si>
  <si>
    <t xml:space="preserve">BDI:</t>
  </si>
  <si>
    <t xml:space="preserve">SALÁRIOS</t>
  </si>
  <si>
    <t xml:space="preserve">PEDREIRO / CARPINTEIRO </t>
  </si>
  <si>
    <t xml:space="preserve">SERV. HABILIT.</t>
  </si>
  <si>
    <t xml:space="preserve">AJ. TOPÓGRAFO</t>
  </si>
  <si>
    <t xml:space="preserve">MONTADOR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</si>
</sst>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#."/>
    <numFmt numFmtId="166" formatCode="_([$€]* #,##0.00_);_([$€]* \(#,##0.00\);_([$€]* \-??_);_(@_)"/>
    <numFmt numFmtId="167" formatCode="_-&quot;R$ &quot;* #,##0.00_-;&quot;-R$ &quot;* #,##0.00_-;_-&quot;R$ &quot;* \-??_-;_-@_-"/>
    <numFmt numFmtId="168" formatCode="0%"/>
    <numFmt numFmtId="169" formatCode="_(* #,##0.00_);_(* \(#,##0.00\);_(* \-??_);_(@_)"/>
    <numFmt numFmtId="170" formatCode="@"/>
    <numFmt numFmtId="171" formatCode="#,##0.00_);[RED]\(#,##0.00\)"/>
    <numFmt numFmtId="172" formatCode="0.00%"/>
    <numFmt numFmtId="173" formatCode="0.0%"/>
    <numFmt numFmtId="174" formatCode="0.000%"/>
    <numFmt numFmtId="175" formatCode="0"/>
    <numFmt numFmtId="176" formatCode="#,##0_);[RED]\(#,##0\)"/>
    <numFmt numFmtId="177" formatCode="&quot;R$ &quot;#,##0.00;[RED]&quot;R$ &quot;#,##0.00"/>
    <numFmt numFmtId="178" formatCode="&quot;R$ &quot;#,##0.00"/>
    <numFmt numFmtId="179" formatCode="&quot;R$ &quot;#,##0.00_);[RED]&quot;(R$ &quot;#,##0.00\)"/>
    <numFmt numFmtId="180" formatCode="0.00"/>
    <numFmt numFmtId="181" formatCode="_(&quot;R$&quot;* #,##0.00_);_(&quot;R$&quot;* \(#,##0.00\);_(&quot;R$&quot;* \-??_);_(@_)"/>
    <numFmt numFmtId="182" formatCode="#,##0.0000_);[RED]\(#,##0.0000\)"/>
    <numFmt numFmtId="183" formatCode="#,##0.000_);[RED]\(#,##0.000\)"/>
    <numFmt numFmtId="184" formatCode="General"/>
    <numFmt numFmtId="185" formatCode="#,##0.00000_);[RED]\(#,##0.00000\)"/>
  </numFmts>
  <fonts count="4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"/>
      <color rgb="FF800000"/>
      <name val="Courier New"/>
      <family val="3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"/>
      <color rgb="FF000080"/>
      <name val="Courier New"/>
      <family val="3"/>
      <charset val="1"/>
    </font>
    <font>
      <b val="true"/>
      <sz val="1"/>
      <color rgb="FF800000"/>
      <name val="Courier New"/>
      <family val="3"/>
      <charset val="1"/>
    </font>
    <font>
      <sz val="10"/>
      <color rgb="FFFF0000"/>
      <name val="Arial Narrow"/>
      <family val="2"/>
      <charset val="1"/>
    </font>
    <font>
      <sz val="10"/>
      <name val="Arial Narrow"/>
      <family val="2"/>
      <charset val="1"/>
    </font>
    <font>
      <b val="true"/>
      <sz val="12"/>
      <name val="Arial Narrow"/>
      <family val="2"/>
      <charset val="1"/>
    </font>
    <font>
      <b val="true"/>
      <sz val="10"/>
      <name val="Arial Narrow"/>
      <family val="0"/>
      <charset val="1"/>
    </font>
    <font>
      <b val="true"/>
      <sz val="12"/>
      <color rgb="FFFF0000"/>
      <name val="Arial Narrow"/>
      <family val="2"/>
      <charset val="1"/>
    </font>
    <font>
      <sz val="12"/>
      <name val="Arial Narrow"/>
      <family val="2"/>
      <charset val="1"/>
    </font>
    <font>
      <i val="true"/>
      <sz val="12"/>
      <name val="Arial Narrow"/>
      <family val="2"/>
      <charset val="1"/>
    </font>
    <font>
      <sz val="12"/>
      <color rgb="FFFF0000"/>
      <name val="Arial Narrow"/>
      <family val="2"/>
      <charset val="1"/>
    </font>
    <font>
      <b val="true"/>
      <i val="true"/>
      <sz val="12"/>
      <name val="Arial Narrow"/>
      <family val="2"/>
      <charset val="1"/>
    </font>
    <font>
      <b val="true"/>
      <i val="true"/>
      <sz val="10"/>
      <name val="Arial Narrow"/>
      <family val="2"/>
      <charset val="1"/>
    </font>
    <font>
      <b val="true"/>
      <sz val="10"/>
      <name val="Arial Narrow"/>
      <family val="2"/>
      <charset val="1"/>
    </font>
    <font>
      <sz val="8"/>
      <name val="Arial Narrow"/>
      <family val="2"/>
      <charset val="1"/>
    </font>
    <font>
      <sz val="12"/>
      <name val="Times New Roman"/>
      <family val="0"/>
    </font>
    <font>
      <b val="true"/>
      <sz val="12"/>
      <name val="Arial"/>
      <family val="0"/>
    </font>
    <font>
      <sz val="12"/>
      <name val="Arial"/>
      <family val="0"/>
    </font>
    <font>
      <b val="true"/>
      <sz val="12"/>
      <name val="Swis721 LtEx BT"/>
      <family val="2"/>
      <charset val="1"/>
    </font>
    <font>
      <b val="true"/>
      <sz val="10"/>
      <name val="Swis721 LtEx BT"/>
      <family val="2"/>
      <charset val="1"/>
    </font>
    <font>
      <b val="true"/>
      <sz val="18"/>
      <name val="Swis721 LtEx BT"/>
      <family val="2"/>
      <charset val="1"/>
    </font>
    <font>
      <b val="true"/>
      <sz val="12"/>
      <name val="AvantGarde Bk BT"/>
      <family val="2"/>
      <charset val="1"/>
    </font>
    <font>
      <b val="true"/>
      <sz val="8"/>
      <name val="AvantGarde Bk BT"/>
      <family val="2"/>
      <charset val="1"/>
    </font>
    <font>
      <sz val="8"/>
      <name val="AvantGarde Bk BT"/>
      <family val="2"/>
      <charset val="1"/>
    </font>
    <font>
      <b val="true"/>
      <sz val="9"/>
      <name val="Arial"/>
      <family val="2"/>
      <charset val="1"/>
    </font>
    <font>
      <b val="true"/>
      <u val="single"/>
      <sz val="8"/>
      <name val="AvantGarde Bk BT"/>
      <family val="2"/>
      <charset val="1"/>
    </font>
    <font>
      <b val="true"/>
      <sz val="9"/>
      <name val="AvantGarde Bk BT"/>
      <family val="2"/>
      <charset val="1"/>
    </font>
    <font>
      <b val="true"/>
      <sz val="10"/>
      <name val="AvantGarde Bk BT"/>
      <family val="2"/>
      <charset val="1"/>
    </font>
    <font>
      <sz val="10"/>
      <name val="AvantGarde Bk BT"/>
      <family val="2"/>
      <charset val="1"/>
    </font>
    <font>
      <sz val="9"/>
      <name val="AvantGarde Bk BT"/>
      <family val="2"/>
      <charset val="1"/>
    </font>
    <font>
      <b val="true"/>
      <sz val="14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vertAlign val="superscript"/>
      <sz val="8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"/>
      <family val="2"/>
      <charset val="1"/>
    </font>
    <font>
      <sz val="6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8EB4E3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000000"/>
        <bgColor rgb="FF00330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>
        <color rgb="FFFFFFFF"/>
      </top>
      <bottom style="thin">
        <color rgb="FFFFFF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4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0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0" borderId="0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13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1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14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1" fillId="0" borderId="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1" fillId="2" borderId="0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2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8" fillId="0" borderId="0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14" fillId="0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4" fillId="0" borderId="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8" fillId="0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11" fillId="4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1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1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14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1" fillId="0" borderId="1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1" fillId="5" borderId="1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5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3" borderId="0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2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1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1" xfId="2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" xfId="2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14" fillId="0" borderId="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14" fillId="0" borderId="1" xfId="2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1" xfId="2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4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11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4" borderId="1" xfId="2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1" xfId="2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11" fillId="4" borderId="1" xfId="2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0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5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19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5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3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3" xfId="2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4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5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8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6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10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11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12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11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0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6" borderId="15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3" borderId="15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16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6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18" xfId="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19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8" fillId="0" borderId="14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6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20" xfId="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0" fillId="0" borderId="21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8" fillId="0" borderId="17" xfId="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1" fillId="0" borderId="0" xfId="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6" xfId="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22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2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9" fillId="0" borderId="7" xfId="3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8" fillId="0" borderId="5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9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23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5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9" fillId="0" borderId="17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8" fillId="0" borderId="24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17" xfId="3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2" fillId="0" borderId="24" xfId="3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2" fillId="0" borderId="0" xfId="3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6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25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7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9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24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5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5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4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3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3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3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3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" xfId="3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1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38" fillId="0" borderId="27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39" fillId="0" borderId="1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0" borderId="1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38" fillId="0" borderId="28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8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38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3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3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4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3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3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9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9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9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39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3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3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3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1" fontId="39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4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39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4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7" fillId="0" borderId="4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3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3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9" fillId="0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9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9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3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39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9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37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37" fillId="0" borderId="3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4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39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39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9" fillId="0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39" fillId="0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9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9" fillId="0" borderId="4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9" fillId="0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39" fillId="0" borderId="2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9" fillId="0" borderId="4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3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39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7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37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6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6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6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37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9" fillId="0" borderId="15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9" fillId="0" borderId="2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7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6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6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6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6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6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7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5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9" fillId="0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7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6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7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37" fillId="0" borderId="30" xfId="17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39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7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39" fillId="0" borderId="5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4" fontId="39" fillId="0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3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1" fontId="39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9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5" fontId="3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3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37" fillId="0" borderId="2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37" fillId="0" borderId="2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7" fillId="0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0" fontId="37" fillId="0" borderId="6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7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39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7" fillId="0" borderId="4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9" fillId="0" borderId="4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3" fontId="3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9" fillId="0" borderId="6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37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39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39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37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a" xfId="20"/>
    <cellStyle name="Euro" xfId="21"/>
    <cellStyle name="Fixo" xfId="22"/>
    <cellStyle name="Moeda 2" xfId="23"/>
    <cellStyle name="Normal 2" xfId="24"/>
    <cellStyle name="Normal 2 2" xfId="25"/>
    <cellStyle name="Normal 3" xfId="26"/>
    <cellStyle name="Normal 3 2" xfId="27"/>
    <cellStyle name="Normal 3 3" xfId="28"/>
    <cellStyle name="Normal 3 3 2" xfId="29"/>
    <cellStyle name="Normal 4" xfId="30"/>
    <cellStyle name="Normal_Plan1" xfId="31"/>
    <cellStyle name="Normal_Sheet1" xfId="32"/>
    <cellStyle name="Percentual" xfId="33"/>
    <cellStyle name="Ponto" xfId="34"/>
    <cellStyle name="Porcentagem 2" xfId="35"/>
    <cellStyle name="Porcentagem 2 2" xfId="36"/>
    <cellStyle name="Separador de m" xfId="37"/>
    <cellStyle name="Separador de milhares 2" xfId="38"/>
    <cellStyle name="Separador de milhares 3" xfId="39"/>
    <cellStyle name="Separador de milhares 3 2" xfId="40"/>
    <cellStyle name="Titulo1" xfId="41"/>
    <cellStyle name="Titulo2" xfId="4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2.wmf"/><Relationship Id="rId2" Type="http://schemas.openxmlformats.org/officeDocument/2006/relationships/image" Target="../media/image33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4.wmf"/><Relationship Id="rId2" Type="http://schemas.openxmlformats.org/officeDocument/2006/relationships/image" Target="../media/image35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6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23</xdr:row>
      <xdr:rowOff>25200</xdr:rowOff>
    </xdr:from>
    <xdr:to>
      <xdr:col>2</xdr:col>
      <xdr:colOff>553320</xdr:colOff>
      <xdr:row>33</xdr:row>
      <xdr:rowOff>15840</xdr:rowOff>
    </xdr:to>
    <xdr:sp>
      <xdr:nvSpPr>
        <xdr:cNvPr id="0" name="CaixaDeTexto 7"/>
        <xdr:cNvSpPr/>
      </xdr:nvSpPr>
      <xdr:spPr>
        <a:xfrm>
          <a:off x="0" y="5779440"/>
          <a:ext cx="6076440" cy="19908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296640</xdr:colOff>
      <xdr:row>23</xdr:row>
      <xdr:rowOff>162000</xdr:rowOff>
    </xdr:from>
    <xdr:to>
      <xdr:col>2</xdr:col>
      <xdr:colOff>466200</xdr:colOff>
      <xdr:row>33</xdr:row>
      <xdr:rowOff>25920</xdr:rowOff>
    </xdr:to>
    <xdr:pic>
      <xdr:nvPicPr>
        <xdr:cNvPr id="1" name="Imagem 8" descr=""/>
        <xdr:cNvPicPr/>
      </xdr:nvPicPr>
      <xdr:blipFill>
        <a:blip r:embed="rId1"/>
        <a:stretch/>
      </xdr:blipFill>
      <xdr:spPr>
        <a:xfrm>
          <a:off x="296640" y="5916240"/>
          <a:ext cx="5692680" cy="186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398880</xdr:colOff>
      <xdr:row>22</xdr:row>
      <xdr:rowOff>191520</xdr:rowOff>
    </xdr:from>
    <xdr:to>
      <xdr:col>2</xdr:col>
      <xdr:colOff>295560</xdr:colOff>
      <xdr:row>32</xdr:row>
      <xdr:rowOff>56160</xdr:rowOff>
    </xdr:to>
    <xdr:sp>
      <xdr:nvSpPr>
        <xdr:cNvPr id="2" name="AutoShape 1"/>
        <xdr:cNvSpPr/>
      </xdr:nvSpPr>
      <xdr:spPr>
        <a:xfrm>
          <a:off x="398880" y="5745600"/>
          <a:ext cx="5419800" cy="1864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360</xdr:rowOff>
    </xdr:from>
    <xdr:to>
      <xdr:col>2</xdr:col>
      <xdr:colOff>532800</xdr:colOff>
      <xdr:row>0</xdr:row>
      <xdr:rowOff>1193760</xdr:rowOff>
    </xdr:to>
    <xdr:sp>
      <xdr:nvSpPr>
        <xdr:cNvPr id="3" name=""/>
        <xdr:cNvSpPr/>
      </xdr:nvSpPr>
      <xdr:spPr>
        <a:xfrm>
          <a:off x="0" y="360"/>
          <a:ext cx="6055920" cy="1193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200" spc="-1" strike="noStrike">
              <a:latin typeface="Arial"/>
            </a:rPr>
            <a:t>PREFEITURA MUNICIPAL DE ANANINDEUA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Secretaria Municipal de Saúde – SESAU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Coordenação de Projetos e Fiscalização de Obras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1789920</xdr:colOff>
      <xdr:row>0</xdr:row>
      <xdr:rowOff>28800</xdr:rowOff>
    </xdr:from>
    <xdr:to>
      <xdr:col>1</xdr:col>
      <xdr:colOff>3001320</xdr:colOff>
      <xdr:row>0</xdr:row>
      <xdr:rowOff>637200</xdr:rowOff>
    </xdr:to>
    <xdr:pic>
      <xdr:nvPicPr>
        <xdr:cNvPr id="4" name="Figura 1_1" descr=""/>
        <xdr:cNvPicPr/>
      </xdr:nvPicPr>
      <xdr:blipFill>
        <a:blip r:embed="rId2"/>
        <a:srcRect l="0" t="18520" r="0" b="31188"/>
        <a:stretch/>
      </xdr:blipFill>
      <xdr:spPr>
        <a:xfrm>
          <a:off x="2394360" y="28800"/>
          <a:ext cx="1211400" cy="608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426600</xdr:colOff>
      <xdr:row>23</xdr:row>
      <xdr:rowOff>181440</xdr:rowOff>
    </xdr:from>
    <xdr:to>
      <xdr:col>1</xdr:col>
      <xdr:colOff>4904640</xdr:colOff>
      <xdr:row>33</xdr:row>
      <xdr:rowOff>45000</xdr:rowOff>
    </xdr:to>
    <xdr:pic>
      <xdr:nvPicPr>
        <xdr:cNvPr id="5" name="Imagem 5" descr=""/>
        <xdr:cNvPicPr/>
      </xdr:nvPicPr>
      <xdr:blipFill>
        <a:blip r:embed="rId1"/>
        <a:stretch/>
      </xdr:blipFill>
      <xdr:spPr>
        <a:xfrm>
          <a:off x="426600" y="5906880"/>
          <a:ext cx="5154840" cy="186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398880</xdr:colOff>
      <xdr:row>22</xdr:row>
      <xdr:rowOff>191160</xdr:rowOff>
    </xdr:from>
    <xdr:to>
      <xdr:col>1</xdr:col>
      <xdr:colOff>4876920</xdr:colOff>
      <xdr:row>32</xdr:row>
      <xdr:rowOff>55800</xdr:rowOff>
    </xdr:to>
    <xdr:sp>
      <xdr:nvSpPr>
        <xdr:cNvPr id="6" name="AutoShape 1"/>
        <xdr:cNvSpPr/>
      </xdr:nvSpPr>
      <xdr:spPr>
        <a:xfrm>
          <a:off x="398880" y="5716800"/>
          <a:ext cx="5154840" cy="1864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360</xdr:rowOff>
    </xdr:from>
    <xdr:to>
      <xdr:col>2</xdr:col>
      <xdr:colOff>158760</xdr:colOff>
      <xdr:row>0</xdr:row>
      <xdr:rowOff>1193760</xdr:rowOff>
    </xdr:to>
    <xdr:sp>
      <xdr:nvSpPr>
        <xdr:cNvPr id="7" name=""/>
        <xdr:cNvSpPr/>
      </xdr:nvSpPr>
      <xdr:spPr>
        <a:xfrm>
          <a:off x="0" y="360"/>
          <a:ext cx="6057000" cy="1193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200" spc="-1" strike="noStrike">
              <a:latin typeface="Arial"/>
            </a:rPr>
            <a:t>PREFEITURA MUNICIPAL DE ANANINDEUA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Secretaria Municipal de Saúde – SESAU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Coordenação de Projetos e Fiscalização de Obras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1801080</xdr:colOff>
      <xdr:row>0</xdr:row>
      <xdr:rowOff>38160</xdr:rowOff>
    </xdr:from>
    <xdr:to>
      <xdr:col>1</xdr:col>
      <xdr:colOff>3012480</xdr:colOff>
      <xdr:row>0</xdr:row>
      <xdr:rowOff>646920</xdr:rowOff>
    </xdr:to>
    <xdr:pic>
      <xdr:nvPicPr>
        <xdr:cNvPr id="8" name="Figura 1_0" descr=""/>
        <xdr:cNvPicPr/>
      </xdr:nvPicPr>
      <xdr:blipFill>
        <a:blip r:embed="rId2"/>
        <a:srcRect l="0" t="18520" r="0" b="31160"/>
        <a:stretch/>
      </xdr:blipFill>
      <xdr:spPr>
        <a:xfrm>
          <a:off x="2477880" y="38160"/>
          <a:ext cx="1211400" cy="608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3</xdr:col>
      <xdr:colOff>733680</xdr:colOff>
      <xdr:row>0</xdr:row>
      <xdr:rowOff>1193400</xdr:rowOff>
    </xdr:to>
    <xdr:sp>
      <xdr:nvSpPr>
        <xdr:cNvPr id="9" name=""/>
        <xdr:cNvSpPr/>
      </xdr:nvSpPr>
      <xdr:spPr>
        <a:xfrm>
          <a:off x="0" y="0"/>
          <a:ext cx="6057360" cy="1193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200" spc="-1" strike="noStrike">
              <a:latin typeface="Arial"/>
            </a:rPr>
            <a:t>PREFEITURA MUNICIPAL DE ANANINDEUA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Secretaria Municipal de Saúde – SESAU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latin typeface="Arial"/>
            </a:rPr>
            <a:t>Coordenação de Projetos e Fiscalização de Obras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1719720</xdr:colOff>
      <xdr:row>0</xdr:row>
      <xdr:rowOff>18720</xdr:rowOff>
    </xdr:from>
    <xdr:to>
      <xdr:col>1</xdr:col>
      <xdr:colOff>2931120</xdr:colOff>
      <xdr:row>0</xdr:row>
      <xdr:rowOff>629640</xdr:rowOff>
    </xdr:to>
    <xdr:pic>
      <xdr:nvPicPr>
        <xdr:cNvPr id="10" name="Figura 1" descr=""/>
        <xdr:cNvPicPr/>
      </xdr:nvPicPr>
      <xdr:blipFill>
        <a:blip r:embed="rId1"/>
        <a:srcRect l="0" t="18520" r="0" b="30985"/>
        <a:stretch/>
      </xdr:blipFill>
      <xdr:spPr>
        <a:xfrm>
          <a:off x="2396520" y="18720"/>
          <a:ext cx="1211400" cy="61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152280</xdr:colOff>
      <xdr:row>1</xdr:row>
      <xdr:rowOff>237960</xdr:rowOff>
    </xdr:from>
    <xdr:to>
      <xdr:col>2</xdr:col>
      <xdr:colOff>360720</xdr:colOff>
      <xdr:row>5</xdr:row>
      <xdr:rowOff>198720</xdr:rowOff>
    </xdr:to>
    <xdr:pic>
      <xdr:nvPicPr>
        <xdr:cNvPr id="11" name="Imagem 1" descr=""/>
        <xdr:cNvPicPr/>
      </xdr:nvPicPr>
      <xdr:blipFill>
        <a:blip r:embed="rId1"/>
        <a:stretch/>
      </xdr:blipFill>
      <xdr:spPr>
        <a:xfrm>
          <a:off x="777600" y="437760"/>
          <a:ext cx="833760" cy="10274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Gepo_05/C/SIMONE/ESC.%20MEIA%20DOIS%20NOVE/CICLOVIA%20AV.%20JOS&#201;%20BONIF&#193;CIO/OR&#199;AMENTO%20DUQUE%20DE%20CAXIAS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Gepo_05/C/SIMONE/ESC.%20MEIA%20DOIS%20NOVE/DEFENSORIA%20P&#218;BLICA%20CASTANHAL/OR&#199;AMENTO%20DP%20CASTANH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onograma"/>
      <sheetName val=" Orçamento Geral"/>
      <sheetName val="Composição de Preços Unitários"/>
      <sheetName val="Folha Rosto Comp. P. Unit. "/>
    </sheetNames>
    <sheetDataSet>
      <sheetData sheetId="0"/>
      <sheetData sheetId="1"/>
      <sheetData sheetId="2"/>
      <sheetData sheetId="3">
        <row r="4">
          <cell r="B4">
            <v>1.26</v>
          </cell>
        </row>
        <row r="5">
          <cell r="B5">
            <v>0.3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onograma"/>
      <sheetName val=" Orçamento Geral"/>
      <sheetName val="Prédio"/>
      <sheetName val="Composição de Preços Unitários"/>
      <sheetName val="Folha Rosto Comp. P. Unit. "/>
    </sheetNames>
    <sheetDataSet>
      <sheetData sheetId="0"/>
      <sheetData sheetId="1"/>
      <sheetData sheetId="2"/>
      <sheetData sheetId="3"/>
      <sheetData sheetId="4">
        <row r="4">
          <cell r="B4">
            <v>1.26</v>
          </cell>
        </row>
        <row r="5">
          <cell r="B5">
            <v>0.3</v>
          </cell>
        </row>
      </sheetData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false" rightToLeft="false" tabSelected="true" showOutlineSymbols="true" defaultGridColor="true" view="pageBreakPreview" topLeftCell="A1" colorId="64" zoomScale="100" zoomScaleNormal="130" zoomScalePageLayoutView="100" workbookViewId="0">
      <selection pane="topLeft" activeCell="G3" activeCellId="0" sqref="G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57"/>
    <col collapsed="false" customWidth="true" hidden="false" outlineLevel="0" max="2" min="2" style="2" width="69.71"/>
    <col collapsed="false" customWidth="true" hidden="false" outlineLevel="0" max="3" min="3" style="2" width="7.87"/>
    <col collapsed="false" customWidth="false" hidden="false" outlineLevel="0" max="1024" min="4" style="3" width="9.13"/>
  </cols>
  <sheetData>
    <row r="1" s="5" customFormat="true" ht="98.5" hidden="false" customHeight="true" outlineLevel="0" collapsed="false">
      <c r="A1" s="4"/>
      <c r="B1" s="4"/>
      <c r="C1" s="4"/>
    </row>
    <row r="2" s="5" customFormat="true" ht="23.85" hidden="false" customHeight="true" outlineLevel="0" collapsed="false">
      <c r="A2" s="6" t="s">
        <v>0</v>
      </c>
      <c r="B2" s="6"/>
      <c r="C2" s="6"/>
    </row>
    <row r="3" s="5" customFormat="true" ht="15.75" hidden="false" customHeight="false" outlineLevel="0" collapsed="false">
      <c r="A3" s="7" t="s">
        <v>1</v>
      </c>
      <c r="B3" s="7" t="s">
        <v>2</v>
      </c>
      <c r="C3" s="7" t="s">
        <v>3</v>
      </c>
    </row>
    <row r="4" customFormat="false" ht="15.75" hidden="false" customHeight="false" outlineLevel="0" collapsed="false">
      <c r="A4" s="8" t="n">
        <v>1</v>
      </c>
      <c r="B4" s="9" t="s">
        <v>4</v>
      </c>
      <c r="C4" s="10" t="n">
        <v>0.0085</v>
      </c>
    </row>
    <row r="5" customFormat="false" ht="15.75" hidden="false" customHeight="false" outlineLevel="0" collapsed="false">
      <c r="A5" s="11"/>
      <c r="B5" s="9"/>
      <c r="C5" s="12"/>
    </row>
    <row r="6" customFormat="false" ht="15.75" hidden="false" customHeight="false" outlineLevel="0" collapsed="false">
      <c r="A6" s="8" t="n">
        <v>2</v>
      </c>
      <c r="B6" s="9" t="s">
        <v>5</v>
      </c>
      <c r="C6" s="10" t="n">
        <v>0.0345</v>
      </c>
    </row>
    <row r="7" customFormat="false" ht="15.75" hidden="false" customHeight="false" outlineLevel="0" collapsed="false">
      <c r="A7" s="8"/>
      <c r="B7" s="9"/>
      <c r="C7" s="13"/>
    </row>
    <row r="8" customFormat="false" ht="15.75" hidden="false" customHeight="false" outlineLevel="0" collapsed="false">
      <c r="A8" s="8" t="n">
        <v>3</v>
      </c>
      <c r="B8" s="9" t="s">
        <v>6</v>
      </c>
      <c r="C8" s="10" t="n">
        <v>0.04</v>
      </c>
    </row>
    <row r="9" customFormat="false" ht="15.75" hidden="false" customHeight="false" outlineLevel="0" collapsed="false">
      <c r="A9" s="8"/>
      <c r="B9" s="9"/>
      <c r="C9" s="14"/>
    </row>
    <row r="10" customFormat="false" ht="15.75" hidden="false" customHeight="false" outlineLevel="0" collapsed="false">
      <c r="A10" s="8" t="n">
        <v>4</v>
      </c>
      <c r="B10" s="9" t="s">
        <v>7</v>
      </c>
      <c r="C10" s="15" t="n">
        <f aca="false">SUM(C11:C14)</f>
        <v>0.0565</v>
      </c>
    </row>
    <row r="11" customFormat="false" ht="15.75" hidden="false" customHeight="false" outlineLevel="0" collapsed="false">
      <c r="A11" s="11" t="s">
        <v>8</v>
      </c>
      <c r="B11" s="16" t="s">
        <v>9</v>
      </c>
      <c r="C11" s="17" t="n">
        <v>0.0065</v>
      </c>
    </row>
    <row r="12" customFormat="false" ht="15.75" hidden="false" customHeight="false" outlineLevel="0" collapsed="false">
      <c r="A12" s="11" t="s">
        <v>10</v>
      </c>
      <c r="B12" s="16" t="s">
        <v>11</v>
      </c>
      <c r="C12" s="18" t="n">
        <v>0</v>
      </c>
    </row>
    <row r="13" customFormat="false" ht="15.75" hidden="false" customHeight="false" outlineLevel="0" collapsed="false">
      <c r="A13" s="11" t="s">
        <v>12</v>
      </c>
      <c r="B13" s="16" t="s">
        <v>13</v>
      </c>
      <c r="C13" s="17" t="n">
        <v>0.03</v>
      </c>
    </row>
    <row r="14" customFormat="false" ht="15.75" hidden="false" customHeight="false" outlineLevel="0" collapsed="false">
      <c r="A14" s="11" t="s">
        <v>14</v>
      </c>
      <c r="B14" s="16" t="s">
        <v>15</v>
      </c>
      <c r="C14" s="17" t="n">
        <v>0.02</v>
      </c>
    </row>
    <row r="15" customFormat="false" ht="15.75" hidden="false" customHeight="false" outlineLevel="0" collapsed="false">
      <c r="A15" s="11"/>
      <c r="B15" s="9"/>
      <c r="C15" s="19"/>
    </row>
    <row r="16" customFormat="false" ht="15.75" hidden="false" customHeight="false" outlineLevel="0" collapsed="false">
      <c r="A16" s="8" t="n">
        <v>5</v>
      </c>
      <c r="B16" s="9" t="s">
        <v>16</v>
      </c>
      <c r="C16" s="19" t="n">
        <f aca="false">SUM(C17:C19)</f>
        <v>0.0133</v>
      </c>
    </row>
    <row r="17" customFormat="false" ht="15.75" hidden="false" customHeight="false" outlineLevel="0" collapsed="false">
      <c r="A17" s="11" t="s">
        <v>17</v>
      </c>
      <c r="B17" s="16" t="s">
        <v>18</v>
      </c>
      <c r="C17" s="18" t="n">
        <v>0.0085</v>
      </c>
    </row>
    <row r="18" customFormat="false" ht="15.75" hidden="false" customHeight="false" outlineLevel="0" collapsed="false">
      <c r="A18" s="11" t="s">
        <v>19</v>
      </c>
      <c r="B18" s="16" t="s">
        <v>20</v>
      </c>
      <c r="C18" s="18" t="n">
        <v>0.0028</v>
      </c>
    </row>
    <row r="19" customFormat="false" ht="15.75" hidden="false" customHeight="false" outlineLevel="0" collapsed="false">
      <c r="A19" s="11" t="s">
        <v>21</v>
      </c>
      <c r="B19" s="16" t="s">
        <v>22</v>
      </c>
      <c r="C19" s="18" t="n">
        <v>0.002</v>
      </c>
    </row>
    <row r="20" customFormat="false" ht="15.75" hidden="false" customHeight="false" outlineLevel="0" collapsed="false">
      <c r="A20" s="8"/>
      <c r="B20" s="9"/>
      <c r="C20" s="20"/>
    </row>
    <row r="21" customFormat="false" ht="15.75" hidden="false" customHeight="false" outlineLevel="0" collapsed="false">
      <c r="A21" s="21"/>
      <c r="B21" s="22" t="s">
        <v>23</v>
      </c>
      <c r="C21" s="23" t="n">
        <f aca="false">(((1+(C6+C19+C17+C18))*(1+C4)*(1+C8))/(1-C10))-1</f>
        <v>0.164784898781134</v>
      </c>
    </row>
    <row r="22" customFormat="false" ht="15.75" hidden="false" customHeight="false" outlineLevel="0" collapsed="false">
      <c r="A22" s="24"/>
      <c r="B22" s="25"/>
      <c r="C22" s="26"/>
    </row>
    <row r="23" customFormat="false" ht="15.75" hidden="false" customHeight="false" outlineLevel="0" collapsed="false">
      <c r="A23" s="27" t="s">
        <v>24</v>
      </c>
      <c r="B23" s="28"/>
      <c r="C23" s="26"/>
    </row>
    <row r="24" customFormat="false" ht="15.75" hidden="false" customHeight="false" outlineLevel="0" collapsed="false">
      <c r="A24" s="24"/>
      <c r="B24" s="24"/>
      <c r="C24" s="26"/>
    </row>
    <row r="25" customFormat="false" ht="15.75" hidden="false" customHeight="false" outlineLevel="0" collapsed="false">
      <c r="A25" s="29"/>
      <c r="B25" s="30"/>
      <c r="C25" s="26"/>
    </row>
    <row r="26" customFormat="false" ht="15.75" hidden="false" customHeight="false" outlineLevel="0" collapsed="false">
      <c r="A26" s="29"/>
      <c r="B26" s="30"/>
      <c r="C26" s="26"/>
    </row>
    <row r="27" customFormat="false" ht="15.75" hidden="false" customHeight="false" outlineLevel="0" collapsed="false">
      <c r="A27" s="29"/>
      <c r="B27" s="30"/>
      <c r="C27" s="26"/>
    </row>
    <row r="28" customFormat="false" ht="15.75" hidden="false" customHeight="false" outlineLevel="0" collapsed="false">
      <c r="A28" s="29"/>
      <c r="B28" s="30"/>
      <c r="C28" s="26"/>
    </row>
    <row r="29" customFormat="false" ht="15.75" hidden="false" customHeight="false" outlineLevel="0" collapsed="false">
      <c r="A29" s="29"/>
      <c r="B29" s="30"/>
      <c r="C29" s="26"/>
    </row>
    <row r="30" customFormat="false" ht="15.75" hidden="false" customHeight="false" outlineLevel="0" collapsed="false">
      <c r="A30" s="29"/>
      <c r="B30" s="30"/>
      <c r="C30" s="26"/>
    </row>
    <row r="31" customFormat="false" ht="15.75" hidden="false" customHeight="false" outlineLevel="0" collapsed="false">
      <c r="A31" s="29"/>
      <c r="B31" s="30"/>
      <c r="C31" s="26"/>
    </row>
    <row r="32" customFormat="false" ht="15.75" hidden="false" customHeight="false" outlineLevel="0" collapsed="false">
      <c r="A32" s="29"/>
      <c r="B32" s="30"/>
      <c r="C32" s="26"/>
    </row>
    <row r="33" customFormat="false" ht="15.75" hidden="false" customHeight="false" outlineLevel="0" collapsed="false">
      <c r="A33" s="29"/>
      <c r="B33" s="30"/>
      <c r="C33" s="26"/>
    </row>
    <row r="34" customFormat="false" ht="15.75" hidden="false" customHeight="false" outlineLevel="0" collapsed="false">
      <c r="A34" s="29"/>
      <c r="B34" s="30"/>
      <c r="C34" s="26"/>
    </row>
    <row r="35" customFormat="false" ht="13.5" hidden="false" customHeight="false" outlineLevel="0" collapsed="false">
      <c r="A35" s="31" t="s">
        <v>25</v>
      </c>
      <c r="C35" s="32"/>
    </row>
    <row r="36" customFormat="false" ht="15.75" hidden="false" customHeight="false" outlineLevel="0" collapsed="false">
      <c r="A36" s="21"/>
      <c r="B36" s="30"/>
      <c r="C36" s="33"/>
    </row>
    <row r="37" customFormat="false" ht="15.75" hidden="false" customHeight="false" outlineLevel="0" collapsed="false">
      <c r="A37" s="34" t="s">
        <v>26</v>
      </c>
      <c r="B37" s="30"/>
      <c r="C37" s="26"/>
    </row>
  </sheetData>
  <mergeCells count="2">
    <mergeCell ref="A1:C1"/>
    <mergeCell ref="A2:C2"/>
  </mergeCells>
  <printOptions headings="false" gridLines="true" gridLinesSet="true" horizontalCentered="true" verticalCentered="false"/>
  <pageMargins left="0.196527777777778" right="0.196527777777778" top="0.871527777777778" bottom="0.786805555555556" header="0.511805555555555" footer="0.315277777777778"/>
  <pageSetup paperSize="9" scale="9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&amp;CAv. SN 21, Cidade Nova VI nº18 – Coqueiro – Ananindeua – Pará. CEP: 67.143-810
Email: engsesau@hotmail.com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false" rightToLeft="false" tabSelected="false" showOutlineSymbols="true" defaultGridColor="true" view="pageBreakPreview" topLeftCell="A1" colorId="64" zoomScale="100" zoomScaleNormal="130" zoomScalePageLayoutView="100" workbookViewId="0">
      <selection pane="topLeft" activeCell="B42" activeCellId="0" sqref="B42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9.59"/>
    <col collapsed="false" customWidth="true" hidden="false" outlineLevel="0" max="2" min="2" style="2" width="74"/>
    <col collapsed="false" customWidth="true" hidden="false" outlineLevel="0" max="3" min="3" style="2" width="9"/>
    <col collapsed="false" customWidth="false" hidden="false" outlineLevel="0" max="1024" min="4" style="3" width="9.13"/>
  </cols>
  <sheetData>
    <row r="1" s="5" customFormat="true" ht="98.5" hidden="false" customHeight="true" outlineLevel="0" collapsed="false">
      <c r="A1" s="35"/>
      <c r="B1" s="35"/>
      <c r="C1" s="35"/>
    </row>
    <row r="2" s="5" customFormat="true" ht="21.6" hidden="false" customHeight="true" outlineLevel="0" collapsed="false">
      <c r="A2" s="36" t="s">
        <v>27</v>
      </c>
      <c r="B2" s="36"/>
      <c r="C2" s="36"/>
    </row>
    <row r="3" s="5" customFormat="true" ht="15.75" hidden="false" customHeight="false" outlineLevel="0" collapsed="false">
      <c r="A3" s="37" t="s">
        <v>1</v>
      </c>
      <c r="B3" s="37" t="s">
        <v>2</v>
      </c>
      <c r="C3" s="37" t="s">
        <v>3</v>
      </c>
    </row>
    <row r="4" customFormat="false" ht="15.75" hidden="false" customHeight="false" outlineLevel="0" collapsed="false">
      <c r="A4" s="38" t="n">
        <v>1</v>
      </c>
      <c r="B4" s="39" t="s">
        <v>4</v>
      </c>
      <c r="C4" s="40" t="n">
        <v>0.015</v>
      </c>
    </row>
    <row r="5" customFormat="false" ht="15.75" hidden="false" customHeight="false" outlineLevel="0" collapsed="false">
      <c r="A5" s="41"/>
      <c r="B5" s="39"/>
      <c r="C5" s="42"/>
    </row>
    <row r="6" customFormat="false" ht="15.75" hidden="false" customHeight="false" outlineLevel="0" collapsed="false">
      <c r="A6" s="38" t="n">
        <v>2</v>
      </c>
      <c r="B6" s="39" t="s">
        <v>5</v>
      </c>
      <c r="C6" s="40" t="n">
        <v>0.05</v>
      </c>
    </row>
    <row r="7" customFormat="false" ht="15.75" hidden="false" customHeight="false" outlineLevel="0" collapsed="false">
      <c r="A7" s="38"/>
      <c r="B7" s="39"/>
      <c r="C7" s="43"/>
    </row>
    <row r="8" customFormat="false" ht="15.75" hidden="false" customHeight="false" outlineLevel="0" collapsed="false">
      <c r="A8" s="38" t="n">
        <v>3</v>
      </c>
      <c r="B8" s="39" t="s">
        <v>6</v>
      </c>
      <c r="C8" s="40" t="n">
        <f aca="false">6.74%</f>
        <v>0.0674</v>
      </c>
    </row>
    <row r="9" customFormat="false" ht="15.75" hidden="false" customHeight="false" outlineLevel="0" collapsed="false">
      <c r="A9" s="38"/>
      <c r="B9" s="39"/>
      <c r="C9" s="44"/>
    </row>
    <row r="10" customFormat="false" ht="15.75" hidden="false" customHeight="false" outlineLevel="0" collapsed="false">
      <c r="A10" s="38" t="n">
        <v>4</v>
      </c>
      <c r="B10" s="39" t="s">
        <v>7</v>
      </c>
      <c r="C10" s="45" t="n">
        <f aca="false">SUM(C11:C14)</f>
        <v>0.0865</v>
      </c>
    </row>
    <row r="11" customFormat="false" ht="15.75" hidden="false" customHeight="false" outlineLevel="0" collapsed="false">
      <c r="A11" s="41" t="s">
        <v>8</v>
      </c>
      <c r="B11" s="46" t="s">
        <v>9</v>
      </c>
      <c r="C11" s="47" t="n">
        <v>0.0065</v>
      </c>
    </row>
    <row r="12" customFormat="false" ht="15.75" hidden="false" customHeight="false" outlineLevel="0" collapsed="false">
      <c r="A12" s="41" t="s">
        <v>10</v>
      </c>
      <c r="B12" s="46" t="s">
        <v>11</v>
      </c>
      <c r="C12" s="47" t="n">
        <v>0.05</v>
      </c>
    </row>
    <row r="13" customFormat="false" ht="15.75" hidden="false" customHeight="false" outlineLevel="0" collapsed="false">
      <c r="A13" s="41" t="s">
        <v>12</v>
      </c>
      <c r="B13" s="46" t="s">
        <v>13</v>
      </c>
      <c r="C13" s="47" t="n">
        <v>0.03</v>
      </c>
    </row>
    <row r="14" customFormat="false" ht="15.75" hidden="false" customHeight="false" outlineLevel="0" collapsed="false">
      <c r="A14" s="41" t="s">
        <v>14</v>
      </c>
      <c r="B14" s="46" t="s">
        <v>15</v>
      </c>
      <c r="C14" s="47" t="n">
        <v>0</v>
      </c>
    </row>
    <row r="15" customFormat="false" ht="15.75" hidden="false" customHeight="false" outlineLevel="0" collapsed="false">
      <c r="A15" s="41"/>
      <c r="B15" s="39"/>
      <c r="C15" s="48"/>
    </row>
    <row r="16" customFormat="false" ht="15.75" hidden="false" customHeight="false" outlineLevel="0" collapsed="false">
      <c r="A16" s="38" t="n">
        <v>5</v>
      </c>
      <c r="B16" s="39" t="s">
        <v>16</v>
      </c>
      <c r="C16" s="40" t="n">
        <f aca="false">SUM(C17:C19)</f>
        <v>0.0163</v>
      </c>
    </row>
    <row r="17" customFormat="false" ht="15.75" hidden="false" customHeight="false" outlineLevel="0" collapsed="false">
      <c r="A17" s="41" t="s">
        <v>17</v>
      </c>
      <c r="B17" s="46" t="s">
        <v>18</v>
      </c>
      <c r="C17" s="47" t="n">
        <v>0.01</v>
      </c>
    </row>
    <row r="18" customFormat="false" ht="15.75" hidden="false" customHeight="false" outlineLevel="0" collapsed="false">
      <c r="A18" s="41" t="s">
        <v>19</v>
      </c>
      <c r="B18" s="46" t="s">
        <v>20</v>
      </c>
      <c r="C18" s="47" t="n">
        <v>0.0045</v>
      </c>
    </row>
    <row r="19" customFormat="false" ht="15.75" hidden="false" customHeight="false" outlineLevel="0" collapsed="false">
      <c r="A19" s="41" t="s">
        <v>21</v>
      </c>
      <c r="B19" s="46" t="s">
        <v>22</v>
      </c>
      <c r="C19" s="47" t="n">
        <v>0.0018</v>
      </c>
    </row>
    <row r="20" customFormat="false" ht="15.75" hidden="false" customHeight="false" outlineLevel="0" collapsed="false">
      <c r="A20" s="38"/>
      <c r="B20" s="39"/>
      <c r="C20" s="49"/>
    </row>
    <row r="21" customFormat="false" ht="15.75" hidden="false" customHeight="false" outlineLevel="0" collapsed="false">
      <c r="A21" s="50"/>
      <c r="B21" s="51" t="s">
        <v>23</v>
      </c>
      <c r="C21" s="52" t="n">
        <f aca="false">(((1+(C6+C19+C17+C18))*(1+C4)*(1+C8))/(1-C10))-1</f>
        <v>0.2646318</v>
      </c>
    </row>
    <row r="22" customFormat="false" ht="15.75" hidden="false" customHeight="false" outlineLevel="0" collapsed="false">
      <c r="A22" s="24"/>
      <c r="B22" s="25"/>
      <c r="C22" s="26"/>
    </row>
    <row r="23" customFormat="false" ht="15.75" hidden="false" customHeight="false" outlineLevel="0" collapsed="false">
      <c r="A23" s="27" t="s">
        <v>24</v>
      </c>
      <c r="B23" s="28"/>
      <c r="C23" s="26"/>
    </row>
    <row r="24" customFormat="false" ht="15.75" hidden="false" customHeight="false" outlineLevel="0" collapsed="false">
      <c r="A24" s="24"/>
      <c r="B24" s="24"/>
      <c r="C24" s="26"/>
    </row>
    <row r="25" customFormat="false" ht="15.75" hidden="false" customHeight="false" outlineLevel="0" collapsed="false">
      <c r="A25" s="29"/>
      <c r="B25" s="30"/>
      <c r="C25" s="26"/>
    </row>
    <row r="26" customFormat="false" ht="15.75" hidden="false" customHeight="false" outlineLevel="0" collapsed="false">
      <c r="A26" s="29"/>
      <c r="B26" s="30"/>
      <c r="C26" s="26"/>
    </row>
    <row r="27" customFormat="false" ht="15.75" hidden="false" customHeight="false" outlineLevel="0" collapsed="false">
      <c r="A27" s="29"/>
      <c r="B27" s="30"/>
      <c r="C27" s="26"/>
    </row>
    <row r="28" customFormat="false" ht="15.75" hidden="false" customHeight="false" outlineLevel="0" collapsed="false">
      <c r="A28" s="29"/>
      <c r="B28" s="30"/>
      <c r="C28" s="26"/>
    </row>
    <row r="29" customFormat="false" ht="15.75" hidden="false" customHeight="false" outlineLevel="0" collapsed="false">
      <c r="A29" s="29"/>
      <c r="B29" s="30"/>
      <c r="C29" s="26"/>
    </row>
    <row r="30" customFormat="false" ht="15.75" hidden="false" customHeight="false" outlineLevel="0" collapsed="false">
      <c r="A30" s="29"/>
      <c r="B30" s="30"/>
      <c r="C30" s="26"/>
    </row>
    <row r="31" customFormat="false" ht="15.75" hidden="false" customHeight="false" outlineLevel="0" collapsed="false">
      <c r="A31" s="29"/>
      <c r="B31" s="30"/>
      <c r="C31" s="26"/>
    </row>
    <row r="32" customFormat="false" ht="15.75" hidden="false" customHeight="false" outlineLevel="0" collapsed="false">
      <c r="A32" s="29"/>
      <c r="B32" s="30"/>
      <c r="C32" s="26"/>
    </row>
    <row r="33" customFormat="false" ht="15.75" hidden="false" customHeight="false" outlineLevel="0" collapsed="false">
      <c r="A33" s="29"/>
      <c r="B33" s="30"/>
      <c r="C33" s="26"/>
    </row>
    <row r="34" customFormat="false" ht="15.75" hidden="false" customHeight="false" outlineLevel="0" collapsed="false">
      <c r="A34" s="29"/>
      <c r="B34" s="30"/>
      <c r="C34" s="26"/>
    </row>
    <row r="35" customFormat="false" ht="12.75" hidden="false" customHeight="false" outlineLevel="0" collapsed="false">
      <c r="A35" s="32" t="s">
        <v>28</v>
      </c>
      <c r="B35" s="32"/>
      <c r="C35" s="32"/>
    </row>
    <row r="36" customFormat="false" ht="15.75" hidden="false" customHeight="false" outlineLevel="0" collapsed="false">
      <c r="A36" s="21"/>
      <c r="B36" s="30"/>
      <c r="C36" s="33"/>
    </row>
    <row r="37" customFormat="false" ht="15.75" hidden="false" customHeight="false" outlineLevel="0" collapsed="false">
      <c r="A37" s="34" t="s">
        <v>26</v>
      </c>
      <c r="B37" s="30"/>
      <c r="C37" s="26"/>
    </row>
  </sheetData>
  <mergeCells count="2">
    <mergeCell ref="A1:C1"/>
    <mergeCell ref="A2:C2"/>
  </mergeCells>
  <printOptions headings="false" gridLines="false" gridLinesSet="true" horizontalCentered="true" verticalCentered="false"/>
  <pageMargins left="0.196527777777778" right="0.196527777777778" top="0.871527777777778" bottom="0.786805555555556" header="0.511805555555555" footer="0.315277777777778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&amp;CAv. SN 21, Cidade Nova VI nº18 – Coqueiro – Ananindeua – Pará. CEP: 67.143-810
Email: engsesau@hotmail.com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5"/>
  <sheetViews>
    <sheetView showFormulas="false" showGridLines="false" showRowColHeaders="true" showZeros="false" rightToLeft="false" tabSelected="false" showOutlineSymbols="true" defaultGridColor="true" view="pageBreakPreview" topLeftCell="A1" colorId="64" zoomScale="100" zoomScaleNormal="130" zoomScalePageLayoutView="100" workbookViewId="0">
      <selection pane="topLeft" activeCell="F1" activeCellId="0" sqref="F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9.59"/>
    <col collapsed="false" customWidth="true" hidden="false" outlineLevel="0" max="2" min="2" style="2" width="55.86"/>
    <col collapsed="false" customWidth="true" hidden="false" outlineLevel="0" max="3" min="3" style="2" width="10"/>
    <col collapsed="false" customWidth="true" hidden="false" outlineLevel="0" max="4" min="4" style="2" width="14.01"/>
    <col collapsed="false" customWidth="false" hidden="false" outlineLevel="0" max="1024" min="5" style="3" width="9.13"/>
  </cols>
  <sheetData>
    <row r="1" s="5" customFormat="true" ht="98.5" hidden="false" customHeight="true" outlineLevel="0" collapsed="false">
      <c r="A1" s="53"/>
      <c r="B1" s="53"/>
      <c r="C1" s="53"/>
      <c r="D1" s="53"/>
    </row>
    <row r="2" s="5" customFormat="true" ht="23.85" hidden="false" customHeight="true" outlineLevel="0" collapsed="false">
      <c r="A2" s="54" t="s">
        <v>29</v>
      </c>
      <c r="B2" s="54"/>
      <c r="C2" s="54"/>
      <c r="D2" s="54"/>
    </row>
    <row r="3" s="5" customFormat="true" ht="15.75" hidden="false" customHeight="false" outlineLevel="0" collapsed="false">
      <c r="A3" s="55" t="s">
        <v>30</v>
      </c>
      <c r="B3" s="55" t="s">
        <v>2</v>
      </c>
      <c r="C3" s="56" t="s">
        <v>31</v>
      </c>
      <c r="D3" s="56" t="s">
        <v>32</v>
      </c>
    </row>
    <row r="4" customFormat="false" ht="15.75" hidden="false" customHeight="false" outlineLevel="0" collapsed="false">
      <c r="A4" s="57" t="s">
        <v>33</v>
      </c>
      <c r="B4" s="58" t="s">
        <v>34</v>
      </c>
      <c r="C4" s="59"/>
      <c r="D4" s="60"/>
    </row>
    <row r="5" customFormat="false" ht="15.75" hidden="false" customHeight="false" outlineLevel="0" collapsed="false">
      <c r="A5" s="61" t="s">
        <v>35</v>
      </c>
      <c r="B5" s="62" t="s">
        <v>36</v>
      </c>
      <c r="C5" s="63" t="n">
        <v>0.2</v>
      </c>
      <c r="D5" s="63" t="n">
        <v>0.2</v>
      </c>
    </row>
    <row r="6" customFormat="false" ht="15.75" hidden="false" customHeight="false" outlineLevel="0" collapsed="false">
      <c r="A6" s="61" t="s">
        <v>37</v>
      </c>
      <c r="B6" s="62" t="s">
        <v>38</v>
      </c>
      <c r="C6" s="64" t="n">
        <v>0.015</v>
      </c>
      <c r="D6" s="64" t="n">
        <v>0.015</v>
      </c>
    </row>
    <row r="7" customFormat="false" ht="15.75" hidden="false" customHeight="false" outlineLevel="0" collapsed="false">
      <c r="A7" s="61" t="s">
        <v>39</v>
      </c>
      <c r="B7" s="62" t="s">
        <v>40</v>
      </c>
      <c r="C7" s="64" t="n">
        <v>0.01</v>
      </c>
      <c r="D7" s="64" t="n">
        <v>0.01</v>
      </c>
    </row>
    <row r="8" customFormat="false" ht="15.75" hidden="false" customHeight="false" outlineLevel="0" collapsed="false">
      <c r="A8" s="61" t="s">
        <v>41</v>
      </c>
      <c r="B8" s="62" t="s">
        <v>42</v>
      </c>
      <c r="C8" s="64" t="n">
        <v>0.002</v>
      </c>
      <c r="D8" s="64" t="n">
        <v>0.002</v>
      </c>
    </row>
    <row r="9" customFormat="false" ht="15.75" hidden="false" customHeight="false" outlineLevel="0" collapsed="false">
      <c r="A9" s="61" t="s">
        <v>43</v>
      </c>
      <c r="B9" s="62" t="s">
        <v>44</v>
      </c>
      <c r="C9" s="64" t="n">
        <v>0.025</v>
      </c>
      <c r="D9" s="64" t="n">
        <v>0.025</v>
      </c>
    </row>
    <row r="10" customFormat="false" ht="15.75" hidden="false" customHeight="false" outlineLevel="0" collapsed="false">
      <c r="A10" s="61" t="s">
        <v>45</v>
      </c>
      <c r="B10" s="62" t="s">
        <v>46</v>
      </c>
      <c r="C10" s="64" t="n">
        <v>0.08</v>
      </c>
      <c r="D10" s="64" t="n">
        <v>0.08</v>
      </c>
    </row>
    <row r="11" customFormat="false" ht="15.75" hidden="false" customHeight="false" outlineLevel="0" collapsed="false">
      <c r="A11" s="61" t="s">
        <v>47</v>
      </c>
      <c r="B11" s="62" t="s">
        <v>48</v>
      </c>
      <c r="C11" s="64" t="n">
        <v>0.03</v>
      </c>
      <c r="D11" s="64" t="n">
        <v>0.03</v>
      </c>
    </row>
    <row r="12" customFormat="false" ht="15.75" hidden="false" customHeight="false" outlineLevel="0" collapsed="false">
      <c r="A12" s="61" t="s">
        <v>49</v>
      </c>
      <c r="B12" s="62" t="s">
        <v>50</v>
      </c>
      <c r="C12" s="64" t="n">
        <v>0.006</v>
      </c>
      <c r="D12" s="64" t="n">
        <v>0.006</v>
      </c>
    </row>
    <row r="13" customFormat="false" ht="15.75" hidden="false" customHeight="false" outlineLevel="0" collapsed="false">
      <c r="A13" s="61" t="s">
        <v>51</v>
      </c>
      <c r="B13" s="62" t="s">
        <v>52</v>
      </c>
      <c r="C13" s="64" t="n">
        <v>0.01</v>
      </c>
      <c r="D13" s="64" t="n">
        <v>0.01</v>
      </c>
    </row>
    <row r="14" customFormat="false" ht="15.75" hidden="false" customHeight="false" outlineLevel="0" collapsed="false">
      <c r="A14" s="61"/>
      <c r="B14" s="58" t="s">
        <v>53</v>
      </c>
      <c r="C14" s="65" t="n">
        <f aca="false">SUM(C5:C13)</f>
        <v>0.378</v>
      </c>
      <c r="D14" s="65" t="n">
        <f aca="false">SUM(D5:D13)</f>
        <v>0.378</v>
      </c>
    </row>
    <row r="15" customFormat="false" ht="15.75" hidden="false" customHeight="false" outlineLevel="0" collapsed="false">
      <c r="A15" s="61"/>
      <c r="B15" s="62"/>
      <c r="C15" s="61"/>
      <c r="D15" s="61"/>
    </row>
    <row r="16" customFormat="false" ht="15.75" hidden="false" customHeight="false" outlineLevel="0" collapsed="false">
      <c r="A16" s="57" t="s">
        <v>54</v>
      </c>
      <c r="B16" s="58" t="s">
        <v>55</v>
      </c>
      <c r="C16" s="61"/>
      <c r="D16" s="61"/>
    </row>
    <row r="17" customFormat="false" ht="15.75" hidden="false" customHeight="false" outlineLevel="0" collapsed="false">
      <c r="A17" s="61" t="s">
        <v>56</v>
      </c>
      <c r="B17" s="62" t="s">
        <v>57</v>
      </c>
      <c r="C17" s="64" t="n">
        <v>0.0956</v>
      </c>
      <c r="D17" s="66" t="n">
        <v>0.0729</v>
      </c>
    </row>
    <row r="18" customFormat="false" ht="15.75" hidden="false" customHeight="false" outlineLevel="0" collapsed="false">
      <c r="A18" s="61" t="s">
        <v>58</v>
      </c>
      <c r="B18" s="62" t="s">
        <v>59</v>
      </c>
      <c r="C18" s="64" t="n">
        <v>0.0091</v>
      </c>
      <c r="D18" s="64" t="n">
        <v>0.0069</v>
      </c>
    </row>
    <row r="19" customFormat="false" ht="15.75" hidden="false" customHeight="false" outlineLevel="0" collapsed="false">
      <c r="A19" s="61" t="s">
        <v>60</v>
      </c>
      <c r="B19" s="62" t="s">
        <v>61</v>
      </c>
      <c r="C19" s="64" t="n">
        <v>0.0008</v>
      </c>
      <c r="D19" s="64" t="n">
        <v>0.0006</v>
      </c>
    </row>
    <row r="20" customFormat="false" ht="15.75" hidden="false" customHeight="false" outlineLevel="0" collapsed="false">
      <c r="A20" s="61" t="s">
        <v>62</v>
      </c>
      <c r="B20" s="62" t="s">
        <v>63</v>
      </c>
      <c r="C20" s="64" t="n">
        <v>0.0003</v>
      </c>
      <c r="D20" s="64" t="n">
        <v>0.0002</v>
      </c>
    </row>
    <row r="21" customFormat="false" ht="15.75" hidden="false" customHeight="false" outlineLevel="0" collapsed="false">
      <c r="A21" s="61" t="s">
        <v>64</v>
      </c>
      <c r="B21" s="62" t="s">
        <v>65</v>
      </c>
      <c r="C21" s="64" t="n">
        <v>0.0073</v>
      </c>
      <c r="D21" s="64" t="n">
        <v>0.0056</v>
      </c>
    </row>
    <row r="22" customFormat="false" ht="15.75" hidden="false" customHeight="false" outlineLevel="0" collapsed="false">
      <c r="A22" s="61" t="s">
        <v>66</v>
      </c>
      <c r="B22" s="62" t="s">
        <v>67</v>
      </c>
      <c r="C22" s="64" t="n">
        <v>0.0012</v>
      </c>
      <c r="D22" s="64" t="n">
        <v>0.0009</v>
      </c>
    </row>
    <row r="23" customFormat="false" ht="15.75" hidden="false" customHeight="false" outlineLevel="0" collapsed="false">
      <c r="A23" s="61" t="s">
        <v>68</v>
      </c>
      <c r="B23" s="62" t="s">
        <v>69</v>
      </c>
      <c r="C23" s="64" t="n">
        <v>0.1093</v>
      </c>
      <c r="D23" s="64" t="n">
        <v>0.0833</v>
      </c>
    </row>
    <row r="24" customFormat="false" ht="15.75" hidden="false" customHeight="false" outlineLevel="0" collapsed="false">
      <c r="A24" s="61" t="s">
        <v>70</v>
      </c>
      <c r="B24" s="62" t="s">
        <v>71</v>
      </c>
      <c r="C24" s="64" t="n">
        <v>0.1799</v>
      </c>
      <c r="D24" s="67" t="n">
        <v>0</v>
      </c>
    </row>
    <row r="25" customFormat="false" ht="15.75" hidden="false" customHeight="false" outlineLevel="0" collapsed="false">
      <c r="A25" s="61" t="s">
        <v>72</v>
      </c>
      <c r="B25" s="62" t="s">
        <v>73</v>
      </c>
      <c r="C25" s="64" t="n">
        <v>0.0469</v>
      </c>
      <c r="D25" s="67" t="n">
        <v>0</v>
      </c>
    </row>
    <row r="26" customFormat="false" ht="15.75" hidden="false" customHeight="false" outlineLevel="0" collapsed="false">
      <c r="A26" s="61" t="s">
        <v>74</v>
      </c>
      <c r="B26" s="62" t="s">
        <v>75</v>
      </c>
      <c r="C26" s="64" t="n">
        <v>0.0135</v>
      </c>
      <c r="D26" s="67" t="n">
        <v>0</v>
      </c>
    </row>
    <row r="27" customFormat="false" ht="15.75" hidden="false" customHeight="false" outlineLevel="0" collapsed="false">
      <c r="A27" s="61"/>
      <c r="B27" s="58" t="s">
        <v>76</v>
      </c>
      <c r="C27" s="65" t="n">
        <f aca="false">SUM(C17:C26)</f>
        <v>0.4639</v>
      </c>
      <c r="D27" s="65" t="n">
        <f aca="false">SUM(D17:D26)</f>
        <v>0.1704</v>
      </c>
    </row>
    <row r="28" customFormat="false" ht="15.75" hidden="false" customHeight="false" outlineLevel="0" collapsed="false">
      <c r="A28" s="57"/>
      <c r="B28" s="58"/>
      <c r="C28" s="61"/>
      <c r="D28" s="61"/>
    </row>
    <row r="29" customFormat="false" ht="15.75" hidden="false" customHeight="false" outlineLevel="0" collapsed="false">
      <c r="A29" s="57" t="s">
        <v>77</v>
      </c>
      <c r="B29" s="58" t="s">
        <v>78</v>
      </c>
      <c r="C29" s="61"/>
      <c r="D29" s="61"/>
    </row>
    <row r="30" customFormat="false" ht="15.75" hidden="false" customHeight="false" outlineLevel="0" collapsed="false">
      <c r="A30" s="61" t="s">
        <v>79</v>
      </c>
      <c r="B30" s="62" t="s">
        <v>80</v>
      </c>
      <c r="C30" s="64" t="n">
        <v>0.059</v>
      </c>
      <c r="D30" s="64" t="n">
        <v>0.045</v>
      </c>
    </row>
    <row r="31" customFormat="false" ht="15.75" hidden="false" customHeight="false" outlineLevel="0" collapsed="false">
      <c r="A31" s="61" t="s">
        <v>81</v>
      </c>
      <c r="B31" s="62" t="s">
        <v>82</v>
      </c>
      <c r="C31" s="64" t="n">
        <v>0.0014</v>
      </c>
      <c r="D31" s="64" t="n">
        <v>0.0011</v>
      </c>
    </row>
    <row r="32" customFormat="false" ht="15.75" hidden="false" customHeight="false" outlineLevel="0" collapsed="false">
      <c r="A32" s="61" t="s">
        <v>83</v>
      </c>
      <c r="B32" s="62" t="s">
        <v>84</v>
      </c>
      <c r="C32" s="64" t="n">
        <v>0.0397</v>
      </c>
      <c r="D32" s="64" t="n">
        <v>0.0303</v>
      </c>
    </row>
    <row r="33" customFormat="false" ht="15.75" hidden="false" customHeight="false" outlineLevel="0" collapsed="false">
      <c r="A33" s="61" t="s">
        <v>85</v>
      </c>
      <c r="B33" s="62" t="s">
        <v>86</v>
      </c>
      <c r="C33" s="64" t="n">
        <v>0.005</v>
      </c>
      <c r="D33" s="64" t="n">
        <v>0.0038</v>
      </c>
    </row>
    <row r="34" customFormat="false" ht="15.75" hidden="false" customHeight="false" outlineLevel="0" collapsed="false">
      <c r="A34" s="61" t="s">
        <v>87</v>
      </c>
      <c r="B34" s="62" t="s">
        <v>88</v>
      </c>
      <c r="C34" s="64" t="n">
        <v>0.049</v>
      </c>
      <c r="D34" s="64" t="n">
        <v>0.0374</v>
      </c>
    </row>
    <row r="35" customFormat="false" ht="15.75" hidden="false" customHeight="false" outlineLevel="0" collapsed="false">
      <c r="A35" s="61"/>
      <c r="B35" s="58" t="s">
        <v>53</v>
      </c>
      <c r="C35" s="65" t="n">
        <f aca="false">SUM(C30:C34)</f>
        <v>0.1541</v>
      </c>
      <c r="D35" s="65" t="n">
        <f aca="false">SUM(D30:D34)</f>
        <v>0.1176</v>
      </c>
    </row>
    <row r="36" customFormat="false" ht="15.75" hidden="false" customHeight="false" outlineLevel="0" collapsed="false">
      <c r="A36" s="57"/>
      <c r="B36" s="58"/>
      <c r="C36" s="57"/>
      <c r="D36" s="57"/>
    </row>
    <row r="37" customFormat="false" ht="15.75" hidden="false" customHeight="false" outlineLevel="0" collapsed="false">
      <c r="A37" s="57" t="s">
        <v>89</v>
      </c>
      <c r="B37" s="58" t="s">
        <v>90</v>
      </c>
      <c r="C37" s="68"/>
      <c r="D37" s="68"/>
    </row>
    <row r="38" customFormat="false" ht="15.75" hidden="false" customHeight="false" outlineLevel="0" collapsed="false">
      <c r="A38" s="61" t="s">
        <v>91</v>
      </c>
      <c r="B38" s="62" t="s">
        <v>92</v>
      </c>
      <c r="C38" s="66" t="n">
        <v>0.1754</v>
      </c>
      <c r="D38" s="66" t="n">
        <v>0.0644</v>
      </c>
    </row>
    <row r="39" customFormat="false" ht="31.5" hidden="false" customHeight="false" outlineLevel="0" collapsed="false">
      <c r="A39" s="61" t="s">
        <v>93</v>
      </c>
      <c r="B39" s="62" t="s">
        <v>94</v>
      </c>
      <c r="C39" s="66" t="n">
        <v>0.0052</v>
      </c>
      <c r="D39" s="66" t="n">
        <v>0.004</v>
      </c>
    </row>
    <row r="40" customFormat="false" ht="15.75" hidden="false" customHeight="false" outlineLevel="0" collapsed="false">
      <c r="A40" s="57"/>
      <c r="B40" s="58" t="s">
        <v>53</v>
      </c>
      <c r="C40" s="65" t="n">
        <f aca="false">SUM(C38:C39)</f>
        <v>0.1806</v>
      </c>
      <c r="D40" s="65" t="n">
        <f aca="false">SUM(D38:D39)</f>
        <v>0.0684</v>
      </c>
    </row>
    <row r="41" customFormat="false" ht="15.75" hidden="false" customHeight="false" outlineLevel="0" collapsed="false">
      <c r="A41" s="57"/>
      <c r="B41" s="58"/>
      <c r="C41" s="68"/>
      <c r="D41" s="68"/>
    </row>
    <row r="42" customFormat="false" ht="15.75" hidden="false" customHeight="false" outlineLevel="0" collapsed="false">
      <c r="A42" s="69"/>
      <c r="B42" s="70" t="s">
        <v>95</v>
      </c>
      <c r="C42" s="71" t="n">
        <f aca="false">C14+C27+C35+C40</f>
        <v>1.1766</v>
      </c>
      <c r="D42" s="71" t="n">
        <f aca="false">D14+D27+D35+D40-0.0001</f>
        <v>0.7343</v>
      </c>
    </row>
    <row r="43" customFormat="false" ht="12.75" hidden="false" customHeight="false" outlineLevel="0" collapsed="false">
      <c r="A43" s="72"/>
      <c r="B43" s="73"/>
      <c r="C43" s="73"/>
      <c r="D43" s="73"/>
    </row>
    <row r="45" customFormat="false" ht="12.75" hidden="false" customHeight="false" outlineLevel="0" collapsed="false">
      <c r="A45" s="74"/>
      <c r="B45" s="75"/>
      <c r="C45" s="75"/>
      <c r="D45" s="75"/>
    </row>
  </sheetData>
  <mergeCells count="2">
    <mergeCell ref="A1:D1"/>
    <mergeCell ref="A2:D2"/>
  </mergeCells>
  <printOptions headings="false" gridLines="true" gridLinesSet="true" horizontalCentered="true" verticalCentered="false"/>
  <pageMargins left="0.196527777777778" right="0.196527777777778" top="0.763888888888889" bottom="0.786111111111111" header="0.511805555555555" footer="0.315277777777778"/>
  <pageSetup paperSize="9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&amp;CAv. SN 21, Cidade Nova VI nº18 – Coqueiro – Ananindeua – Pará. CEP: 67.143-810
Email: engsesau@hotmail.com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81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7" activeCellId="0" sqref="I7"/>
    </sheetView>
  </sheetViews>
  <sheetFormatPr defaultColWidth="8.875" defaultRowHeight="15" zeroHeight="false" outlineLevelRow="0" outlineLevelCol="0"/>
  <cols>
    <col collapsed="false" customWidth="false" hidden="false" outlineLevel="0" max="2" min="1" style="76" width="8.86"/>
    <col collapsed="false" customWidth="true" hidden="false" outlineLevel="0" max="3" min="3" style="76" width="35.29"/>
    <col collapsed="false" customWidth="true" hidden="false" outlineLevel="0" max="4" min="4" style="76" width="12.29"/>
    <col collapsed="false" customWidth="true" hidden="false" outlineLevel="0" max="7" min="5" style="76" width="11.99"/>
    <col collapsed="false" customWidth="true" hidden="false" outlineLevel="0" max="8" min="8" style="76" width="12.86"/>
    <col collapsed="false" customWidth="true" hidden="false" outlineLevel="0" max="9" min="9" style="76" width="10.99"/>
    <col collapsed="false" customWidth="false" hidden="false" outlineLevel="0" max="1024" min="10" style="76" width="8.86"/>
  </cols>
  <sheetData>
    <row r="1" customFormat="false" ht="15.75" hidden="false" customHeight="false" outlineLevel="0" collapsed="false"/>
    <row r="2" s="77" customFormat="true" ht="21" hidden="false" customHeight="true" outlineLevel="0" collapsed="false">
      <c r="B2" s="78" t="s">
        <v>96</v>
      </c>
      <c r="C2" s="78"/>
      <c r="D2" s="78"/>
      <c r="E2" s="78"/>
      <c r="F2" s="78"/>
      <c r="G2" s="78"/>
      <c r="H2" s="78"/>
    </row>
    <row r="3" s="77" customFormat="true" ht="21" hidden="false" customHeight="true" outlineLevel="0" collapsed="false">
      <c r="B3" s="79" t="s">
        <v>97</v>
      </c>
      <c r="C3" s="79"/>
      <c r="D3" s="79"/>
      <c r="E3" s="79"/>
      <c r="F3" s="79"/>
      <c r="G3" s="79"/>
      <c r="H3" s="79"/>
    </row>
    <row r="4" s="77" customFormat="true" ht="21" hidden="false" customHeight="true" outlineLevel="0" collapsed="false">
      <c r="B4" s="80"/>
      <c r="C4" s="80"/>
      <c r="D4" s="80"/>
      <c r="E4" s="80"/>
      <c r="F4" s="80"/>
      <c r="G4" s="80"/>
      <c r="H4" s="80"/>
      <c r="I4" s="81"/>
    </row>
    <row r="5" s="77" customFormat="true" ht="21" hidden="false" customHeight="true" outlineLevel="0" collapsed="false">
      <c r="B5" s="82" t="s">
        <v>98</v>
      </c>
      <c r="C5" s="82"/>
      <c r="D5" s="82"/>
      <c r="E5" s="82"/>
      <c r="F5" s="82"/>
      <c r="G5" s="82"/>
      <c r="H5" s="82"/>
    </row>
    <row r="6" s="77" customFormat="true" ht="21" hidden="false" customHeight="true" outlineLevel="0" collapsed="false">
      <c r="B6" s="83" t="s">
        <v>99</v>
      </c>
      <c r="C6" s="83"/>
      <c r="D6" s="83"/>
      <c r="E6" s="83"/>
      <c r="F6" s="83"/>
      <c r="G6" s="83"/>
      <c r="H6" s="83"/>
    </row>
    <row r="7" s="77" customFormat="true" ht="13.5" hidden="false" customHeight="false" outlineLevel="0" collapsed="false">
      <c r="B7" s="84" t="s">
        <v>100</v>
      </c>
      <c r="C7" s="84"/>
      <c r="D7" s="84"/>
      <c r="E7" s="84"/>
      <c r="F7" s="84"/>
      <c r="G7" s="84"/>
      <c r="H7" s="84"/>
    </row>
    <row r="8" customFormat="false" ht="16.5" hidden="false" customHeight="false" outlineLevel="0" collapsed="false">
      <c r="B8" s="85" t="s">
        <v>101</v>
      </c>
      <c r="C8" s="85"/>
      <c r="D8" s="85"/>
      <c r="E8" s="85"/>
      <c r="F8" s="85"/>
      <c r="G8" s="85"/>
      <c r="H8" s="85"/>
      <c r="I8" s="86"/>
    </row>
    <row r="9" customFormat="false" ht="15.75" hidden="false" customHeight="false" outlineLevel="0" collapsed="false">
      <c r="B9" s="87" t="s">
        <v>1</v>
      </c>
      <c r="C9" s="88" t="s">
        <v>102</v>
      </c>
      <c r="D9" s="88"/>
      <c r="E9" s="87" t="s">
        <v>103</v>
      </c>
      <c r="F9" s="87"/>
      <c r="G9" s="87"/>
      <c r="H9" s="89"/>
      <c r="I9" s="90"/>
    </row>
    <row r="10" customFormat="false" ht="15.75" hidden="false" customHeight="false" outlineLevel="0" collapsed="false">
      <c r="B10" s="91"/>
      <c r="C10" s="91"/>
      <c r="D10" s="89"/>
      <c r="E10" s="92" t="n">
        <v>1</v>
      </c>
      <c r="F10" s="93" t="n">
        <v>2</v>
      </c>
      <c r="G10" s="93" t="n">
        <v>3</v>
      </c>
      <c r="H10" s="93" t="s">
        <v>104</v>
      </c>
      <c r="I10" s="94"/>
    </row>
    <row r="11" customFormat="false" ht="11.25" hidden="false" customHeight="true" outlineLevel="0" collapsed="false">
      <c r="B11" s="93" t="n">
        <v>1</v>
      </c>
      <c r="C11" s="95" t="s">
        <v>105</v>
      </c>
      <c r="D11" s="96" t="s">
        <v>106</v>
      </c>
      <c r="E11" s="97" t="n">
        <v>1</v>
      </c>
      <c r="F11" s="97" t="n">
        <v>0</v>
      </c>
      <c r="G11" s="97" t="n">
        <v>0</v>
      </c>
      <c r="H11" s="98" t="n">
        <f aca="false">SUM(E11:G11)</f>
        <v>1</v>
      </c>
      <c r="I11" s="99"/>
    </row>
    <row r="12" customFormat="false" ht="6" hidden="false" customHeight="true" outlineLevel="0" collapsed="false">
      <c r="B12" s="100"/>
      <c r="C12" s="101"/>
      <c r="D12" s="102"/>
      <c r="E12" s="103"/>
      <c r="F12" s="104"/>
      <c r="G12" s="104"/>
      <c r="H12" s="105"/>
      <c r="I12" s="99"/>
    </row>
    <row r="13" customFormat="false" ht="11.25" hidden="false" customHeight="true" outlineLevel="0" collapsed="false">
      <c r="B13" s="88"/>
      <c r="C13" s="106"/>
      <c r="D13" s="107" t="s">
        <v>107</v>
      </c>
      <c r="E13" s="108" t="e">
        <f aca="false">H13*E11</f>
        <v>#REF!</v>
      </c>
      <c r="F13" s="108" t="n">
        <f aca="false">I13*F11</f>
        <v>0</v>
      </c>
      <c r="G13" s="108" t="n">
        <f aca="false">J13*G11</f>
        <v>0</v>
      </c>
      <c r="H13" s="109" t="e">
        <f aca="false">#REF!</f>
        <v>#REF!</v>
      </c>
      <c r="I13" s="110"/>
    </row>
    <row r="14" customFormat="false" ht="11.25" hidden="false" customHeight="true" outlineLevel="0" collapsed="false">
      <c r="B14" s="100" t="n">
        <v>2</v>
      </c>
      <c r="C14" s="111" t="s">
        <v>108</v>
      </c>
      <c r="D14" s="102" t="s">
        <v>106</v>
      </c>
      <c r="E14" s="97" t="n">
        <v>1</v>
      </c>
      <c r="F14" s="97" t="n">
        <v>0</v>
      </c>
      <c r="G14" s="97" t="n">
        <v>0</v>
      </c>
      <c r="H14" s="112" t="n">
        <f aca="false">SUM(E14:G14)</f>
        <v>1</v>
      </c>
      <c r="I14" s="99"/>
    </row>
    <row r="15" customFormat="false" ht="6" hidden="false" customHeight="true" outlineLevel="0" collapsed="false">
      <c r="B15" s="100"/>
      <c r="C15" s="101"/>
      <c r="D15" s="113"/>
      <c r="E15" s="103"/>
      <c r="F15" s="104"/>
      <c r="G15" s="104"/>
      <c r="H15" s="105"/>
      <c r="I15" s="99"/>
    </row>
    <row r="16" customFormat="false" ht="11.25" hidden="false" customHeight="true" outlineLevel="0" collapsed="false">
      <c r="B16" s="100"/>
      <c r="C16" s="101"/>
      <c r="D16" s="114" t="s">
        <v>107</v>
      </c>
      <c r="E16" s="108" t="e">
        <f aca="false">H16*E14</f>
        <v>#REF!</v>
      </c>
      <c r="F16" s="108" t="n">
        <f aca="false">I16*F14</f>
        <v>0</v>
      </c>
      <c r="G16" s="108" t="n">
        <f aca="false">J16*G14</f>
        <v>0</v>
      </c>
      <c r="H16" s="115" t="e">
        <f aca="false">#REF!</f>
        <v>#REF!</v>
      </c>
      <c r="I16" s="116"/>
    </row>
    <row r="17" customFormat="false" ht="11.25" hidden="false" customHeight="true" outlineLevel="0" collapsed="false">
      <c r="B17" s="93" t="n">
        <v>3</v>
      </c>
      <c r="C17" s="117" t="s">
        <v>109</v>
      </c>
      <c r="D17" s="96" t="s">
        <v>106</v>
      </c>
      <c r="E17" s="97" t="n">
        <v>1</v>
      </c>
      <c r="F17" s="97" t="n">
        <v>0</v>
      </c>
      <c r="G17" s="97" t="n">
        <v>0</v>
      </c>
      <c r="H17" s="98" t="n">
        <f aca="false">SUM(E17:G17)</f>
        <v>1</v>
      </c>
      <c r="I17" s="99"/>
    </row>
    <row r="18" customFormat="false" ht="6" hidden="false" customHeight="true" outlineLevel="0" collapsed="false">
      <c r="B18" s="100"/>
      <c r="C18" s="101"/>
      <c r="D18" s="113"/>
      <c r="E18" s="103"/>
      <c r="F18" s="104"/>
      <c r="G18" s="104"/>
      <c r="H18" s="105"/>
      <c r="I18" s="99"/>
    </row>
    <row r="19" customFormat="false" ht="11.25" hidden="false" customHeight="true" outlineLevel="0" collapsed="false">
      <c r="B19" s="100"/>
      <c r="C19" s="101"/>
      <c r="D19" s="114" t="s">
        <v>107</v>
      </c>
      <c r="E19" s="108" t="e">
        <f aca="false">H19*E17</f>
        <v>#REF!</v>
      </c>
      <c r="F19" s="108" t="n">
        <f aca="false">I19*F17</f>
        <v>0</v>
      </c>
      <c r="G19" s="108" t="n">
        <f aca="false">J19*G17</f>
        <v>0</v>
      </c>
      <c r="H19" s="115" t="e">
        <f aca="false">#REF!</f>
        <v>#REF!</v>
      </c>
      <c r="I19" s="116"/>
    </row>
    <row r="20" customFormat="false" ht="11.25" hidden="false" customHeight="true" outlineLevel="0" collapsed="false">
      <c r="B20" s="93" t="n">
        <v>4</v>
      </c>
      <c r="C20" s="95" t="s">
        <v>110</v>
      </c>
      <c r="D20" s="96" t="s">
        <v>106</v>
      </c>
      <c r="E20" s="97" t="n">
        <v>1</v>
      </c>
      <c r="F20" s="97" t="n">
        <v>0</v>
      </c>
      <c r="G20" s="97" t="n">
        <v>0</v>
      </c>
      <c r="H20" s="98" t="n">
        <f aca="false">SUM(E20:G20)</f>
        <v>1</v>
      </c>
      <c r="I20" s="99"/>
    </row>
    <row r="21" customFormat="false" ht="6" hidden="false" customHeight="true" outlineLevel="0" collapsed="false">
      <c r="B21" s="100"/>
      <c r="C21" s="101"/>
      <c r="D21" s="113"/>
      <c r="E21" s="103"/>
      <c r="F21" s="104"/>
      <c r="G21" s="104"/>
      <c r="H21" s="105"/>
      <c r="I21" s="99"/>
    </row>
    <row r="22" customFormat="false" ht="11.25" hidden="false" customHeight="true" outlineLevel="0" collapsed="false">
      <c r="B22" s="88"/>
      <c r="C22" s="106"/>
      <c r="D22" s="107" t="s">
        <v>107</v>
      </c>
      <c r="E22" s="108" t="e">
        <f aca="false">H22*E20</f>
        <v>#REF!</v>
      </c>
      <c r="F22" s="108" t="n">
        <f aca="false">I22*F20</f>
        <v>0</v>
      </c>
      <c r="G22" s="108" t="n">
        <f aca="false">J22*G20</f>
        <v>0</v>
      </c>
      <c r="H22" s="118" t="e">
        <f aca="false">#REF!</f>
        <v>#REF!</v>
      </c>
      <c r="I22" s="116"/>
    </row>
    <row r="23" customFormat="false" ht="11.25" hidden="false" customHeight="true" outlineLevel="0" collapsed="false">
      <c r="B23" s="93" t="n">
        <v>5</v>
      </c>
      <c r="C23" s="117" t="s">
        <v>111</v>
      </c>
      <c r="D23" s="96" t="s">
        <v>106</v>
      </c>
      <c r="E23" s="97" t="n">
        <v>0.3</v>
      </c>
      <c r="F23" s="97" t="n">
        <v>0.7</v>
      </c>
      <c r="G23" s="97" t="n">
        <v>0</v>
      </c>
      <c r="H23" s="98" t="n">
        <f aca="false">SUM(E23:G23)</f>
        <v>1</v>
      </c>
      <c r="I23" s="99"/>
    </row>
    <row r="24" customFormat="false" ht="6" hidden="false" customHeight="true" outlineLevel="0" collapsed="false">
      <c r="B24" s="100"/>
      <c r="C24" s="101"/>
      <c r="D24" s="113"/>
      <c r="E24" s="103"/>
      <c r="F24" s="103"/>
      <c r="G24" s="104"/>
      <c r="H24" s="105"/>
      <c r="I24" s="99"/>
    </row>
    <row r="25" customFormat="false" ht="11.25" hidden="false" customHeight="true" outlineLevel="0" collapsed="false">
      <c r="B25" s="88"/>
      <c r="C25" s="106"/>
      <c r="D25" s="107" t="s">
        <v>107</v>
      </c>
      <c r="E25" s="108" t="e">
        <f aca="false">H25*E23</f>
        <v>#REF!</v>
      </c>
      <c r="F25" s="108" t="e">
        <f aca="false">H25*F23</f>
        <v>#REF!</v>
      </c>
      <c r="G25" s="108" t="n">
        <f aca="false">J25*G23</f>
        <v>0</v>
      </c>
      <c r="H25" s="118" t="e">
        <f aca="false">#REF!</f>
        <v>#REF!</v>
      </c>
      <c r="I25" s="116"/>
    </row>
    <row r="26" customFormat="false" ht="11.25" hidden="false" customHeight="true" outlineLevel="0" collapsed="false">
      <c r="B26" s="93" t="n">
        <v>6</v>
      </c>
      <c r="C26" s="117" t="s">
        <v>112</v>
      </c>
      <c r="D26" s="96" t="s">
        <v>106</v>
      </c>
      <c r="E26" s="97" t="n">
        <v>0.5</v>
      </c>
      <c r="F26" s="97" t="n">
        <v>0.5</v>
      </c>
      <c r="G26" s="97" t="n">
        <v>0</v>
      </c>
      <c r="H26" s="98" t="n">
        <f aca="false">SUM(E26:G26)</f>
        <v>1</v>
      </c>
      <c r="I26" s="99"/>
    </row>
    <row r="27" customFormat="false" ht="6" hidden="false" customHeight="true" outlineLevel="0" collapsed="false">
      <c r="B27" s="100"/>
      <c r="C27" s="101"/>
      <c r="D27" s="113"/>
      <c r="E27" s="103"/>
      <c r="F27" s="103"/>
      <c r="G27" s="104"/>
      <c r="H27" s="105"/>
      <c r="I27" s="99"/>
    </row>
    <row r="28" customFormat="false" ht="11.25" hidden="false" customHeight="true" outlineLevel="0" collapsed="false">
      <c r="B28" s="88"/>
      <c r="C28" s="106"/>
      <c r="D28" s="107" t="s">
        <v>107</v>
      </c>
      <c r="E28" s="108" t="e">
        <f aca="false">H28*E26</f>
        <v>#REF!</v>
      </c>
      <c r="F28" s="108" t="e">
        <f aca="false">H28*F26</f>
        <v>#REF!</v>
      </c>
      <c r="G28" s="108" t="n">
        <f aca="false">J28*G26</f>
        <v>0</v>
      </c>
      <c r="H28" s="118" t="e">
        <f aca="false">#REF!</f>
        <v>#REF!</v>
      </c>
      <c r="I28" s="116"/>
    </row>
    <row r="29" customFormat="false" ht="11.25" hidden="false" customHeight="true" outlineLevel="0" collapsed="false">
      <c r="B29" s="93" t="n">
        <v>7</v>
      </c>
      <c r="C29" s="117" t="s">
        <v>113</v>
      </c>
      <c r="D29" s="96" t="s">
        <v>106</v>
      </c>
      <c r="E29" s="97" t="n">
        <v>0</v>
      </c>
      <c r="F29" s="97" t="n">
        <v>0.3</v>
      </c>
      <c r="G29" s="97" t="n">
        <v>0.7</v>
      </c>
      <c r="H29" s="98" t="n">
        <f aca="false">SUM(E29:G29)</f>
        <v>1</v>
      </c>
      <c r="I29" s="99"/>
    </row>
    <row r="30" customFormat="false" ht="6" hidden="false" customHeight="true" outlineLevel="0" collapsed="false">
      <c r="B30" s="100"/>
      <c r="C30" s="101"/>
      <c r="D30" s="113"/>
      <c r="E30" s="104"/>
      <c r="F30" s="103"/>
      <c r="G30" s="103"/>
      <c r="H30" s="105"/>
      <c r="I30" s="99"/>
    </row>
    <row r="31" customFormat="false" ht="11.25" hidden="false" customHeight="true" outlineLevel="0" collapsed="false">
      <c r="B31" s="88"/>
      <c r="C31" s="106"/>
      <c r="D31" s="107" t="s">
        <v>107</v>
      </c>
      <c r="E31" s="108" t="e">
        <f aca="false">H31*E29</f>
        <v>#REF!</v>
      </c>
      <c r="F31" s="108" t="e">
        <f aca="false">H31*F29</f>
        <v>#REF!</v>
      </c>
      <c r="G31" s="108" t="e">
        <f aca="false">H31*G29</f>
        <v>#REF!</v>
      </c>
      <c r="H31" s="118" t="e">
        <f aca="false">#REF!</f>
        <v>#REF!</v>
      </c>
      <c r="I31" s="116"/>
    </row>
    <row r="32" customFormat="false" ht="11.25" hidden="false" customHeight="true" outlineLevel="0" collapsed="false">
      <c r="B32" s="100" t="n">
        <v>8</v>
      </c>
      <c r="C32" s="111" t="s">
        <v>114</v>
      </c>
      <c r="D32" s="102" t="s">
        <v>106</v>
      </c>
      <c r="E32" s="97" t="n">
        <v>0</v>
      </c>
      <c r="F32" s="97" t="n">
        <v>0.3</v>
      </c>
      <c r="G32" s="97" t="n">
        <v>0.7</v>
      </c>
      <c r="H32" s="112" t="n">
        <f aca="false">SUM(E32:G32)</f>
        <v>1</v>
      </c>
      <c r="I32" s="99"/>
    </row>
    <row r="33" customFormat="false" ht="6" hidden="false" customHeight="true" outlineLevel="0" collapsed="false">
      <c r="B33" s="100"/>
      <c r="C33" s="101"/>
      <c r="D33" s="113"/>
      <c r="E33" s="104"/>
      <c r="F33" s="103"/>
      <c r="G33" s="103"/>
      <c r="H33" s="105"/>
      <c r="I33" s="99"/>
    </row>
    <row r="34" customFormat="false" ht="11.25" hidden="false" customHeight="true" outlineLevel="0" collapsed="false">
      <c r="B34" s="100"/>
      <c r="C34" s="101"/>
      <c r="D34" s="114" t="s">
        <v>107</v>
      </c>
      <c r="E34" s="108" t="e">
        <f aca="false">H34*E32</f>
        <v>#REF!</v>
      </c>
      <c r="F34" s="108" t="e">
        <f aca="false">H34*F32</f>
        <v>#REF!</v>
      </c>
      <c r="G34" s="108" t="e">
        <f aca="false">H34*G32</f>
        <v>#REF!</v>
      </c>
      <c r="H34" s="115" t="e">
        <f aca="false">#REF!</f>
        <v>#REF!</v>
      </c>
      <c r="I34" s="116"/>
    </row>
    <row r="35" customFormat="false" ht="11.25" hidden="false" customHeight="true" outlineLevel="0" collapsed="false">
      <c r="B35" s="119" t="n">
        <v>9</v>
      </c>
      <c r="C35" s="117" t="s">
        <v>115</v>
      </c>
      <c r="D35" s="96" t="s">
        <v>106</v>
      </c>
      <c r="E35" s="97" t="n">
        <v>0</v>
      </c>
      <c r="F35" s="97" t="n">
        <v>0.7</v>
      </c>
      <c r="G35" s="97" t="n">
        <v>0.3</v>
      </c>
      <c r="H35" s="98" t="n">
        <f aca="false">SUM(E35:G35)</f>
        <v>1</v>
      </c>
      <c r="I35" s="99"/>
    </row>
    <row r="36" customFormat="false" ht="6" hidden="false" customHeight="true" outlineLevel="0" collapsed="false">
      <c r="B36" s="120"/>
      <c r="C36" s="101"/>
      <c r="D36" s="113"/>
      <c r="E36" s="104"/>
      <c r="F36" s="103"/>
      <c r="G36" s="103"/>
      <c r="H36" s="105"/>
      <c r="I36" s="99"/>
    </row>
    <row r="37" customFormat="false" ht="11.25" hidden="false" customHeight="true" outlineLevel="0" collapsed="false">
      <c r="B37" s="87"/>
      <c r="C37" s="106"/>
      <c r="D37" s="107" t="s">
        <v>107</v>
      </c>
      <c r="E37" s="108" t="e">
        <f aca="false">H37*E35</f>
        <v>#REF!</v>
      </c>
      <c r="F37" s="108" t="e">
        <f aca="false">H37*F35</f>
        <v>#REF!</v>
      </c>
      <c r="G37" s="108" t="e">
        <f aca="false">H37*G35</f>
        <v>#REF!</v>
      </c>
      <c r="H37" s="118" t="e">
        <f aca="false">#REF!</f>
        <v>#REF!</v>
      </c>
      <c r="I37" s="121"/>
    </row>
    <row r="38" customFormat="false" ht="11.25" hidden="false" customHeight="true" outlineLevel="0" collapsed="false">
      <c r="B38" s="100" t="n">
        <v>10</v>
      </c>
      <c r="C38" s="111" t="s">
        <v>116</v>
      </c>
      <c r="D38" s="102" t="s">
        <v>106</v>
      </c>
      <c r="E38" s="97" t="n">
        <v>0</v>
      </c>
      <c r="F38" s="97" t="n">
        <v>1</v>
      </c>
      <c r="G38" s="97" t="n">
        <v>0</v>
      </c>
      <c r="H38" s="112" t="n">
        <f aca="false">SUM(E38:G38)</f>
        <v>1</v>
      </c>
      <c r="I38" s="99"/>
    </row>
    <row r="39" customFormat="false" ht="6" hidden="false" customHeight="true" outlineLevel="0" collapsed="false">
      <c r="B39" s="100"/>
      <c r="C39" s="101"/>
      <c r="D39" s="113"/>
      <c r="E39" s="104"/>
      <c r="F39" s="103"/>
      <c r="G39" s="104"/>
      <c r="H39" s="105"/>
      <c r="I39" s="99"/>
    </row>
    <row r="40" customFormat="false" ht="11.25" hidden="false" customHeight="true" outlineLevel="0" collapsed="false">
      <c r="B40" s="100"/>
      <c r="C40" s="101"/>
      <c r="D40" s="114" t="s">
        <v>107</v>
      </c>
      <c r="E40" s="108" t="e">
        <f aca="false">H40*E38</f>
        <v>#REF!</v>
      </c>
      <c r="F40" s="108" t="e">
        <f aca="false">H40*F38</f>
        <v>#REF!</v>
      </c>
      <c r="G40" s="108" t="n">
        <f aca="false">J40*G38</f>
        <v>0</v>
      </c>
      <c r="H40" s="115" t="e">
        <f aca="false">#REF!</f>
        <v>#REF!</v>
      </c>
      <c r="I40" s="116"/>
    </row>
    <row r="41" customFormat="false" ht="11.25" hidden="false" customHeight="true" outlineLevel="0" collapsed="false">
      <c r="B41" s="93" t="n">
        <v>11</v>
      </c>
      <c r="C41" s="95" t="s">
        <v>117</v>
      </c>
      <c r="D41" s="96" t="s">
        <v>106</v>
      </c>
      <c r="E41" s="97" t="n">
        <v>0</v>
      </c>
      <c r="F41" s="97" t="n">
        <v>0.8</v>
      </c>
      <c r="G41" s="97" t="n">
        <v>0.2</v>
      </c>
      <c r="H41" s="98" t="n">
        <f aca="false">SUM(E41:G41)</f>
        <v>1</v>
      </c>
      <c r="I41" s="99"/>
    </row>
    <row r="42" customFormat="false" ht="6" hidden="false" customHeight="true" outlineLevel="0" collapsed="false">
      <c r="B42" s="100"/>
      <c r="C42" s="101"/>
      <c r="D42" s="113"/>
      <c r="E42" s="104"/>
      <c r="F42" s="103"/>
      <c r="G42" s="103"/>
      <c r="H42" s="105"/>
      <c r="I42" s="99"/>
    </row>
    <row r="43" customFormat="false" ht="11.25" hidden="false" customHeight="true" outlineLevel="0" collapsed="false">
      <c r="B43" s="88"/>
      <c r="C43" s="106"/>
      <c r="D43" s="107" t="s">
        <v>107</v>
      </c>
      <c r="E43" s="108" t="e">
        <f aca="false">H43*E41</f>
        <v>#REF!</v>
      </c>
      <c r="F43" s="108" t="e">
        <f aca="false">H43*F41</f>
        <v>#REF!</v>
      </c>
      <c r="G43" s="108" t="e">
        <f aca="false">H43*G41</f>
        <v>#REF!</v>
      </c>
      <c r="H43" s="118" t="e">
        <f aca="false">#REF!</f>
        <v>#REF!</v>
      </c>
      <c r="I43" s="116"/>
    </row>
    <row r="44" customFormat="false" ht="11.25" hidden="false" customHeight="true" outlineLevel="0" collapsed="false">
      <c r="B44" s="93" t="n">
        <v>12</v>
      </c>
      <c r="C44" s="117" t="s">
        <v>118</v>
      </c>
      <c r="D44" s="96" t="s">
        <v>106</v>
      </c>
      <c r="E44" s="97" t="n">
        <v>0</v>
      </c>
      <c r="F44" s="97" t="n">
        <v>1</v>
      </c>
      <c r="G44" s="97" t="n">
        <v>0</v>
      </c>
      <c r="H44" s="98" t="n">
        <f aca="false">SUM(E44:G44)</f>
        <v>1</v>
      </c>
      <c r="I44" s="99"/>
    </row>
    <row r="45" customFormat="false" ht="6" hidden="false" customHeight="true" outlineLevel="0" collapsed="false">
      <c r="B45" s="100"/>
      <c r="C45" s="101"/>
      <c r="D45" s="113"/>
      <c r="E45" s="104"/>
      <c r="F45" s="103"/>
      <c r="G45" s="104"/>
      <c r="H45" s="105"/>
      <c r="I45" s="99"/>
    </row>
    <row r="46" customFormat="false" ht="11.25" hidden="false" customHeight="true" outlineLevel="0" collapsed="false">
      <c r="B46" s="88"/>
      <c r="C46" s="106"/>
      <c r="D46" s="107" t="s">
        <v>107</v>
      </c>
      <c r="E46" s="108" t="e">
        <f aca="false">H46*E44</f>
        <v>#REF!</v>
      </c>
      <c r="F46" s="108" t="e">
        <f aca="false">H46*F44</f>
        <v>#REF!</v>
      </c>
      <c r="G46" s="108" t="n">
        <f aca="false">J46*G44</f>
        <v>0</v>
      </c>
      <c r="H46" s="118" t="e">
        <f aca="false">#REF!</f>
        <v>#REF!</v>
      </c>
      <c r="I46" s="116"/>
    </row>
    <row r="47" customFormat="false" ht="11.25" hidden="false" customHeight="true" outlineLevel="0" collapsed="false">
      <c r="B47" s="100" t="n">
        <v>13</v>
      </c>
      <c r="C47" s="111" t="s">
        <v>119</v>
      </c>
      <c r="D47" s="102" t="s">
        <v>106</v>
      </c>
      <c r="E47" s="97" t="n">
        <v>0</v>
      </c>
      <c r="F47" s="97" t="n">
        <v>0</v>
      </c>
      <c r="G47" s="97" t="n">
        <v>1</v>
      </c>
      <c r="H47" s="112" t="n">
        <f aca="false">SUM(E47:G47)</f>
        <v>1</v>
      </c>
      <c r="I47" s="99"/>
    </row>
    <row r="48" customFormat="false" ht="6" hidden="false" customHeight="true" outlineLevel="0" collapsed="false">
      <c r="B48" s="100"/>
      <c r="C48" s="101"/>
      <c r="D48" s="113"/>
      <c r="E48" s="104"/>
      <c r="F48" s="104"/>
      <c r="G48" s="103"/>
      <c r="H48" s="105"/>
      <c r="I48" s="99"/>
    </row>
    <row r="49" customFormat="false" ht="11.25" hidden="false" customHeight="true" outlineLevel="0" collapsed="false">
      <c r="B49" s="100"/>
      <c r="C49" s="101"/>
      <c r="D49" s="114" t="s">
        <v>107</v>
      </c>
      <c r="E49" s="108" t="e">
        <f aca="false">H49*E47</f>
        <v>#REF!</v>
      </c>
      <c r="F49" s="108" t="n">
        <f aca="false">I49*F47</f>
        <v>0</v>
      </c>
      <c r="G49" s="108" t="e">
        <f aca="false">H49*G47</f>
        <v>#REF!</v>
      </c>
      <c r="H49" s="115" t="e">
        <f aca="false">#REF!</f>
        <v>#REF!</v>
      </c>
      <c r="I49" s="116"/>
    </row>
    <row r="50" customFormat="false" ht="11.25" hidden="false" customHeight="true" outlineLevel="0" collapsed="false">
      <c r="B50" s="93" t="n">
        <v>14</v>
      </c>
      <c r="C50" s="117" t="s">
        <v>120</v>
      </c>
      <c r="D50" s="96" t="s">
        <v>106</v>
      </c>
      <c r="E50" s="97" t="n">
        <v>0</v>
      </c>
      <c r="F50" s="97" t="n">
        <v>0</v>
      </c>
      <c r="G50" s="97" t="n">
        <v>1</v>
      </c>
      <c r="H50" s="98" t="n">
        <f aca="false">SUM(E50:G50)</f>
        <v>1</v>
      </c>
      <c r="I50" s="99"/>
    </row>
    <row r="51" customFormat="false" ht="6" hidden="false" customHeight="true" outlineLevel="0" collapsed="false">
      <c r="B51" s="100"/>
      <c r="C51" s="101"/>
      <c r="D51" s="113"/>
      <c r="E51" s="104"/>
      <c r="F51" s="104"/>
      <c r="G51" s="103"/>
      <c r="H51" s="105"/>
      <c r="I51" s="99"/>
    </row>
    <row r="52" customFormat="false" ht="11.25" hidden="false" customHeight="true" outlineLevel="0" collapsed="false">
      <c r="B52" s="88"/>
      <c r="C52" s="106"/>
      <c r="D52" s="107" t="s">
        <v>107</v>
      </c>
      <c r="E52" s="108" t="e">
        <f aca="false">H52*E50</f>
        <v>#REF!</v>
      </c>
      <c r="F52" s="108" t="n">
        <f aca="false">I52*F50</f>
        <v>0</v>
      </c>
      <c r="G52" s="108" t="e">
        <f aca="false">H52*G50</f>
        <v>#REF!</v>
      </c>
      <c r="H52" s="118" t="e">
        <f aca="false">#REF!</f>
        <v>#REF!</v>
      </c>
      <c r="I52" s="116"/>
    </row>
    <row r="53" customFormat="false" ht="11.25" hidden="false" customHeight="true" outlineLevel="0" collapsed="false">
      <c r="B53" s="93" t="n">
        <v>15</v>
      </c>
      <c r="C53" s="111" t="s">
        <v>121</v>
      </c>
      <c r="D53" s="96" t="s">
        <v>106</v>
      </c>
      <c r="E53" s="97" t="n">
        <v>0</v>
      </c>
      <c r="F53" s="97" t="n">
        <v>0.3</v>
      </c>
      <c r="G53" s="97" t="n">
        <v>0.7</v>
      </c>
      <c r="H53" s="98" t="n">
        <f aca="false">SUM(E53:G53)</f>
        <v>1</v>
      </c>
      <c r="I53" s="99"/>
    </row>
    <row r="54" customFormat="false" ht="6" hidden="false" customHeight="true" outlineLevel="0" collapsed="false">
      <c r="B54" s="100"/>
      <c r="C54" s="101"/>
      <c r="D54" s="113"/>
      <c r="E54" s="104"/>
      <c r="F54" s="103"/>
      <c r="G54" s="103"/>
      <c r="H54" s="122"/>
      <c r="I54" s="116"/>
    </row>
    <row r="55" customFormat="false" ht="11.25" hidden="false" customHeight="true" outlineLevel="0" collapsed="false">
      <c r="B55" s="88"/>
      <c r="C55" s="106"/>
      <c r="D55" s="107" t="s">
        <v>107</v>
      </c>
      <c r="E55" s="108" t="e">
        <f aca="false">H55*E53</f>
        <v>#REF!</v>
      </c>
      <c r="F55" s="108" t="e">
        <f aca="false">H55*F53</f>
        <v>#REF!</v>
      </c>
      <c r="G55" s="108" t="e">
        <f aca="false">H55*G53</f>
        <v>#REF!</v>
      </c>
      <c r="H55" s="118" t="e">
        <f aca="false">#REF!</f>
        <v>#REF!</v>
      </c>
      <c r="I55" s="116"/>
    </row>
    <row r="56" customFormat="false" ht="11.25" hidden="false" customHeight="true" outlineLevel="0" collapsed="false">
      <c r="B56" s="93" t="n">
        <v>16</v>
      </c>
      <c r="C56" s="111" t="s">
        <v>122</v>
      </c>
      <c r="D56" s="96" t="s">
        <v>106</v>
      </c>
      <c r="E56" s="97" t="n">
        <v>0</v>
      </c>
      <c r="F56" s="97" t="n">
        <v>0</v>
      </c>
      <c r="G56" s="97" t="n">
        <v>1</v>
      </c>
      <c r="H56" s="98" t="n">
        <f aca="false">SUM(E56:G56)</f>
        <v>1</v>
      </c>
      <c r="I56" s="99"/>
    </row>
    <row r="57" customFormat="false" ht="6" hidden="false" customHeight="true" outlineLevel="0" collapsed="false">
      <c r="B57" s="100"/>
      <c r="C57" s="101"/>
      <c r="D57" s="113"/>
      <c r="E57" s="104"/>
      <c r="F57" s="104"/>
      <c r="G57" s="103"/>
      <c r="H57" s="122"/>
      <c r="I57" s="116"/>
    </row>
    <row r="58" customFormat="false" ht="11.25" hidden="false" customHeight="true" outlineLevel="0" collapsed="false">
      <c r="B58" s="88"/>
      <c r="C58" s="106"/>
      <c r="D58" s="107" t="s">
        <v>107</v>
      </c>
      <c r="E58" s="108" t="e">
        <f aca="false">H58*E56</f>
        <v>#REF!</v>
      </c>
      <c r="F58" s="108" t="n">
        <f aca="false">I58*F56</f>
        <v>0</v>
      </c>
      <c r="G58" s="108" t="e">
        <f aca="false">H58*G56</f>
        <v>#REF!</v>
      </c>
      <c r="H58" s="118" t="e">
        <f aca="false">#REF!</f>
        <v>#REF!</v>
      </c>
      <c r="I58" s="116"/>
    </row>
    <row r="59" customFormat="false" ht="11.25" hidden="false" customHeight="true" outlineLevel="0" collapsed="false">
      <c r="B59" s="93" t="n">
        <v>17</v>
      </c>
      <c r="C59" s="111" t="s">
        <v>123</v>
      </c>
      <c r="D59" s="96" t="s">
        <v>106</v>
      </c>
      <c r="E59" s="97" t="n">
        <v>0</v>
      </c>
      <c r="F59" s="97" t="n">
        <v>0</v>
      </c>
      <c r="G59" s="97" t="n">
        <v>1</v>
      </c>
      <c r="H59" s="98" t="n">
        <f aca="false">SUM(E59:G59)</f>
        <v>1</v>
      </c>
      <c r="I59" s="99"/>
    </row>
    <row r="60" customFormat="false" ht="6" hidden="false" customHeight="true" outlineLevel="0" collapsed="false">
      <c r="B60" s="100"/>
      <c r="C60" s="101"/>
      <c r="D60" s="113"/>
      <c r="E60" s="104"/>
      <c r="F60" s="104"/>
      <c r="G60" s="103"/>
      <c r="H60" s="122"/>
      <c r="I60" s="116"/>
    </row>
    <row r="61" customFormat="false" ht="11.25" hidden="false" customHeight="true" outlineLevel="0" collapsed="false">
      <c r="B61" s="88"/>
      <c r="C61" s="106"/>
      <c r="D61" s="107" t="s">
        <v>107</v>
      </c>
      <c r="E61" s="108" t="e">
        <f aca="false">H61*E59</f>
        <v>#REF!</v>
      </c>
      <c r="F61" s="108" t="n">
        <f aca="false">I61*F59</f>
        <v>0</v>
      </c>
      <c r="G61" s="108" t="e">
        <f aca="false">H61*G59</f>
        <v>#REF!</v>
      </c>
      <c r="H61" s="118" t="e">
        <f aca="false">#REF!</f>
        <v>#REF!</v>
      </c>
      <c r="I61" s="116"/>
    </row>
    <row r="62" customFormat="false" ht="11.25" hidden="false" customHeight="true" outlineLevel="0" collapsed="false">
      <c r="B62" s="93" t="n">
        <v>18</v>
      </c>
      <c r="C62" s="111" t="s">
        <v>124</v>
      </c>
      <c r="D62" s="96" t="s">
        <v>106</v>
      </c>
      <c r="E62" s="97" t="n">
        <v>0</v>
      </c>
      <c r="F62" s="97" t="n">
        <v>0</v>
      </c>
      <c r="G62" s="97" t="n">
        <v>1</v>
      </c>
      <c r="H62" s="98" t="n">
        <f aca="false">SUM(E62:G62)</f>
        <v>1</v>
      </c>
      <c r="I62" s="99"/>
    </row>
    <row r="63" customFormat="false" ht="6" hidden="false" customHeight="true" outlineLevel="0" collapsed="false">
      <c r="B63" s="100"/>
      <c r="C63" s="101"/>
      <c r="D63" s="113"/>
      <c r="E63" s="104"/>
      <c r="F63" s="104"/>
      <c r="G63" s="103"/>
      <c r="H63" s="122"/>
      <c r="I63" s="116"/>
    </row>
    <row r="64" customFormat="false" ht="11.25" hidden="false" customHeight="true" outlineLevel="0" collapsed="false">
      <c r="B64" s="88"/>
      <c r="C64" s="106"/>
      <c r="D64" s="107" t="s">
        <v>107</v>
      </c>
      <c r="E64" s="108" t="e">
        <f aca="false">H64*E62</f>
        <v>#REF!</v>
      </c>
      <c r="F64" s="108" t="n">
        <f aca="false">I64*F62</f>
        <v>0</v>
      </c>
      <c r="G64" s="108" t="e">
        <f aca="false">H64*G62</f>
        <v>#REF!</v>
      </c>
      <c r="H64" s="118" t="e">
        <f aca="false">#REF!</f>
        <v>#REF!</v>
      </c>
      <c r="I64" s="116"/>
    </row>
    <row r="65" customFormat="false" ht="11.25" hidden="false" customHeight="true" outlineLevel="0" collapsed="false">
      <c r="B65" s="93" t="n">
        <v>19</v>
      </c>
      <c r="C65" s="111" t="s">
        <v>125</v>
      </c>
      <c r="D65" s="96" t="s">
        <v>106</v>
      </c>
      <c r="E65" s="97" t="n">
        <v>0</v>
      </c>
      <c r="F65" s="97" t="n">
        <v>0</v>
      </c>
      <c r="G65" s="97" t="n">
        <v>1</v>
      </c>
      <c r="H65" s="98" t="n">
        <f aca="false">SUM(E65:G65)</f>
        <v>1</v>
      </c>
      <c r="I65" s="99"/>
    </row>
    <row r="66" customFormat="false" ht="6" hidden="false" customHeight="true" outlineLevel="0" collapsed="false">
      <c r="B66" s="100"/>
      <c r="C66" s="101"/>
      <c r="D66" s="113"/>
      <c r="E66" s="104"/>
      <c r="F66" s="104"/>
      <c r="G66" s="103"/>
      <c r="H66" s="122"/>
      <c r="I66" s="116"/>
    </row>
    <row r="67" customFormat="false" ht="11.25" hidden="false" customHeight="true" outlineLevel="0" collapsed="false">
      <c r="B67" s="88"/>
      <c r="C67" s="106"/>
      <c r="D67" s="107" t="s">
        <v>107</v>
      </c>
      <c r="E67" s="108" t="e">
        <f aca="false">H67*E65</f>
        <v>#REF!</v>
      </c>
      <c r="F67" s="108" t="n">
        <f aca="false">I67*F65</f>
        <v>0</v>
      </c>
      <c r="G67" s="108" t="e">
        <f aca="false">H67*G65</f>
        <v>#REF!</v>
      </c>
      <c r="H67" s="118" t="e">
        <f aca="false">#REF!</f>
        <v>#REF!</v>
      </c>
      <c r="I67" s="116"/>
    </row>
    <row r="68" customFormat="false" ht="11.25" hidden="false" customHeight="true" outlineLevel="0" collapsed="false">
      <c r="B68" s="93" t="n">
        <v>20</v>
      </c>
      <c r="C68" s="111" t="s">
        <v>126</v>
      </c>
      <c r="D68" s="96" t="s">
        <v>106</v>
      </c>
      <c r="E68" s="97" t="n">
        <v>0</v>
      </c>
      <c r="F68" s="97" t="n">
        <v>0</v>
      </c>
      <c r="G68" s="97" t="n">
        <v>1</v>
      </c>
      <c r="H68" s="98" t="n">
        <f aca="false">SUM(E68:G68)</f>
        <v>1</v>
      </c>
      <c r="I68" s="99"/>
    </row>
    <row r="69" customFormat="false" ht="6" hidden="false" customHeight="true" outlineLevel="0" collapsed="false">
      <c r="B69" s="100"/>
      <c r="C69" s="101"/>
      <c r="D69" s="113"/>
      <c r="E69" s="104"/>
      <c r="F69" s="104"/>
      <c r="G69" s="103"/>
      <c r="H69" s="122"/>
      <c r="I69" s="116"/>
    </row>
    <row r="70" customFormat="false" ht="11.25" hidden="false" customHeight="true" outlineLevel="0" collapsed="false">
      <c r="B70" s="88"/>
      <c r="C70" s="106"/>
      <c r="D70" s="107" t="s">
        <v>107</v>
      </c>
      <c r="E70" s="108" t="e">
        <f aca="false">H70*E68</f>
        <v>#REF!</v>
      </c>
      <c r="F70" s="108" t="n">
        <f aca="false">I70*F68</f>
        <v>0</v>
      </c>
      <c r="G70" s="108" t="e">
        <f aca="false">H70*G68</f>
        <v>#REF!</v>
      </c>
      <c r="H70" s="118" t="e">
        <f aca="false">#REF!</f>
        <v>#REF!</v>
      </c>
      <c r="I70" s="116"/>
    </row>
    <row r="71" customFormat="false" ht="11.25" hidden="false" customHeight="true" outlineLevel="0" collapsed="false">
      <c r="B71" s="93" t="n">
        <v>21</v>
      </c>
      <c r="C71" s="111" t="s">
        <v>127</v>
      </c>
      <c r="D71" s="96" t="s">
        <v>106</v>
      </c>
      <c r="E71" s="97" t="n">
        <v>0</v>
      </c>
      <c r="F71" s="97" t="n">
        <v>0</v>
      </c>
      <c r="G71" s="97" t="n">
        <v>1</v>
      </c>
      <c r="H71" s="98" t="n">
        <f aca="false">SUM(E71:G71)</f>
        <v>1</v>
      </c>
      <c r="I71" s="99"/>
    </row>
    <row r="72" customFormat="false" ht="6" hidden="false" customHeight="true" outlineLevel="0" collapsed="false">
      <c r="B72" s="100"/>
      <c r="C72" s="101"/>
      <c r="D72" s="113"/>
      <c r="E72" s="104"/>
      <c r="F72" s="104"/>
      <c r="G72" s="103"/>
      <c r="H72" s="122"/>
      <c r="I72" s="116"/>
    </row>
    <row r="73" customFormat="false" ht="11.25" hidden="false" customHeight="true" outlineLevel="0" collapsed="false">
      <c r="B73" s="88"/>
      <c r="C73" s="106"/>
      <c r="D73" s="107" t="s">
        <v>107</v>
      </c>
      <c r="E73" s="108" t="e">
        <f aca="false">H73*E71</f>
        <v>#REF!</v>
      </c>
      <c r="F73" s="108" t="n">
        <f aca="false">I73*F71</f>
        <v>0</v>
      </c>
      <c r="G73" s="108" t="e">
        <f aca="false">H73*G71</f>
        <v>#REF!</v>
      </c>
      <c r="H73" s="118" t="e">
        <f aca="false">#REF!</f>
        <v>#REF!</v>
      </c>
      <c r="I73" s="116"/>
    </row>
    <row r="74" customFormat="false" ht="11.25" hidden="false" customHeight="true" outlineLevel="0" collapsed="false">
      <c r="B74" s="93" t="n">
        <v>22</v>
      </c>
      <c r="C74" s="111" t="s">
        <v>128</v>
      </c>
      <c r="D74" s="96" t="s">
        <v>106</v>
      </c>
      <c r="E74" s="97" t="n">
        <v>0</v>
      </c>
      <c r="F74" s="97" t="n">
        <v>0</v>
      </c>
      <c r="G74" s="97" t="n">
        <v>1</v>
      </c>
      <c r="H74" s="98" t="n">
        <f aca="false">SUM(E74:G74)</f>
        <v>1</v>
      </c>
      <c r="I74" s="99"/>
    </row>
    <row r="75" customFormat="false" ht="6" hidden="false" customHeight="true" outlineLevel="0" collapsed="false">
      <c r="B75" s="100"/>
      <c r="C75" s="101"/>
      <c r="D75" s="113"/>
      <c r="E75" s="104"/>
      <c r="F75" s="104"/>
      <c r="G75" s="103"/>
      <c r="H75" s="122"/>
      <c r="I75" s="116"/>
    </row>
    <row r="76" customFormat="false" ht="11.25" hidden="false" customHeight="true" outlineLevel="0" collapsed="false">
      <c r="B76" s="88"/>
      <c r="C76" s="106"/>
      <c r="D76" s="107" t="s">
        <v>107</v>
      </c>
      <c r="E76" s="108" t="e">
        <f aca="false">H76*E74</f>
        <v>#REF!</v>
      </c>
      <c r="F76" s="108" t="n">
        <f aca="false">I76*F74</f>
        <v>0</v>
      </c>
      <c r="G76" s="108" t="e">
        <f aca="false">H76*G74</f>
        <v>#REF!</v>
      </c>
      <c r="H76" s="118" t="e">
        <f aca="false">#REF!</f>
        <v>#REF!</v>
      </c>
      <c r="I76" s="116"/>
    </row>
    <row r="77" customFormat="false" ht="11.25" hidden="false" customHeight="true" outlineLevel="0" collapsed="false">
      <c r="B77" s="123" t="s">
        <v>129</v>
      </c>
      <c r="C77" s="124"/>
      <c r="D77" s="125"/>
      <c r="E77" s="126" t="e">
        <f aca="false">E79/H79</f>
        <v>#REF!</v>
      </c>
      <c r="F77" s="126" t="e">
        <f aca="false">F79/H79</f>
        <v>#REF!</v>
      </c>
      <c r="G77" s="126" t="e">
        <f aca="false">G79/H79</f>
        <v>#REF!</v>
      </c>
      <c r="H77" s="127"/>
      <c r="I77" s="128"/>
    </row>
    <row r="78" customFormat="false" ht="15.75" hidden="false" customHeight="false" outlineLevel="0" collapsed="false">
      <c r="B78" s="129" t="s">
        <v>130</v>
      </c>
      <c r="C78" s="130"/>
      <c r="D78" s="131"/>
      <c r="E78" s="132" t="e">
        <f aca="false">SUM(E77)</f>
        <v>#REF!</v>
      </c>
      <c r="F78" s="132" t="e">
        <f aca="false">SUM(F77)</f>
        <v>#REF!</v>
      </c>
      <c r="G78" s="132" t="e">
        <f aca="false">SUM(G77)</f>
        <v>#REF!</v>
      </c>
      <c r="H78" s="133"/>
      <c r="I78" s="110"/>
    </row>
    <row r="79" customFormat="false" ht="15.75" hidden="false" customHeight="false" outlineLevel="0" collapsed="false">
      <c r="B79" s="129" t="s">
        <v>131</v>
      </c>
      <c r="C79" s="130"/>
      <c r="D79" s="131"/>
      <c r="E79" s="134" t="e">
        <f aca="false">SUM(E13,E16,E19,E22,E25,E28,E31,E34,E37,E40,E43,E46,E49,E52,E55,E58,E61,E64,E67,E70,E73,E76)</f>
        <v>#REF!</v>
      </c>
      <c r="F79" s="134" t="e">
        <f aca="false">SUM(F13,F16,F19,F22,F25,F28,F31,F34,F37,F40,F43,F46,F49,F52,F55,F58,F61,F64,F67,F70,F73,F76)</f>
        <v>#REF!</v>
      </c>
      <c r="G79" s="134" t="e">
        <f aca="false">SUM(G13,G16,G19,G22,G25,G28,G31,G34,G37,G40,G43,G46,G49,G52,G55,G58,G61,G64,G67,G70,G73,G76)</f>
        <v>#REF!</v>
      </c>
      <c r="H79" s="135" t="e">
        <f aca="false">SUM(E79:G79)</f>
        <v>#REF!</v>
      </c>
      <c r="I79" s="136"/>
    </row>
    <row r="80" customFormat="false" ht="15.75" hidden="false" customHeight="false" outlineLevel="0" collapsed="false">
      <c r="B80" s="137" t="s">
        <v>132</v>
      </c>
      <c r="C80" s="138"/>
      <c r="D80" s="139"/>
      <c r="E80" s="134" t="e">
        <f aca="false">SUM(E79:E79)</f>
        <v>#REF!</v>
      </c>
      <c r="F80" s="134" t="e">
        <f aca="false">SUM(F79:F79)</f>
        <v>#REF!</v>
      </c>
      <c r="G80" s="134" t="e">
        <f aca="false">SUM(G79:G79)</f>
        <v>#REF!</v>
      </c>
      <c r="H80" s="135" t="e">
        <f aca="false">SUM(H13,H16,H19,H22,H25,H28,H31,H34,H37,H40,H43,H46,H49,H52,H55,H58,H61,H64,H67,H70,H73,H76)</f>
        <v>#REF!</v>
      </c>
      <c r="I80" s="136"/>
    </row>
    <row r="81" customFormat="false" ht="15.75" hidden="false" customHeight="false" outlineLevel="0" collapsed="false">
      <c r="B81" s="140" t="s">
        <v>133</v>
      </c>
      <c r="C81" s="141"/>
      <c r="D81" s="142"/>
      <c r="E81" s="143" t="e">
        <f aca="false">E80</f>
        <v>#REF!</v>
      </c>
      <c r="F81" s="143" t="e">
        <f aca="false">F80</f>
        <v>#REF!</v>
      </c>
      <c r="G81" s="143" t="e">
        <f aca="false">G80</f>
        <v>#REF!</v>
      </c>
      <c r="H81" s="144"/>
      <c r="I81" s="145"/>
    </row>
  </sheetData>
  <mergeCells count="9">
    <mergeCell ref="B2:H2"/>
    <mergeCell ref="B3:H3"/>
    <mergeCell ref="B4:H4"/>
    <mergeCell ref="B5:H5"/>
    <mergeCell ref="B6:H6"/>
    <mergeCell ref="B7:H7"/>
    <mergeCell ref="B8:H8"/>
    <mergeCell ref="C9:D9"/>
    <mergeCell ref="E9:G9"/>
  </mergeCells>
  <printOptions headings="false" gridLines="false" gridLinesSet="true" horizontalCentered="true" verticalCentered="false"/>
  <pageMargins left="0.511805555555555" right="0.511805555555555" top="0.315277777777778" bottom="0.315277777777778" header="0.511805555555555" footer="0.511805555555555"/>
  <pageSetup paperSize="9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69"/>
  <sheetViews>
    <sheetView showFormulas="false" showGridLines="fals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36" activeCellId="0" sqref="C36"/>
    </sheetView>
  </sheetViews>
  <sheetFormatPr defaultColWidth="11.31640625" defaultRowHeight="12.75" zeroHeight="false" outlineLevelRow="0" outlineLevelCol="0"/>
  <cols>
    <col collapsed="false" customWidth="true" hidden="false" outlineLevel="0" max="1" min="1" style="146" width="9.13"/>
    <col collapsed="false" customWidth="true" hidden="false" outlineLevel="0" max="2" min="2" style="146" width="7.71"/>
    <col collapsed="false" customWidth="true" hidden="false" outlineLevel="0" max="3" min="3" style="146" width="51.29"/>
    <col collapsed="false" customWidth="true" hidden="false" outlineLevel="0" max="4" min="4" style="146" width="5.7"/>
    <col collapsed="false" customWidth="true" hidden="false" outlineLevel="0" max="5" min="5" style="146" width="10.29"/>
    <col collapsed="false" customWidth="true" hidden="false" outlineLevel="0" max="6" min="6" style="146" width="15"/>
    <col collapsed="false" customWidth="true" hidden="false" outlineLevel="0" max="7" min="7" style="146" width="14.01"/>
    <col collapsed="false" customWidth="false" hidden="false" outlineLevel="0" max="1024" min="8" style="146" width="11.3"/>
  </cols>
  <sheetData>
    <row r="1" customFormat="false" ht="18" hidden="false" customHeight="true" outlineLevel="0" collapsed="false"/>
    <row r="2" customFormat="false" ht="18" hidden="false" customHeight="true" outlineLevel="0" collapsed="false"/>
    <row r="3" customFormat="false" ht="18" hidden="false" customHeight="true" outlineLevel="0" collapsed="false">
      <c r="A3" s="147"/>
      <c r="B3" s="147"/>
      <c r="C3" s="147"/>
    </row>
    <row r="4" customFormat="false" ht="21" hidden="false" customHeight="true" outlineLevel="0" collapsed="false">
      <c r="A4" s="148" t="s">
        <v>134</v>
      </c>
      <c r="B4" s="148"/>
      <c r="C4" s="148"/>
      <c r="D4" s="149" t="s">
        <v>135</v>
      </c>
      <c r="E4" s="149"/>
      <c r="F4" s="149"/>
      <c r="G4" s="149"/>
    </row>
    <row r="5" customFormat="false" ht="21" hidden="false" customHeight="true" outlineLevel="0" collapsed="false">
      <c r="A5" s="148"/>
      <c r="B5" s="148"/>
      <c r="C5" s="148"/>
      <c r="D5" s="150" t="s">
        <v>136</v>
      </c>
      <c r="E5" s="150"/>
      <c r="F5" s="150"/>
      <c r="G5" s="150"/>
    </row>
    <row r="6" customFormat="false" ht="18" hidden="false" customHeight="true" outlineLevel="0" collapsed="false">
      <c r="A6" s="151" t="s">
        <v>137</v>
      </c>
      <c r="B6" s="149" t="s">
        <v>1</v>
      </c>
      <c r="C6" s="149" t="s">
        <v>138</v>
      </c>
      <c r="D6" s="149" t="s">
        <v>139</v>
      </c>
      <c r="E6" s="149" t="s">
        <v>140</v>
      </c>
      <c r="F6" s="149" t="s">
        <v>141</v>
      </c>
      <c r="G6" s="149" t="s">
        <v>104</v>
      </c>
    </row>
    <row r="7" customFormat="false" ht="18" hidden="false" customHeight="true" outlineLevel="0" collapsed="false">
      <c r="A7" s="151"/>
      <c r="B7" s="149"/>
      <c r="C7" s="149"/>
      <c r="D7" s="149"/>
      <c r="E7" s="149"/>
      <c r="F7" s="149"/>
      <c r="G7" s="149"/>
    </row>
    <row r="8" customFormat="false" ht="44.25" hidden="false" customHeight="true" outlineLevel="0" collapsed="false">
      <c r="A8" s="152"/>
      <c r="B8" s="153" t="s">
        <v>142</v>
      </c>
      <c r="C8" s="154" t="s">
        <v>143</v>
      </c>
      <c r="D8" s="154"/>
      <c r="E8" s="154"/>
      <c r="F8" s="154"/>
      <c r="G8" s="154"/>
    </row>
    <row r="9" customFormat="false" ht="21" hidden="false" customHeight="true" outlineLevel="0" collapsed="false">
      <c r="A9" s="155"/>
      <c r="B9" s="156"/>
      <c r="C9" s="157"/>
      <c r="D9" s="157"/>
      <c r="E9" s="157"/>
      <c r="F9" s="157"/>
      <c r="G9" s="157"/>
    </row>
    <row r="10" customFormat="false" ht="15" hidden="false" customHeight="true" outlineLevel="0" collapsed="false">
      <c r="A10" s="158"/>
      <c r="B10" s="159" t="s">
        <v>8</v>
      </c>
      <c r="C10" s="160" t="s">
        <v>144</v>
      </c>
      <c r="D10" s="161"/>
      <c r="E10" s="162"/>
      <c r="F10" s="162"/>
      <c r="G10" s="162"/>
    </row>
    <row r="11" customFormat="false" ht="12.75" hidden="false" customHeight="false" outlineLevel="0" collapsed="false">
      <c r="A11" s="163"/>
      <c r="B11" s="161" t="s">
        <v>145</v>
      </c>
      <c r="C11" s="164" t="s">
        <v>146</v>
      </c>
      <c r="D11" s="165"/>
      <c r="E11" s="166"/>
      <c r="F11" s="167"/>
      <c r="G11" s="167"/>
    </row>
    <row r="12" customFormat="false" ht="12.75" hidden="false" customHeight="false" outlineLevel="0" collapsed="false">
      <c r="A12" s="163"/>
      <c r="B12" s="161" t="s">
        <v>147</v>
      </c>
      <c r="C12" s="168" t="s">
        <v>148</v>
      </c>
      <c r="D12" s="169" t="s">
        <v>149</v>
      </c>
      <c r="E12" s="170" t="n">
        <v>31</v>
      </c>
      <c r="F12" s="170" t="n">
        <f aca="false">175*1.03</f>
        <v>180.25</v>
      </c>
      <c r="G12" s="170" t="n">
        <f aca="false">E12*F12</f>
        <v>5587.75</v>
      </c>
    </row>
    <row r="13" customFormat="false" ht="12.75" hidden="false" customHeight="false" outlineLevel="0" collapsed="false">
      <c r="A13" s="163"/>
      <c r="B13" s="161" t="s">
        <v>150</v>
      </c>
      <c r="C13" s="168" t="s">
        <v>151</v>
      </c>
      <c r="D13" s="169" t="s">
        <v>149</v>
      </c>
      <c r="E13" s="170" t="n">
        <v>138</v>
      </c>
      <c r="F13" s="170" t="n">
        <f aca="false">160*1.03</f>
        <v>164.8</v>
      </c>
      <c r="G13" s="170" t="n">
        <f aca="false">E13*F13</f>
        <v>22742.4</v>
      </c>
    </row>
    <row r="14" customFormat="false" ht="12.75" hidden="false" customHeight="false" outlineLevel="0" collapsed="false">
      <c r="A14" s="163"/>
      <c r="B14" s="161" t="s">
        <v>152</v>
      </c>
      <c r="C14" s="168" t="s">
        <v>153</v>
      </c>
      <c r="D14" s="169" t="s">
        <v>149</v>
      </c>
      <c r="E14" s="170" t="n">
        <v>39</v>
      </c>
      <c r="F14" s="170" t="n">
        <f aca="false">160*1.03</f>
        <v>164.8</v>
      </c>
      <c r="G14" s="170" t="n">
        <f aca="false">E14*F14</f>
        <v>6427.2</v>
      </c>
    </row>
    <row r="15" customFormat="false" ht="12.75" hidden="false" customHeight="false" outlineLevel="0" collapsed="false">
      <c r="A15" s="163"/>
      <c r="B15" s="161" t="s">
        <v>154</v>
      </c>
      <c r="C15" s="168" t="s">
        <v>155</v>
      </c>
      <c r="D15" s="169" t="s">
        <v>149</v>
      </c>
      <c r="E15" s="170" t="n">
        <v>17</v>
      </c>
      <c r="F15" s="170" t="n">
        <f aca="false">170*1.03</f>
        <v>175.1</v>
      </c>
      <c r="G15" s="170" t="n">
        <f aca="false">E15*F15</f>
        <v>2976.7</v>
      </c>
    </row>
    <row r="16" customFormat="false" ht="12.75" hidden="false" customHeight="false" outlineLevel="0" collapsed="false">
      <c r="A16" s="163"/>
      <c r="B16" s="161" t="s">
        <v>156</v>
      </c>
      <c r="C16" s="168" t="s">
        <v>157</v>
      </c>
      <c r="D16" s="169" t="s">
        <v>149</v>
      </c>
      <c r="E16" s="170" t="n">
        <v>8</v>
      </c>
      <c r="F16" s="170" t="n">
        <f aca="false">170*1.03</f>
        <v>175.1</v>
      </c>
      <c r="G16" s="170" t="n">
        <f aca="false">E16*F16</f>
        <v>1400.8</v>
      </c>
    </row>
    <row r="17" customFormat="false" ht="12.75" hidden="false" customHeight="false" outlineLevel="0" collapsed="false">
      <c r="A17" s="163"/>
      <c r="B17" s="161" t="s">
        <v>158</v>
      </c>
      <c r="C17" s="168" t="s">
        <v>159</v>
      </c>
      <c r="D17" s="169" t="s">
        <v>160</v>
      </c>
      <c r="E17" s="170" t="n">
        <v>13.5</v>
      </c>
      <c r="F17" s="170" t="n">
        <f aca="false">250*1.03</f>
        <v>257.5</v>
      </c>
      <c r="G17" s="170" t="n">
        <f aca="false">E17*F17</f>
        <v>3476.25</v>
      </c>
    </row>
    <row r="18" customFormat="false" ht="12.75" hidden="false" customHeight="false" outlineLevel="0" collapsed="false">
      <c r="A18" s="163"/>
      <c r="B18" s="161" t="s">
        <v>161</v>
      </c>
      <c r="C18" s="168" t="s">
        <v>162</v>
      </c>
      <c r="D18" s="169" t="s">
        <v>160</v>
      </c>
      <c r="E18" s="170" t="n">
        <v>213</v>
      </c>
      <c r="F18" s="170" t="n">
        <f aca="false">250*1.03</f>
        <v>257.5</v>
      </c>
      <c r="G18" s="170" t="n">
        <f aca="false">E18*F18</f>
        <v>54847.5</v>
      </c>
    </row>
    <row r="19" customFormat="false" ht="14.25" hidden="false" customHeight="true" outlineLevel="0" collapsed="false">
      <c r="A19" s="163"/>
      <c r="B19" s="171" t="s">
        <v>163</v>
      </c>
      <c r="C19" s="171"/>
      <c r="D19" s="171"/>
      <c r="E19" s="171"/>
      <c r="F19" s="172" t="n">
        <f aca="false">SUM(G12:G18)</f>
        <v>97458.6</v>
      </c>
      <c r="G19" s="172"/>
    </row>
    <row r="20" customFormat="false" ht="15" hidden="false" customHeight="true" outlineLevel="0" collapsed="false">
      <c r="A20" s="163"/>
      <c r="B20" s="171"/>
      <c r="C20" s="171"/>
      <c r="D20" s="171"/>
      <c r="E20" s="171"/>
      <c r="F20" s="172"/>
      <c r="G20" s="172"/>
    </row>
    <row r="21" customFormat="false" ht="14.25" hidden="false" customHeight="true" outlineLevel="0" collapsed="false">
      <c r="A21" s="163"/>
      <c r="B21" s="159"/>
      <c r="C21" s="164"/>
      <c r="D21" s="165"/>
      <c r="E21" s="173"/>
      <c r="F21" s="174"/>
      <c r="G21" s="174"/>
    </row>
    <row r="22" customFormat="false" ht="15" hidden="false" customHeight="true" outlineLevel="0" collapsed="false">
      <c r="A22" s="163"/>
      <c r="B22" s="159" t="s">
        <v>10</v>
      </c>
      <c r="C22" s="160" t="s">
        <v>164</v>
      </c>
      <c r="D22" s="165"/>
      <c r="E22" s="166"/>
      <c r="F22" s="167"/>
      <c r="G22" s="167" t="n">
        <f aca="false">E22*F22</f>
        <v>0</v>
      </c>
    </row>
    <row r="23" customFormat="false" ht="15" hidden="false" customHeight="true" outlineLevel="0" collapsed="false">
      <c r="A23" s="163"/>
      <c r="B23" s="161" t="s">
        <v>165</v>
      </c>
      <c r="C23" s="168" t="s">
        <v>166</v>
      </c>
      <c r="D23" s="169" t="s">
        <v>160</v>
      </c>
      <c r="E23" s="170" t="n">
        <v>482</v>
      </c>
      <c r="F23" s="170" t="n">
        <f aca="false">20*1.03</f>
        <v>20.6</v>
      </c>
      <c r="G23" s="170" t="n">
        <f aca="false">E23*F23</f>
        <v>9929.2</v>
      </c>
    </row>
    <row r="24" customFormat="false" ht="15" hidden="false" customHeight="true" outlineLevel="0" collapsed="false">
      <c r="A24" s="163"/>
      <c r="B24" s="161" t="s">
        <v>167</v>
      </c>
      <c r="C24" s="168" t="s">
        <v>168</v>
      </c>
      <c r="D24" s="169" t="s">
        <v>160</v>
      </c>
      <c r="E24" s="170" t="n">
        <v>118</v>
      </c>
      <c r="F24" s="170" t="n">
        <f aca="false">18*1.03</f>
        <v>18.54</v>
      </c>
      <c r="G24" s="170" t="n">
        <f aca="false">E24*F24</f>
        <v>2187.72</v>
      </c>
    </row>
    <row r="25" customFormat="false" ht="15" hidden="false" customHeight="true" outlineLevel="0" collapsed="false">
      <c r="A25" s="163"/>
      <c r="B25" s="161" t="s">
        <v>169</v>
      </c>
      <c r="C25" s="168" t="s">
        <v>170</v>
      </c>
      <c r="D25" s="169" t="s">
        <v>160</v>
      </c>
      <c r="E25" s="170" t="n">
        <v>58.75</v>
      </c>
      <c r="F25" s="170" t="n">
        <f aca="false">18*1.03</f>
        <v>18.54</v>
      </c>
      <c r="G25" s="170" t="n">
        <f aca="false">E25*F25</f>
        <v>1089.225</v>
      </c>
    </row>
    <row r="26" customFormat="false" ht="15" hidden="false" customHeight="true" outlineLevel="0" collapsed="false">
      <c r="A26" s="163"/>
      <c r="B26" s="161" t="s">
        <v>171</v>
      </c>
      <c r="C26" s="168" t="s">
        <v>172</v>
      </c>
      <c r="D26" s="169" t="s">
        <v>160</v>
      </c>
      <c r="E26" s="170" t="n">
        <v>119</v>
      </c>
      <c r="F26" s="170" t="n">
        <f aca="false">18*1.03</f>
        <v>18.54</v>
      </c>
      <c r="G26" s="170" t="n">
        <f aca="false">E26*F26</f>
        <v>2206.26</v>
      </c>
    </row>
    <row r="27" customFormat="false" ht="15" hidden="false" customHeight="true" outlineLevel="0" collapsed="false">
      <c r="A27" s="163"/>
      <c r="B27" s="161" t="s">
        <v>173</v>
      </c>
      <c r="C27" s="168" t="s">
        <v>174</v>
      </c>
      <c r="D27" s="169" t="s">
        <v>160</v>
      </c>
      <c r="E27" s="170" t="n">
        <v>705</v>
      </c>
      <c r="F27" s="170" t="n">
        <f aca="false">18*1.03</f>
        <v>18.54</v>
      </c>
      <c r="G27" s="170" t="n">
        <f aca="false">E27*F27</f>
        <v>13070.7</v>
      </c>
    </row>
    <row r="28" customFormat="false" ht="15" hidden="false" customHeight="true" outlineLevel="0" collapsed="false">
      <c r="A28" s="163"/>
      <c r="B28" s="161" t="s">
        <v>175</v>
      </c>
      <c r="C28" s="168" t="s">
        <v>176</v>
      </c>
      <c r="D28" s="169" t="s">
        <v>160</v>
      </c>
      <c r="E28" s="170" t="n">
        <v>176</v>
      </c>
      <c r="F28" s="170" t="n">
        <f aca="false">18*1.03</f>
        <v>18.54</v>
      </c>
      <c r="G28" s="170" t="n">
        <f aca="false">E28*F28</f>
        <v>3263.04</v>
      </c>
    </row>
    <row r="29" customFormat="false" ht="15" hidden="false" customHeight="true" outlineLevel="0" collapsed="false">
      <c r="A29" s="163"/>
      <c r="B29" s="161" t="s">
        <v>177</v>
      </c>
      <c r="C29" s="168" t="s">
        <v>178</v>
      </c>
      <c r="D29" s="169" t="s">
        <v>160</v>
      </c>
      <c r="E29" s="170" t="n">
        <v>80</v>
      </c>
      <c r="F29" s="170" t="n">
        <f aca="false">20*1.03</f>
        <v>20.6</v>
      </c>
      <c r="G29" s="170" t="n">
        <f aca="false">E29*F29</f>
        <v>1648</v>
      </c>
    </row>
    <row r="30" customFormat="false" ht="15" hidden="false" customHeight="true" outlineLevel="0" collapsed="false">
      <c r="A30" s="163"/>
      <c r="B30" s="161" t="s">
        <v>179</v>
      </c>
      <c r="C30" s="168" t="s">
        <v>180</v>
      </c>
      <c r="D30" s="169" t="s">
        <v>160</v>
      </c>
      <c r="E30" s="170" t="n">
        <v>19.2</v>
      </c>
      <c r="F30" s="170" t="n">
        <f aca="false">18*1.03</f>
        <v>18.54</v>
      </c>
      <c r="G30" s="170" t="n">
        <f aca="false">E30*F30</f>
        <v>355.968</v>
      </c>
    </row>
    <row r="31" customFormat="false" ht="15" hidden="false" customHeight="true" outlineLevel="0" collapsed="false">
      <c r="A31" s="163"/>
      <c r="B31" s="161" t="s">
        <v>181</v>
      </c>
      <c r="C31" s="168" t="s">
        <v>182</v>
      </c>
      <c r="D31" s="169" t="s">
        <v>160</v>
      </c>
      <c r="E31" s="170" t="n">
        <v>40.8</v>
      </c>
      <c r="F31" s="170" t="n">
        <f aca="false">18*1.03</f>
        <v>18.54</v>
      </c>
      <c r="G31" s="170" t="n">
        <f aca="false">E31*F31</f>
        <v>756.432</v>
      </c>
    </row>
    <row r="32" customFormat="false" ht="15" hidden="false" customHeight="true" outlineLevel="0" collapsed="false">
      <c r="A32" s="163"/>
      <c r="B32" s="161" t="s">
        <v>183</v>
      </c>
      <c r="C32" s="168" t="s">
        <v>184</v>
      </c>
      <c r="D32" s="169" t="s">
        <v>160</v>
      </c>
      <c r="E32" s="170" t="n">
        <v>73.5</v>
      </c>
      <c r="F32" s="170" t="n">
        <f aca="false">20*1.03</f>
        <v>20.6</v>
      </c>
      <c r="G32" s="170" t="n">
        <f aca="false">E32*F32</f>
        <v>1514.1</v>
      </c>
    </row>
    <row r="33" customFormat="false" ht="15" hidden="false" customHeight="true" outlineLevel="0" collapsed="false">
      <c r="A33" s="163"/>
      <c r="B33" s="161" t="s">
        <v>185</v>
      </c>
      <c r="C33" s="168" t="s">
        <v>186</v>
      </c>
      <c r="D33" s="169" t="s">
        <v>160</v>
      </c>
      <c r="E33" s="170" t="n">
        <v>75.6</v>
      </c>
      <c r="F33" s="170" t="n">
        <f aca="false">20*1.03</f>
        <v>20.6</v>
      </c>
      <c r="G33" s="170" t="n">
        <f aca="false">E33*F33</f>
        <v>1557.36</v>
      </c>
    </row>
    <row r="34" customFormat="false" ht="15" hidden="false" customHeight="true" outlineLevel="0" collapsed="false">
      <c r="A34" s="163"/>
      <c r="B34" s="161" t="s">
        <v>187</v>
      </c>
      <c r="C34" s="168" t="s">
        <v>188</v>
      </c>
      <c r="D34" s="169" t="s">
        <v>160</v>
      </c>
      <c r="E34" s="170" t="n">
        <v>116</v>
      </c>
      <c r="F34" s="170" t="n">
        <f aca="false">20*1.03</f>
        <v>20.6</v>
      </c>
      <c r="G34" s="170" t="n">
        <f aca="false">E34*F34</f>
        <v>2389.6</v>
      </c>
    </row>
    <row r="35" customFormat="false" ht="15" hidden="false" customHeight="true" outlineLevel="0" collapsed="false">
      <c r="A35" s="163"/>
      <c r="B35" s="161" t="s">
        <v>189</v>
      </c>
      <c r="C35" s="168" t="s">
        <v>190</v>
      </c>
      <c r="D35" s="169" t="s">
        <v>160</v>
      </c>
      <c r="E35" s="170" t="n">
        <v>48</v>
      </c>
      <c r="F35" s="170" t="n">
        <f aca="false">20*1.03</f>
        <v>20.6</v>
      </c>
      <c r="G35" s="170" t="n">
        <f aca="false">E35*F35</f>
        <v>988.8</v>
      </c>
    </row>
    <row r="36" customFormat="false" ht="15" hidden="false" customHeight="true" outlineLevel="0" collapsed="false">
      <c r="A36" s="163"/>
      <c r="B36" s="161" t="s">
        <v>191</v>
      </c>
      <c r="C36" s="168" t="s">
        <v>192</v>
      </c>
      <c r="D36" s="169" t="s">
        <v>160</v>
      </c>
      <c r="E36" s="170" t="n">
        <v>37.5</v>
      </c>
      <c r="F36" s="170" t="n">
        <f aca="false">20*1.03</f>
        <v>20.6</v>
      </c>
      <c r="G36" s="170" t="n">
        <f aca="false">E36*F36</f>
        <v>772.5</v>
      </c>
    </row>
    <row r="37" customFormat="false" ht="15" hidden="false" customHeight="true" outlineLevel="0" collapsed="false">
      <c r="A37" s="163"/>
      <c r="B37" s="161" t="s">
        <v>193</v>
      </c>
      <c r="C37" s="168" t="s">
        <v>194</v>
      </c>
      <c r="D37" s="169" t="s">
        <v>160</v>
      </c>
      <c r="E37" s="170" t="n">
        <v>9.2</v>
      </c>
      <c r="F37" s="170" t="n">
        <f aca="false">18*1.03</f>
        <v>18.54</v>
      </c>
      <c r="G37" s="170" t="n">
        <f aca="false">E37*F37</f>
        <v>170.568</v>
      </c>
    </row>
    <row r="38" customFormat="false" ht="15" hidden="false" customHeight="true" outlineLevel="0" collapsed="false">
      <c r="A38" s="163"/>
      <c r="B38" s="161" t="s">
        <v>195</v>
      </c>
      <c r="C38" s="168" t="s">
        <v>196</v>
      </c>
      <c r="D38" s="169" t="s">
        <v>160</v>
      </c>
      <c r="E38" s="170" t="n">
        <v>15.4</v>
      </c>
      <c r="F38" s="170" t="n">
        <f aca="false">18*1.03</f>
        <v>18.54</v>
      </c>
      <c r="G38" s="170" t="n">
        <f aca="false">E38*F38</f>
        <v>285.516</v>
      </c>
    </row>
    <row r="39" customFormat="false" ht="15" hidden="false" customHeight="true" outlineLevel="0" collapsed="false">
      <c r="A39" s="163"/>
      <c r="B39" s="161" t="s">
        <v>197</v>
      </c>
      <c r="C39" s="168" t="s">
        <v>198</v>
      </c>
      <c r="D39" s="169" t="s">
        <v>160</v>
      </c>
      <c r="E39" s="170" t="n">
        <v>300</v>
      </c>
      <c r="F39" s="170" t="n">
        <f aca="false">28*1.03</f>
        <v>28.84</v>
      </c>
      <c r="G39" s="170" t="n">
        <f aca="false">E39*F39</f>
        <v>8652</v>
      </c>
    </row>
    <row r="40" customFormat="false" ht="15" hidden="false" customHeight="true" outlineLevel="0" collapsed="false">
      <c r="A40" s="163"/>
      <c r="B40" s="161" t="s">
        <v>199</v>
      </c>
      <c r="C40" s="168" t="s">
        <v>200</v>
      </c>
      <c r="D40" s="169" t="s">
        <v>149</v>
      </c>
      <c r="E40" s="170" t="n">
        <v>200</v>
      </c>
      <c r="F40" s="170" t="n">
        <f aca="false">35*1.03</f>
        <v>36.05</v>
      </c>
      <c r="G40" s="170" t="n">
        <f aca="false">E40*F40</f>
        <v>7210</v>
      </c>
    </row>
    <row r="41" customFormat="false" ht="12.75" hidden="false" customHeight="false" outlineLevel="0" collapsed="false">
      <c r="A41" s="163"/>
      <c r="B41" s="175" t="s">
        <v>201</v>
      </c>
      <c r="C41" s="175"/>
      <c r="D41" s="175"/>
      <c r="E41" s="175"/>
      <c r="F41" s="176" t="n">
        <f aca="false">SUM(G23:G40)</f>
        <v>58046.989</v>
      </c>
      <c r="G41" s="176"/>
    </row>
    <row r="42" customFormat="false" ht="13.5" hidden="false" customHeight="false" outlineLevel="0" collapsed="false">
      <c r="A42" s="163"/>
      <c r="B42" s="175"/>
      <c r="C42" s="175"/>
      <c r="D42" s="175"/>
      <c r="E42" s="175"/>
      <c r="F42" s="176"/>
      <c r="G42" s="176"/>
    </row>
    <row r="43" customFormat="false" ht="12.75" hidden="false" customHeight="false" outlineLevel="0" collapsed="false">
      <c r="A43" s="163"/>
      <c r="B43" s="177"/>
      <c r="C43" s="177"/>
      <c r="D43" s="177"/>
      <c r="E43" s="177"/>
      <c r="F43" s="178"/>
      <c r="G43" s="178"/>
    </row>
    <row r="44" customFormat="false" ht="12.75" hidden="false" customHeight="false" outlineLevel="0" collapsed="false">
      <c r="A44" s="163"/>
      <c r="B44" s="159" t="s">
        <v>12</v>
      </c>
      <c r="C44" s="160" t="s">
        <v>202</v>
      </c>
      <c r="D44" s="165"/>
      <c r="E44" s="166"/>
      <c r="F44" s="167"/>
      <c r="G44" s="167" t="n">
        <f aca="false">E44*F44</f>
        <v>0</v>
      </c>
    </row>
    <row r="45" customFormat="false" ht="12.75" hidden="false" customHeight="false" outlineLevel="0" collapsed="false">
      <c r="A45" s="163"/>
      <c r="B45" s="161" t="s">
        <v>203</v>
      </c>
      <c r="C45" s="168" t="s">
        <v>204</v>
      </c>
      <c r="D45" s="169" t="s">
        <v>149</v>
      </c>
      <c r="E45" s="170" t="n">
        <v>8</v>
      </c>
      <c r="F45" s="170" t="n">
        <f aca="false">2000*1.03</f>
        <v>2060</v>
      </c>
      <c r="G45" s="170" t="n">
        <f aca="false">E45*F45</f>
        <v>16480</v>
      </c>
    </row>
    <row r="46" customFormat="false" ht="13.5" hidden="false" customHeight="false" outlineLevel="0" collapsed="false">
      <c r="A46" s="163"/>
      <c r="B46" s="161" t="s">
        <v>205</v>
      </c>
      <c r="C46" s="168" t="s">
        <v>206</v>
      </c>
      <c r="D46" s="169" t="s">
        <v>149</v>
      </c>
      <c r="E46" s="170" t="n">
        <v>8</v>
      </c>
      <c r="F46" s="170" t="n">
        <f aca="false">1200*1.03</f>
        <v>1236</v>
      </c>
      <c r="G46" s="170" t="n">
        <f aca="false">E46*F46</f>
        <v>9888</v>
      </c>
    </row>
    <row r="47" customFormat="false" ht="15" hidden="false" customHeight="true" outlineLevel="0" collapsed="false">
      <c r="A47" s="179"/>
      <c r="B47" s="175" t="s">
        <v>207</v>
      </c>
      <c r="C47" s="175"/>
      <c r="D47" s="175"/>
      <c r="E47" s="175"/>
      <c r="F47" s="180" t="n">
        <f aca="false">SUM(G44:G46)</f>
        <v>26368</v>
      </c>
      <c r="G47" s="180"/>
    </row>
    <row r="48" customFormat="false" ht="15" hidden="false" customHeight="true" outlineLevel="0" collapsed="false">
      <c r="A48" s="179"/>
      <c r="B48" s="175"/>
      <c r="C48" s="175"/>
      <c r="D48" s="175"/>
      <c r="E48" s="175"/>
      <c r="F48" s="180"/>
      <c r="G48" s="180"/>
    </row>
    <row r="49" customFormat="false" ht="29.25" hidden="false" customHeight="true" outlineLevel="0" collapsed="false">
      <c r="A49" s="179"/>
      <c r="B49" s="175" t="s">
        <v>208</v>
      </c>
      <c r="C49" s="175"/>
      <c r="D49" s="175"/>
      <c r="E49" s="175"/>
      <c r="F49" s="181" t="n">
        <f aca="false">SUM(F41,F19,F47)</f>
        <v>181873.589</v>
      </c>
      <c r="G49" s="181"/>
    </row>
    <row r="50" customFormat="false" ht="17.25" hidden="false" customHeight="true" outlineLevel="0" collapsed="false">
      <c r="A50" s="147"/>
      <c r="B50" s="182"/>
      <c r="C50" s="183"/>
      <c r="D50" s="182"/>
      <c r="E50" s="184"/>
      <c r="F50" s="185"/>
      <c r="G50" s="185"/>
    </row>
    <row r="51" customFormat="false" ht="17.25" hidden="false" customHeight="true" outlineLevel="0" collapsed="false">
      <c r="B51" s="182"/>
      <c r="C51" s="183"/>
      <c r="D51" s="182"/>
      <c r="E51" s="184"/>
      <c r="F51" s="185"/>
      <c r="G51" s="185"/>
    </row>
    <row r="52" customFormat="false" ht="32.25" hidden="false" customHeight="true" outlineLevel="0" collapsed="false">
      <c r="B52" s="182"/>
      <c r="C52" s="186"/>
      <c r="D52" s="182"/>
      <c r="E52" s="184"/>
      <c r="F52" s="185"/>
      <c r="G52" s="185"/>
    </row>
    <row r="53" customFormat="false" ht="17.25" hidden="false" customHeight="true" outlineLevel="0" collapsed="false">
      <c r="B53" s="182"/>
      <c r="C53" s="183"/>
      <c r="D53" s="182"/>
      <c r="E53" s="184"/>
      <c r="F53" s="185"/>
      <c r="G53" s="185"/>
    </row>
    <row r="54" customFormat="false" ht="17.25" hidden="false" customHeight="true" outlineLevel="0" collapsed="false">
      <c r="B54" s="182"/>
      <c r="C54" s="183"/>
      <c r="D54" s="182"/>
      <c r="E54" s="184"/>
      <c r="F54" s="185"/>
      <c r="G54" s="185"/>
    </row>
    <row r="55" customFormat="false" ht="12.75" hidden="false" customHeight="false" outlineLevel="0" collapsed="false">
      <c r="B55" s="187"/>
      <c r="C55" s="187"/>
      <c r="D55" s="187"/>
      <c r="E55" s="187"/>
    </row>
    <row r="56" customFormat="false" ht="12.75" hidden="false" customHeight="false" outlineLevel="0" collapsed="false">
      <c r="B56" s="187"/>
      <c r="C56" s="187"/>
      <c r="D56" s="187"/>
      <c r="E56" s="187"/>
    </row>
    <row r="57" customFormat="false" ht="12.75" hidden="false" customHeight="false" outlineLevel="0" collapsed="false">
      <c r="B57" s="187"/>
      <c r="C57" s="187"/>
      <c r="D57" s="187"/>
      <c r="E57" s="187"/>
    </row>
    <row r="58" customFormat="false" ht="12.75" hidden="false" customHeight="false" outlineLevel="0" collapsed="false">
      <c r="B58" s="187"/>
      <c r="C58" s="187"/>
      <c r="D58" s="187"/>
      <c r="E58" s="187"/>
    </row>
    <row r="59" customFormat="false" ht="12.75" hidden="false" customHeight="false" outlineLevel="0" collapsed="false">
      <c r="B59" s="187"/>
      <c r="C59" s="187"/>
      <c r="D59" s="187"/>
      <c r="E59" s="187"/>
    </row>
    <row r="60" customFormat="false" ht="12.75" hidden="false" customHeight="false" outlineLevel="0" collapsed="false">
      <c r="B60" s="187"/>
      <c r="C60" s="187"/>
      <c r="D60" s="187"/>
      <c r="E60" s="187"/>
    </row>
    <row r="61" customFormat="false" ht="12.75" hidden="false" customHeight="false" outlineLevel="0" collapsed="false">
      <c r="B61" s="187"/>
      <c r="C61" s="187"/>
      <c r="D61" s="187"/>
      <c r="E61" s="187"/>
    </row>
    <row r="62" customFormat="false" ht="12.75" hidden="false" customHeight="false" outlineLevel="0" collapsed="false">
      <c r="B62" s="187"/>
      <c r="C62" s="187"/>
      <c r="D62" s="187"/>
      <c r="E62" s="187"/>
    </row>
    <row r="63" customFormat="false" ht="12.75" hidden="false" customHeight="false" outlineLevel="0" collapsed="false">
      <c r="B63" s="187"/>
      <c r="C63" s="187"/>
      <c r="D63" s="187"/>
      <c r="E63" s="187"/>
    </row>
    <row r="64" customFormat="false" ht="12.75" hidden="false" customHeight="false" outlineLevel="0" collapsed="false">
      <c r="B64" s="187"/>
      <c r="C64" s="187"/>
      <c r="D64" s="187"/>
      <c r="E64" s="187"/>
    </row>
    <row r="65" customFormat="false" ht="12.75" hidden="false" customHeight="false" outlineLevel="0" collapsed="false">
      <c r="B65" s="187"/>
      <c r="C65" s="187"/>
      <c r="D65" s="187"/>
      <c r="E65" s="187"/>
    </row>
    <row r="66" customFormat="false" ht="12.75" hidden="false" customHeight="false" outlineLevel="0" collapsed="false">
      <c r="B66" s="187"/>
      <c r="C66" s="187"/>
      <c r="D66" s="187"/>
      <c r="E66" s="187"/>
    </row>
    <row r="67" customFormat="false" ht="12.75" hidden="false" customHeight="false" outlineLevel="0" collapsed="false">
      <c r="B67" s="187"/>
      <c r="C67" s="187"/>
      <c r="D67" s="187"/>
      <c r="E67" s="187"/>
    </row>
    <row r="68" customFormat="false" ht="12.75" hidden="false" customHeight="false" outlineLevel="0" collapsed="false">
      <c r="B68" s="187"/>
      <c r="C68" s="187"/>
      <c r="D68" s="187"/>
      <c r="E68" s="187"/>
    </row>
    <row r="69" customFormat="false" ht="12.75" hidden="false" customHeight="false" outlineLevel="0" collapsed="false">
      <c r="B69" s="187"/>
      <c r="C69" s="187"/>
      <c r="D69" s="187"/>
      <c r="E69" s="187"/>
    </row>
  </sheetData>
  <mergeCells count="19">
    <mergeCell ref="A4:C5"/>
    <mergeCell ref="D4:G4"/>
    <mergeCell ref="D5:G5"/>
    <mergeCell ref="A6:A7"/>
    <mergeCell ref="B6:B7"/>
    <mergeCell ref="C6:C7"/>
    <mergeCell ref="D6:D7"/>
    <mergeCell ref="E6:E7"/>
    <mergeCell ref="F6:F7"/>
    <mergeCell ref="G6:G7"/>
    <mergeCell ref="B19:E20"/>
    <mergeCell ref="F19:G20"/>
    <mergeCell ref="B41:E42"/>
    <mergeCell ref="F41:G42"/>
    <mergeCell ref="A47:A49"/>
    <mergeCell ref="B47:E48"/>
    <mergeCell ref="F47:G48"/>
    <mergeCell ref="B49:E49"/>
    <mergeCell ref="F49:G49"/>
  </mergeCells>
  <printOptions headings="false" gridLines="false" gridLinesSet="true" horizontalCentered="true" verticalCentered="false"/>
  <pageMargins left="0.590277777777778" right="0.196527777777778" top="0.7875" bottom="0.590277777777778" header="0.511805555555555" footer="0.511805555555555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743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8.70703125" defaultRowHeight="12.75" zeroHeight="false" outlineLevelRow="0" outlineLevelCol="0"/>
  <cols>
    <col collapsed="false" customWidth="true" hidden="false" outlineLevel="0" max="2" min="2" style="0" width="6.28"/>
    <col collapsed="false" customWidth="true" hidden="false" outlineLevel="0" max="3" min="3" style="0" width="10.71"/>
    <col collapsed="false" customWidth="true" hidden="false" outlineLevel="0" max="4" min="4" style="0" width="10.29"/>
    <col collapsed="false" customWidth="true" hidden="false" outlineLevel="0" max="5" min="5" style="0" width="13.29"/>
    <col collapsed="false" customWidth="true" hidden="false" outlineLevel="0" max="7" min="7" style="0" width="9.29"/>
    <col collapsed="false" customWidth="true" hidden="false" outlineLevel="0" max="9" min="9" style="0" width="11.3"/>
    <col collapsed="false" customWidth="true" hidden="false" outlineLevel="0" max="11" min="10" style="0" width="9.71"/>
  </cols>
  <sheetData>
    <row r="1" s="190" customFormat="true" ht="20.45" hidden="false" customHeight="true" outlineLevel="0" collapsed="false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9"/>
      <c r="L1" s="188"/>
    </row>
    <row r="2" s="190" customFormat="true" ht="20.45" hidden="false" customHeight="true" outlineLevel="0" collapsed="false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9"/>
      <c r="L2" s="188"/>
    </row>
    <row r="3" s="190" customFormat="true" ht="20.45" hidden="false" customHeight="true" outlineLevel="0" collapsed="false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9"/>
      <c r="L3" s="188"/>
    </row>
    <row r="4" s="190" customFormat="true" ht="20.45" hidden="false" customHeight="true" outlineLevel="0" collapsed="false">
      <c r="B4" s="191" t="s">
        <v>134</v>
      </c>
      <c r="F4" s="192"/>
      <c r="H4" s="192"/>
      <c r="K4" s="193"/>
    </row>
    <row r="5" s="190" customFormat="true" ht="20.45" hidden="false" customHeight="true" outlineLevel="0" collapsed="false">
      <c r="B5" s="194" t="s">
        <v>135</v>
      </c>
      <c r="C5" s="194"/>
      <c r="D5" s="194"/>
      <c r="E5" s="194"/>
      <c r="F5" s="192"/>
      <c r="H5" s="192"/>
      <c r="K5" s="193"/>
    </row>
    <row r="6" s="190" customFormat="true" ht="20.45" hidden="false" customHeight="true" outlineLevel="0" collapsed="false">
      <c r="B6" s="195" t="s">
        <v>209</v>
      </c>
      <c r="C6" s="195"/>
      <c r="D6" s="195"/>
      <c r="E6" s="195"/>
      <c r="F6" s="195"/>
      <c r="G6" s="195"/>
      <c r="H6" s="195"/>
      <c r="I6" s="195"/>
      <c r="J6" s="195"/>
      <c r="K6" s="195"/>
      <c r="O6" s="196"/>
    </row>
    <row r="7" s="190" customFormat="true" ht="20.45" hidden="false" customHeight="true" outlineLevel="0" collapsed="false">
      <c r="B7" s="197" t="s">
        <v>210</v>
      </c>
      <c r="C7" s="198" t="s">
        <v>211</v>
      </c>
      <c r="D7" s="199" t="s">
        <v>212</v>
      </c>
      <c r="E7" s="199"/>
      <c r="F7" s="199"/>
      <c r="G7" s="199"/>
      <c r="H7" s="199"/>
      <c r="I7" s="199"/>
      <c r="J7" s="200" t="s">
        <v>213</v>
      </c>
      <c r="K7" s="201" t="s">
        <v>214</v>
      </c>
      <c r="O7" s="196"/>
    </row>
    <row r="8" s="190" customFormat="true" ht="20.45" hidden="false" customHeight="true" outlineLevel="0" collapsed="false">
      <c r="B8" s="202" t="s">
        <v>215</v>
      </c>
      <c r="C8" s="203"/>
      <c r="D8" s="203"/>
      <c r="E8" s="203"/>
      <c r="F8" s="204" t="s">
        <v>216</v>
      </c>
      <c r="G8" s="204" t="s">
        <v>217</v>
      </c>
      <c r="H8" s="204" t="s">
        <v>218</v>
      </c>
      <c r="I8" s="205" t="s">
        <v>219</v>
      </c>
      <c r="J8" s="205"/>
      <c r="K8" s="205"/>
      <c r="O8" s="196"/>
    </row>
    <row r="9" s="190" customFormat="true" ht="20.45" hidden="false" customHeight="true" outlineLevel="0" collapsed="false">
      <c r="B9" s="202"/>
      <c r="C9" s="203"/>
      <c r="D9" s="203"/>
      <c r="E9" s="203"/>
      <c r="F9" s="206"/>
      <c r="G9" s="207"/>
      <c r="H9" s="207"/>
      <c r="I9" s="208"/>
      <c r="J9" s="203"/>
      <c r="K9" s="209"/>
      <c r="O9" s="196"/>
    </row>
    <row r="10" s="190" customFormat="true" ht="20.45" hidden="false" customHeight="true" outlineLevel="0" collapsed="false">
      <c r="B10" s="202" t="s">
        <v>220</v>
      </c>
      <c r="C10" s="203"/>
      <c r="D10" s="203"/>
      <c r="E10" s="203"/>
      <c r="F10" s="210"/>
      <c r="G10" s="211" t="n">
        <f aca="false">'Folha Rosto Comp. P. Unit. '!B4</f>
        <v>1.26</v>
      </c>
      <c r="H10" s="210"/>
      <c r="I10" s="208"/>
      <c r="J10" s="203"/>
      <c r="K10" s="209" t="n">
        <f aca="false">ROUND(SUM(K8:K9)*1.1861,2)</f>
        <v>0</v>
      </c>
      <c r="O10" s="196"/>
    </row>
    <row r="11" s="190" customFormat="true" ht="20.45" hidden="false" customHeight="true" outlineLevel="0" collapsed="false">
      <c r="B11" s="202"/>
      <c r="C11" s="203"/>
      <c r="D11" s="203"/>
      <c r="E11" s="203"/>
      <c r="F11" s="212"/>
      <c r="G11" s="213" t="s">
        <v>221</v>
      </c>
      <c r="H11" s="214"/>
      <c r="I11" s="215"/>
      <c r="J11" s="215"/>
      <c r="K11" s="216" t="n">
        <f aca="false">SUM(K9:K10)</f>
        <v>0</v>
      </c>
      <c r="O11" s="196"/>
    </row>
    <row r="12" s="190" customFormat="true" ht="20.45" hidden="false" customHeight="true" outlineLevel="0" collapsed="false">
      <c r="B12" s="202" t="s">
        <v>222</v>
      </c>
      <c r="C12" s="203"/>
      <c r="D12" s="203"/>
      <c r="E12" s="203"/>
      <c r="F12" s="217" t="s">
        <v>216</v>
      </c>
      <c r="G12" s="217" t="s">
        <v>217</v>
      </c>
      <c r="H12" s="217" t="s">
        <v>218</v>
      </c>
      <c r="I12" s="218" t="s">
        <v>223</v>
      </c>
      <c r="J12" s="218"/>
      <c r="K12" s="218"/>
      <c r="O12" s="196"/>
    </row>
    <row r="13" s="190" customFormat="true" ht="20.45" hidden="false" customHeight="true" outlineLevel="0" collapsed="false">
      <c r="B13" s="202" t="s">
        <v>224</v>
      </c>
      <c r="C13" s="203"/>
      <c r="D13" s="203"/>
      <c r="E13" s="203"/>
      <c r="F13" s="210" t="s">
        <v>214</v>
      </c>
      <c r="G13" s="207" t="n">
        <v>1</v>
      </c>
      <c r="H13" s="207" t="n">
        <f aca="false">3*500</f>
        <v>1500</v>
      </c>
      <c r="I13" s="219"/>
      <c r="J13" s="220"/>
      <c r="K13" s="221" t="n">
        <f aca="false">ROUND(G13*H13,2)</f>
        <v>1500</v>
      </c>
      <c r="O13" s="196"/>
    </row>
    <row r="14" s="190" customFormat="true" ht="20.45" hidden="false" customHeight="true" outlineLevel="0" collapsed="false">
      <c r="B14" s="202" t="s">
        <v>225</v>
      </c>
      <c r="C14" s="203"/>
      <c r="D14" s="203"/>
      <c r="E14" s="203"/>
      <c r="F14" s="210" t="s">
        <v>214</v>
      </c>
      <c r="G14" s="207" t="n">
        <v>2</v>
      </c>
      <c r="H14" s="207" t="n">
        <v>2000</v>
      </c>
      <c r="I14" s="219"/>
      <c r="J14" s="220"/>
      <c r="K14" s="221" t="n">
        <f aca="false">ROUND(G14*H14,2)</f>
        <v>4000</v>
      </c>
      <c r="O14" s="196"/>
    </row>
    <row r="15" s="190" customFormat="true" ht="20.45" hidden="false" customHeight="true" outlineLevel="0" collapsed="false">
      <c r="B15" s="202" t="s">
        <v>226</v>
      </c>
      <c r="C15" s="203"/>
      <c r="D15" s="203"/>
      <c r="E15" s="203"/>
      <c r="F15" s="212"/>
      <c r="G15" s="213" t="s">
        <v>227</v>
      </c>
      <c r="H15" s="214"/>
      <c r="I15" s="215"/>
      <c r="J15" s="215"/>
      <c r="K15" s="149" t="n">
        <f aca="false">SUM(K13:K14)</f>
        <v>5500</v>
      </c>
      <c r="O15" s="196"/>
    </row>
    <row r="16" s="190" customFormat="true" ht="20.45" hidden="false" customHeight="true" outlineLevel="0" collapsed="false">
      <c r="B16" s="202" t="s">
        <v>228</v>
      </c>
      <c r="C16" s="203"/>
      <c r="D16" s="203"/>
      <c r="E16" s="203"/>
      <c r="F16" s="212"/>
      <c r="G16" s="203"/>
      <c r="H16" s="212"/>
      <c r="I16" s="203"/>
      <c r="J16" s="203"/>
      <c r="K16" s="222" t="n">
        <f aca="false">SUM(K11+K15)</f>
        <v>5500</v>
      </c>
      <c r="O16" s="196"/>
    </row>
    <row r="17" s="190" customFormat="true" ht="20.45" hidden="false" customHeight="true" outlineLevel="0" collapsed="false">
      <c r="B17" s="202" t="s">
        <v>229</v>
      </c>
      <c r="C17" s="203"/>
      <c r="D17" s="223" t="n">
        <f aca="false">'Folha Rosto Comp. P. Unit. '!B5</f>
        <v>0.3</v>
      </c>
      <c r="E17" s="203"/>
      <c r="F17" s="212"/>
      <c r="G17" s="203"/>
      <c r="H17" s="212"/>
      <c r="I17" s="203"/>
      <c r="J17" s="203"/>
      <c r="K17" s="222" t="n">
        <f aca="false">K16*D17</f>
        <v>1650</v>
      </c>
      <c r="O17" s="196"/>
    </row>
    <row r="18" s="190" customFormat="true" ht="20.45" hidden="false" customHeight="true" outlineLevel="0" collapsed="false">
      <c r="B18" s="224" t="s">
        <v>230</v>
      </c>
      <c r="C18" s="224"/>
      <c r="D18" s="224"/>
      <c r="E18" s="224"/>
      <c r="F18" s="224"/>
      <c r="G18" s="224"/>
      <c r="H18" s="224"/>
      <c r="I18" s="224"/>
      <c r="J18" s="224"/>
      <c r="K18" s="149" t="n">
        <f aca="false">SUM(K16:K17)</f>
        <v>7150</v>
      </c>
      <c r="O18" s="196"/>
    </row>
    <row r="19" s="190" customFormat="true" ht="20.45" hidden="false" customHeight="true" outlineLevel="0" collapsed="false"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O19" s="196"/>
    </row>
    <row r="20" s="190" customFormat="true" ht="15" hidden="false" customHeight="true" outlineLevel="0" collapsed="false">
      <c r="B20" s="197" t="s">
        <v>231</v>
      </c>
      <c r="C20" s="198" t="s">
        <v>211</v>
      </c>
      <c r="D20" s="199" t="s">
        <v>232</v>
      </c>
      <c r="E20" s="199"/>
      <c r="F20" s="199"/>
      <c r="G20" s="199"/>
      <c r="H20" s="199"/>
      <c r="I20" s="199"/>
      <c r="J20" s="200" t="s">
        <v>213</v>
      </c>
      <c r="K20" s="201" t="s">
        <v>214</v>
      </c>
    </row>
    <row r="21" s="190" customFormat="true" ht="15" hidden="false" customHeight="true" outlineLevel="0" collapsed="false">
      <c r="B21" s="202" t="s">
        <v>215</v>
      </c>
      <c r="C21" s="203"/>
      <c r="D21" s="203"/>
      <c r="E21" s="203"/>
      <c r="F21" s="204" t="s">
        <v>216</v>
      </c>
      <c r="G21" s="204" t="s">
        <v>217</v>
      </c>
      <c r="H21" s="204" t="s">
        <v>218</v>
      </c>
      <c r="I21" s="205" t="s">
        <v>219</v>
      </c>
      <c r="J21" s="205"/>
      <c r="K21" s="205"/>
    </row>
    <row r="22" s="190" customFormat="true" ht="15" hidden="false" customHeight="true" outlineLevel="0" collapsed="false">
      <c r="B22" s="202"/>
      <c r="C22" s="203"/>
      <c r="D22" s="203"/>
      <c r="E22" s="203"/>
      <c r="F22" s="206"/>
      <c r="G22" s="207"/>
      <c r="H22" s="207"/>
      <c r="I22" s="208"/>
      <c r="J22" s="203"/>
      <c r="K22" s="209"/>
    </row>
    <row r="23" s="190" customFormat="true" ht="15" hidden="false" customHeight="true" outlineLevel="0" collapsed="false">
      <c r="B23" s="202" t="s">
        <v>220</v>
      </c>
      <c r="C23" s="203"/>
      <c r="D23" s="203"/>
      <c r="E23" s="203"/>
      <c r="F23" s="210"/>
      <c r="G23" s="211" t="n">
        <f aca="false">'Folha Rosto Comp. P. Unit. '!B4</f>
        <v>1.26</v>
      </c>
      <c r="H23" s="210"/>
      <c r="I23" s="208"/>
      <c r="J23" s="203"/>
      <c r="K23" s="209" t="n">
        <f aca="false">ROUND(SUM(K21:K22)*1.1861,2)</f>
        <v>0</v>
      </c>
    </row>
    <row r="24" s="190" customFormat="true" ht="15" hidden="false" customHeight="true" outlineLevel="0" collapsed="false">
      <c r="B24" s="202"/>
      <c r="C24" s="203"/>
      <c r="D24" s="203"/>
      <c r="E24" s="203"/>
      <c r="F24" s="212"/>
      <c r="G24" s="213" t="s">
        <v>221</v>
      </c>
      <c r="H24" s="214"/>
      <c r="I24" s="215"/>
      <c r="J24" s="215"/>
      <c r="K24" s="216" t="n">
        <f aca="false">SUM(K22:K23)</f>
        <v>0</v>
      </c>
    </row>
    <row r="25" s="190" customFormat="true" ht="15" hidden="false" customHeight="true" outlineLevel="0" collapsed="false">
      <c r="B25" s="202" t="s">
        <v>222</v>
      </c>
      <c r="C25" s="203"/>
      <c r="D25" s="203"/>
      <c r="E25" s="203"/>
      <c r="F25" s="217" t="s">
        <v>216</v>
      </c>
      <c r="G25" s="217" t="s">
        <v>217</v>
      </c>
      <c r="H25" s="217" t="s">
        <v>218</v>
      </c>
      <c r="I25" s="218" t="s">
        <v>223</v>
      </c>
      <c r="J25" s="218"/>
      <c r="K25" s="218"/>
    </row>
    <row r="26" s="190" customFormat="true" ht="15" hidden="false" customHeight="true" outlineLevel="0" collapsed="false">
      <c r="B26" s="202" t="s">
        <v>233</v>
      </c>
      <c r="C26" s="203"/>
      <c r="D26" s="203"/>
      <c r="E26" s="203"/>
      <c r="F26" s="210" t="s">
        <v>214</v>
      </c>
      <c r="G26" s="207" t="n">
        <v>1</v>
      </c>
      <c r="H26" s="207" t="n">
        <f aca="false">3*20*1.35*30</f>
        <v>2430</v>
      </c>
      <c r="I26" s="219"/>
      <c r="J26" s="220"/>
      <c r="K26" s="221" t="n">
        <f aca="false">ROUND(G26*H26,2)</f>
        <v>2430</v>
      </c>
    </row>
    <row r="27" s="190" customFormat="true" ht="15" hidden="false" customHeight="true" outlineLevel="0" collapsed="false">
      <c r="B27" s="202" t="s">
        <v>234</v>
      </c>
      <c r="C27" s="203"/>
      <c r="D27" s="203"/>
      <c r="E27" s="203"/>
      <c r="F27" s="210" t="s">
        <v>214</v>
      </c>
      <c r="G27" s="207" t="n">
        <v>1</v>
      </c>
      <c r="H27" s="207" t="n">
        <v>2000</v>
      </c>
      <c r="I27" s="219"/>
      <c r="J27" s="220"/>
      <c r="K27" s="221" t="n">
        <f aca="false">ROUND(G27*H27,2)</f>
        <v>2000</v>
      </c>
    </row>
    <row r="28" s="190" customFormat="true" ht="15" hidden="false" customHeight="true" outlineLevel="0" collapsed="false">
      <c r="B28" s="202" t="s">
        <v>226</v>
      </c>
      <c r="C28" s="203"/>
      <c r="D28" s="203"/>
      <c r="E28" s="203"/>
      <c r="F28" s="212"/>
      <c r="G28" s="213" t="s">
        <v>227</v>
      </c>
      <c r="H28" s="214"/>
      <c r="I28" s="215"/>
      <c r="J28" s="215"/>
      <c r="K28" s="149" t="n">
        <f aca="false">SUM(K26:K27)</f>
        <v>4430</v>
      </c>
    </row>
    <row r="29" s="190" customFormat="true" ht="15" hidden="false" customHeight="true" outlineLevel="0" collapsed="false">
      <c r="B29" s="202" t="s">
        <v>228</v>
      </c>
      <c r="C29" s="203"/>
      <c r="D29" s="203"/>
      <c r="E29" s="203"/>
      <c r="F29" s="212"/>
      <c r="G29" s="203"/>
      <c r="H29" s="212"/>
      <c r="I29" s="203"/>
      <c r="J29" s="203"/>
      <c r="K29" s="222" t="n">
        <f aca="false">SUM(K24+K28)</f>
        <v>4430</v>
      </c>
    </row>
    <row r="30" s="190" customFormat="true" ht="15" hidden="false" customHeight="true" outlineLevel="0" collapsed="false">
      <c r="B30" s="202" t="s">
        <v>229</v>
      </c>
      <c r="C30" s="203"/>
      <c r="D30" s="223" t="n">
        <f aca="false">'Folha Rosto Comp. P. Unit. '!B5</f>
        <v>0.3</v>
      </c>
      <c r="E30" s="203"/>
      <c r="F30" s="212"/>
      <c r="G30" s="203"/>
      <c r="H30" s="212"/>
      <c r="I30" s="203"/>
      <c r="J30" s="203"/>
      <c r="K30" s="222" t="n">
        <f aca="false">K29*D30</f>
        <v>1329</v>
      </c>
    </row>
    <row r="31" s="190" customFormat="true" ht="15" hidden="false" customHeight="true" outlineLevel="0" collapsed="false">
      <c r="B31" s="224" t="s">
        <v>230</v>
      </c>
      <c r="C31" s="224"/>
      <c r="D31" s="224"/>
      <c r="E31" s="224"/>
      <c r="F31" s="224"/>
      <c r="G31" s="224"/>
      <c r="H31" s="224"/>
      <c r="I31" s="224"/>
      <c r="J31" s="224"/>
      <c r="K31" s="149" t="n">
        <f aca="false">SUM(K29:K30)</f>
        <v>5759</v>
      </c>
    </row>
    <row r="32" s="190" customFormat="true" ht="15" hidden="false" customHeight="true" outlineLevel="0" collapsed="false">
      <c r="B32" s="225"/>
      <c r="F32" s="192"/>
      <c r="H32" s="192"/>
      <c r="K32" s="226"/>
    </row>
    <row r="33" s="190" customFormat="true" ht="15" hidden="false" customHeight="true" outlineLevel="0" collapsed="false">
      <c r="B33" s="227" t="n">
        <v>3</v>
      </c>
      <c r="C33" s="198" t="s">
        <v>211</v>
      </c>
      <c r="D33" s="215" t="s">
        <v>235</v>
      </c>
      <c r="E33" s="215"/>
      <c r="F33" s="214"/>
      <c r="G33" s="215"/>
      <c r="H33" s="214"/>
      <c r="I33" s="228"/>
      <c r="J33" s="200" t="s">
        <v>213</v>
      </c>
      <c r="K33" s="229" t="s">
        <v>236</v>
      </c>
    </row>
    <row r="34" s="190" customFormat="true" ht="15" hidden="false" customHeight="true" outlineLevel="0" collapsed="false">
      <c r="B34" s="230" t="s">
        <v>215</v>
      </c>
      <c r="C34" s="231"/>
      <c r="D34" s="231"/>
      <c r="E34" s="232"/>
      <c r="F34" s="217" t="s">
        <v>216</v>
      </c>
      <c r="G34" s="217" t="s">
        <v>217</v>
      </c>
      <c r="H34" s="217" t="s">
        <v>218</v>
      </c>
      <c r="I34" s="218" t="s">
        <v>237</v>
      </c>
      <c r="J34" s="218"/>
      <c r="K34" s="218"/>
    </row>
    <row r="35" s="190" customFormat="true" ht="15" hidden="false" customHeight="true" outlineLevel="0" collapsed="false">
      <c r="B35" s="202" t="s">
        <v>238</v>
      </c>
      <c r="C35" s="203"/>
      <c r="D35" s="203"/>
      <c r="E35" s="203"/>
      <c r="F35" s="233" t="s">
        <v>239</v>
      </c>
      <c r="G35" s="234" t="n">
        <v>3</v>
      </c>
      <c r="H35" s="235" t="n">
        <f aca="false">'Folha Rosto Comp. P. Unit. '!D7</f>
        <v>2.56</v>
      </c>
      <c r="I35" s="220"/>
      <c r="J35" s="220"/>
      <c r="K35" s="236" t="n">
        <f aca="false">ROUND(G35*H35,2)</f>
        <v>7.68</v>
      </c>
    </row>
    <row r="36" s="190" customFormat="true" ht="15" hidden="false" customHeight="true" outlineLevel="0" collapsed="false">
      <c r="B36" s="202" t="s">
        <v>240</v>
      </c>
      <c r="C36" s="203"/>
      <c r="D36" s="203"/>
      <c r="E36" s="203"/>
      <c r="F36" s="233" t="s">
        <v>239</v>
      </c>
      <c r="G36" s="234" t="n">
        <v>6</v>
      </c>
      <c r="H36" s="235" t="n">
        <f aca="false">'Folha Rosto Comp. P. Unit. '!D8</f>
        <v>1.64</v>
      </c>
      <c r="I36" s="220"/>
      <c r="J36" s="220"/>
      <c r="K36" s="236" t="n">
        <f aca="false">ROUND(G36*H36,2)</f>
        <v>9.84</v>
      </c>
    </row>
    <row r="37" s="190" customFormat="true" ht="15" hidden="false" customHeight="true" outlineLevel="0" collapsed="false">
      <c r="B37" s="202"/>
      <c r="C37" s="203"/>
      <c r="D37" s="237" t="s">
        <v>241</v>
      </c>
      <c r="E37" s="203"/>
      <c r="F37" s="233"/>
      <c r="G37" s="234"/>
      <c r="H37" s="234"/>
      <c r="I37" s="220"/>
      <c r="J37" s="220"/>
      <c r="K37" s="221" t="n">
        <f aca="false">SUM(K35:K36)</f>
        <v>17.52</v>
      </c>
    </row>
    <row r="38" s="190" customFormat="true" ht="15" hidden="false" customHeight="true" outlineLevel="0" collapsed="false">
      <c r="B38" s="202" t="s">
        <v>242</v>
      </c>
      <c r="C38" s="203"/>
      <c r="D38" s="203"/>
      <c r="E38" s="203"/>
      <c r="F38" s="204"/>
      <c r="G38" s="238" t="n">
        <f aca="false">'Folha Rosto Comp. P. Unit. '!B4</f>
        <v>1.26</v>
      </c>
      <c r="H38" s="204"/>
      <c r="I38" s="203"/>
      <c r="J38" s="203"/>
      <c r="K38" s="221" t="n">
        <f aca="false">K37*G38</f>
        <v>22.0752</v>
      </c>
    </row>
    <row r="39" s="190" customFormat="true" ht="15" hidden="false" customHeight="true" outlineLevel="0" collapsed="false">
      <c r="B39" s="230"/>
      <c r="C39" s="231"/>
      <c r="D39" s="231"/>
      <c r="E39" s="231"/>
      <c r="F39" s="239"/>
      <c r="G39" s="213" t="s">
        <v>243</v>
      </c>
      <c r="H39" s="214"/>
      <c r="I39" s="240"/>
      <c r="J39" s="241"/>
      <c r="K39" s="242" t="n">
        <f aca="false">SUM(K37:K38)</f>
        <v>39.5952</v>
      </c>
    </row>
    <row r="40" s="190" customFormat="true" ht="15" hidden="false" customHeight="true" outlineLevel="0" collapsed="false">
      <c r="B40" s="202" t="s">
        <v>222</v>
      </c>
      <c r="C40" s="208"/>
      <c r="D40" s="188"/>
      <c r="E40" s="188"/>
      <c r="F40" s="243" t="s">
        <v>216</v>
      </c>
      <c r="G40" s="244" t="s">
        <v>244</v>
      </c>
      <c r="H40" s="244" t="s">
        <v>218</v>
      </c>
      <c r="I40" s="245" t="s">
        <v>219</v>
      </c>
      <c r="J40" s="245"/>
      <c r="K40" s="245"/>
    </row>
    <row r="41" s="190" customFormat="true" ht="15" hidden="false" customHeight="true" outlineLevel="0" collapsed="false">
      <c r="B41" s="246" t="s">
        <v>245</v>
      </c>
      <c r="C41" s="247"/>
      <c r="D41" s="247"/>
      <c r="E41" s="247"/>
      <c r="F41" s="217" t="s">
        <v>246</v>
      </c>
      <c r="G41" s="235" t="n">
        <v>0.17</v>
      </c>
      <c r="H41" s="235" t="n">
        <v>65</v>
      </c>
      <c r="I41" s="220"/>
      <c r="J41" s="220"/>
      <c r="K41" s="236" t="n">
        <f aca="false">ROUND(G41*H41,2)</f>
        <v>11.05</v>
      </c>
    </row>
    <row r="42" s="190" customFormat="true" ht="15" hidden="false" customHeight="true" outlineLevel="0" collapsed="false">
      <c r="B42" s="202" t="s">
        <v>247</v>
      </c>
      <c r="C42" s="203"/>
      <c r="D42" s="203"/>
      <c r="E42" s="203"/>
      <c r="F42" s="204" t="s">
        <v>214</v>
      </c>
      <c r="G42" s="234" t="n">
        <v>0.02</v>
      </c>
      <c r="H42" s="234" t="n">
        <v>8.5</v>
      </c>
      <c r="I42" s="220"/>
      <c r="J42" s="220"/>
      <c r="K42" s="221" t="n">
        <f aca="false">ROUND(G42*H42,2)</f>
        <v>0.17</v>
      </c>
    </row>
    <row r="43" s="190" customFormat="true" ht="15" hidden="false" customHeight="true" outlineLevel="0" collapsed="false">
      <c r="B43" s="248" t="s">
        <v>248</v>
      </c>
      <c r="C43" s="249"/>
      <c r="D43" s="249"/>
      <c r="E43" s="249"/>
      <c r="F43" s="204" t="s">
        <v>214</v>
      </c>
      <c r="G43" s="235" t="n">
        <v>8</v>
      </c>
      <c r="H43" s="234" t="n">
        <v>0.95</v>
      </c>
      <c r="I43" s="220"/>
      <c r="J43" s="220"/>
      <c r="K43" s="221" t="n">
        <f aca="false">ROUND(G43*H43,2)</f>
        <v>7.6</v>
      </c>
    </row>
    <row r="44" s="190" customFormat="true" ht="15" hidden="false" customHeight="true" outlineLevel="0" collapsed="false">
      <c r="B44" s="202" t="s">
        <v>249</v>
      </c>
      <c r="C44" s="203"/>
      <c r="D44" s="203"/>
      <c r="E44" s="203"/>
      <c r="F44" s="204" t="s">
        <v>214</v>
      </c>
      <c r="G44" s="235" t="n">
        <v>0.82</v>
      </c>
      <c r="H44" s="234" t="n">
        <v>8.1</v>
      </c>
      <c r="I44" s="220"/>
      <c r="J44" s="220"/>
      <c r="K44" s="236" t="n">
        <f aca="false">ROUND(G44*H44,2)</f>
        <v>6.64</v>
      </c>
    </row>
    <row r="45" s="190" customFormat="true" ht="15" hidden="false" customHeight="true" outlineLevel="0" collapsed="false">
      <c r="B45" s="202" t="s">
        <v>250</v>
      </c>
      <c r="C45" s="203"/>
      <c r="D45" s="203"/>
      <c r="E45" s="203"/>
      <c r="F45" s="204" t="s">
        <v>246</v>
      </c>
      <c r="G45" s="235" t="n">
        <v>0.05</v>
      </c>
      <c r="H45" s="234" t="n">
        <v>55</v>
      </c>
      <c r="I45" s="220"/>
      <c r="J45" s="220"/>
      <c r="K45" s="236" t="n">
        <f aca="false">ROUND(G45*H45,2)</f>
        <v>2.75</v>
      </c>
    </row>
    <row r="46" s="190" customFormat="true" ht="15" hidden="false" customHeight="true" outlineLevel="0" collapsed="false">
      <c r="B46" s="202" t="s">
        <v>251</v>
      </c>
      <c r="C46" s="203"/>
      <c r="D46" s="203"/>
      <c r="E46" s="203"/>
      <c r="F46" s="204" t="s">
        <v>246</v>
      </c>
      <c r="G46" s="235" t="n">
        <v>0.38</v>
      </c>
      <c r="H46" s="234" t="n">
        <v>18</v>
      </c>
      <c r="I46" s="220"/>
      <c r="J46" s="220"/>
      <c r="K46" s="236" t="n">
        <f aca="false">ROUND(G46*H46,2)</f>
        <v>6.84</v>
      </c>
    </row>
    <row r="47" s="190" customFormat="true" ht="15" hidden="false" customHeight="true" outlineLevel="0" collapsed="false">
      <c r="B47" s="202" t="s">
        <v>252</v>
      </c>
      <c r="C47" s="203"/>
      <c r="D47" s="203"/>
      <c r="E47" s="203"/>
      <c r="F47" s="204" t="s">
        <v>214</v>
      </c>
      <c r="G47" s="235" t="n">
        <v>0.04</v>
      </c>
      <c r="H47" s="234" t="n">
        <v>2</v>
      </c>
      <c r="I47" s="220"/>
      <c r="J47" s="220"/>
      <c r="K47" s="236" t="n">
        <f aca="false">ROUND(G47*H47,2)</f>
        <v>0.08</v>
      </c>
    </row>
    <row r="48" s="190" customFormat="true" ht="15" hidden="false" customHeight="true" outlineLevel="0" collapsed="false">
      <c r="B48" s="202" t="s">
        <v>253</v>
      </c>
      <c r="C48" s="203"/>
      <c r="D48" s="203"/>
      <c r="E48" s="203"/>
      <c r="F48" s="204" t="s">
        <v>214</v>
      </c>
      <c r="G48" s="235" t="n">
        <v>0.02</v>
      </c>
      <c r="H48" s="234" t="n">
        <v>22.5</v>
      </c>
      <c r="I48" s="220"/>
      <c r="J48" s="220"/>
      <c r="K48" s="236" t="n">
        <f aca="false">ROUND(G48*H48,2)</f>
        <v>0.45</v>
      </c>
    </row>
    <row r="49" s="190" customFormat="true" ht="15" hidden="false" customHeight="true" outlineLevel="0" collapsed="false">
      <c r="B49" s="202" t="s">
        <v>254</v>
      </c>
      <c r="C49" s="203"/>
      <c r="D49" s="203"/>
      <c r="E49" s="203"/>
      <c r="F49" s="204" t="s">
        <v>214</v>
      </c>
      <c r="G49" s="235" t="n">
        <v>0.19</v>
      </c>
      <c r="H49" s="234" t="n">
        <v>4.5</v>
      </c>
      <c r="I49" s="220"/>
      <c r="J49" s="220"/>
      <c r="K49" s="236" t="n">
        <f aca="false">ROUND(G49*H49,2)</f>
        <v>0.86</v>
      </c>
    </row>
    <row r="50" s="190" customFormat="true" ht="15" hidden="false" customHeight="true" outlineLevel="0" collapsed="false">
      <c r="B50" s="202" t="s">
        <v>255</v>
      </c>
      <c r="C50" s="203"/>
      <c r="D50" s="203"/>
      <c r="E50" s="203"/>
      <c r="F50" s="204" t="s">
        <v>256</v>
      </c>
      <c r="G50" s="235" t="n">
        <v>0.5</v>
      </c>
      <c r="H50" s="234" t="n">
        <v>4.5</v>
      </c>
      <c r="I50" s="220"/>
      <c r="J50" s="220"/>
      <c r="K50" s="236" t="n">
        <f aca="false">ROUND(G50*H50,2)</f>
        <v>2.25</v>
      </c>
    </row>
    <row r="51" s="190" customFormat="true" ht="15" hidden="false" customHeight="true" outlineLevel="0" collapsed="false">
      <c r="B51" s="202" t="s">
        <v>257</v>
      </c>
      <c r="C51" s="203"/>
      <c r="D51" s="203"/>
      <c r="E51" s="203"/>
      <c r="F51" s="204" t="s">
        <v>256</v>
      </c>
      <c r="G51" s="235" t="n">
        <v>0.042</v>
      </c>
      <c r="H51" s="234" t="n">
        <v>22</v>
      </c>
      <c r="I51" s="220"/>
      <c r="J51" s="220"/>
      <c r="K51" s="236" t="n">
        <f aca="false">ROUND(G51*H51,2)</f>
        <v>0.92</v>
      </c>
    </row>
    <row r="52" s="190" customFormat="true" ht="15" hidden="false" customHeight="true" outlineLevel="0" collapsed="false">
      <c r="B52" s="202" t="s">
        <v>258</v>
      </c>
      <c r="C52" s="203"/>
      <c r="D52" s="203"/>
      <c r="E52" s="203"/>
      <c r="F52" s="204" t="s">
        <v>246</v>
      </c>
      <c r="G52" s="235" t="n">
        <v>0.14</v>
      </c>
      <c r="H52" s="234" t="n">
        <v>45</v>
      </c>
      <c r="I52" s="220"/>
      <c r="J52" s="220"/>
      <c r="K52" s="236" t="n">
        <f aca="false">ROUND(G52*H52,2)</f>
        <v>6.3</v>
      </c>
    </row>
    <row r="53" s="190" customFormat="true" ht="15" hidden="false" customHeight="true" outlineLevel="0" collapsed="false">
      <c r="B53" s="202" t="s">
        <v>259</v>
      </c>
      <c r="C53" s="203"/>
      <c r="D53" s="203"/>
      <c r="E53" s="203"/>
      <c r="F53" s="204" t="s">
        <v>214</v>
      </c>
      <c r="G53" s="235" t="n">
        <v>0.02</v>
      </c>
      <c r="H53" s="234" t="n">
        <v>3.6</v>
      </c>
      <c r="I53" s="220"/>
      <c r="J53" s="220"/>
      <c r="K53" s="236" t="n">
        <f aca="false">ROUND(G53*H53,2)</f>
        <v>0.07</v>
      </c>
    </row>
    <row r="54" s="190" customFormat="true" ht="15" hidden="false" customHeight="true" outlineLevel="0" collapsed="false">
      <c r="B54" s="202" t="s">
        <v>260</v>
      </c>
      <c r="C54" s="203"/>
      <c r="D54" s="203"/>
      <c r="E54" s="203"/>
      <c r="F54" s="204" t="s">
        <v>214</v>
      </c>
      <c r="G54" s="250" t="n">
        <v>1</v>
      </c>
      <c r="H54" s="250" t="n">
        <v>8.4</v>
      </c>
      <c r="I54" s="251"/>
      <c r="J54" s="251"/>
      <c r="K54" s="252" t="n">
        <f aca="false">ROUND(G54*H54,2)</f>
        <v>8.4</v>
      </c>
    </row>
    <row r="55" s="190" customFormat="true" ht="15" hidden="false" customHeight="true" outlineLevel="0" collapsed="false">
      <c r="B55" s="202" t="s">
        <v>261</v>
      </c>
      <c r="C55" s="203"/>
      <c r="D55" s="203"/>
      <c r="E55" s="203"/>
      <c r="F55" s="204" t="s">
        <v>214</v>
      </c>
      <c r="G55" s="250" t="n">
        <v>1</v>
      </c>
      <c r="H55" s="250" t="n">
        <v>9.2</v>
      </c>
      <c r="I55" s="251"/>
      <c r="J55" s="251"/>
      <c r="K55" s="252" t="n">
        <f aca="false">ROUND(G55*H55,2)</f>
        <v>9.2</v>
      </c>
    </row>
    <row r="56" s="190" customFormat="true" ht="15" hidden="false" customHeight="true" outlineLevel="0" collapsed="false">
      <c r="B56" s="230" t="s">
        <v>226</v>
      </c>
      <c r="C56" s="231"/>
      <c r="D56" s="231"/>
      <c r="E56" s="231"/>
      <c r="F56" s="253"/>
      <c r="G56" s="213" t="s">
        <v>227</v>
      </c>
      <c r="H56" s="214"/>
      <c r="I56" s="240"/>
      <c r="J56" s="241"/>
      <c r="K56" s="242" t="n">
        <f aca="false">SUM(K41:K55)</f>
        <v>63.58</v>
      </c>
    </row>
    <row r="57" s="190" customFormat="true" ht="15" hidden="false" customHeight="true" outlineLevel="0" collapsed="false">
      <c r="B57" s="254" t="s">
        <v>262</v>
      </c>
      <c r="C57" s="255"/>
      <c r="D57" s="255"/>
      <c r="E57" s="255"/>
      <c r="F57" s="256"/>
      <c r="G57" s="257"/>
      <c r="H57" s="258"/>
      <c r="I57" s="257"/>
      <c r="J57" s="257"/>
      <c r="K57" s="259" t="n">
        <f aca="false">SUM(K39+K56)</f>
        <v>103.1752</v>
      </c>
    </row>
    <row r="58" s="190" customFormat="true" ht="15" hidden="false" customHeight="true" outlineLevel="0" collapsed="false">
      <c r="B58" s="260" t="s">
        <v>229</v>
      </c>
      <c r="C58" s="257"/>
      <c r="D58" s="261" t="n">
        <f aca="false">'Folha Rosto Comp. P. Unit. '!B5</f>
        <v>0.3</v>
      </c>
      <c r="E58" s="257"/>
      <c r="F58" s="258"/>
      <c r="G58" s="257"/>
      <c r="H58" s="258"/>
      <c r="I58" s="257"/>
      <c r="J58" s="257"/>
      <c r="K58" s="259" t="n">
        <f aca="false">ROUND(K57*D58,2)</f>
        <v>30.95</v>
      </c>
    </row>
    <row r="59" s="190" customFormat="true" ht="15" hidden="false" customHeight="true" outlineLevel="0" collapsed="false">
      <c r="B59" s="224" t="s">
        <v>230</v>
      </c>
      <c r="C59" s="224"/>
      <c r="D59" s="224"/>
      <c r="E59" s="224"/>
      <c r="F59" s="224"/>
      <c r="G59" s="224"/>
      <c r="H59" s="224"/>
      <c r="I59" s="224"/>
      <c r="J59" s="224"/>
      <c r="K59" s="242" t="n">
        <f aca="false">SUM(K57:K58)</f>
        <v>134.1252</v>
      </c>
    </row>
    <row r="60" s="190" customFormat="true" ht="15" hidden="false" customHeight="true" outlineLevel="0" collapsed="false">
      <c r="B60" s="188"/>
      <c r="F60" s="192"/>
      <c r="H60" s="192"/>
      <c r="K60" s="193"/>
    </row>
    <row r="61" s="190" customFormat="true" ht="15" hidden="false" customHeight="true" outlineLevel="0" collapsed="false">
      <c r="B61" s="227" t="n">
        <v>4</v>
      </c>
      <c r="C61" s="198" t="s">
        <v>211</v>
      </c>
      <c r="D61" s="215" t="s">
        <v>263</v>
      </c>
      <c r="E61" s="215"/>
      <c r="F61" s="214"/>
      <c r="G61" s="215"/>
      <c r="H61" s="214"/>
      <c r="I61" s="228"/>
      <c r="J61" s="262" t="s">
        <v>213</v>
      </c>
      <c r="K61" s="263" t="s">
        <v>236</v>
      </c>
    </row>
    <row r="62" s="190" customFormat="true" ht="15" hidden="false" customHeight="true" outlineLevel="0" collapsed="false">
      <c r="B62" s="202" t="s">
        <v>215</v>
      </c>
      <c r="C62" s="203"/>
      <c r="D62" s="203"/>
      <c r="E62" s="264"/>
      <c r="F62" s="204" t="s">
        <v>216</v>
      </c>
      <c r="G62" s="204" t="s">
        <v>217</v>
      </c>
      <c r="H62" s="244" t="s">
        <v>218</v>
      </c>
      <c r="I62" s="203" t="s">
        <v>219</v>
      </c>
      <c r="J62" s="203"/>
      <c r="K62" s="265"/>
    </row>
    <row r="63" s="190" customFormat="true" ht="15" hidden="false" customHeight="true" outlineLevel="0" collapsed="false">
      <c r="B63" s="248" t="s">
        <v>264</v>
      </c>
      <c r="C63" s="203"/>
      <c r="D63" s="203"/>
      <c r="E63" s="203"/>
      <c r="F63" s="204" t="s">
        <v>239</v>
      </c>
      <c r="G63" s="234" t="n">
        <v>10.17</v>
      </c>
      <c r="H63" s="235" t="n">
        <f aca="false">'Folha Rosto Comp. P. Unit. '!D7</f>
        <v>2.56</v>
      </c>
      <c r="I63" s="220"/>
      <c r="J63" s="220"/>
      <c r="K63" s="236" t="n">
        <f aca="false">ROUND(G63*H63,2)</f>
        <v>26.04</v>
      </c>
    </row>
    <row r="64" s="190" customFormat="true" ht="15" hidden="false" customHeight="true" outlineLevel="0" collapsed="false">
      <c r="B64" s="248" t="s">
        <v>240</v>
      </c>
      <c r="C64" s="203"/>
      <c r="D64" s="203"/>
      <c r="E64" s="203"/>
      <c r="F64" s="204" t="s">
        <v>239</v>
      </c>
      <c r="G64" s="234" t="n">
        <v>4</v>
      </c>
      <c r="H64" s="235" t="n">
        <f aca="false">'Folha Rosto Comp. P. Unit. '!D8</f>
        <v>1.64</v>
      </c>
      <c r="I64" s="220"/>
      <c r="J64" s="220"/>
      <c r="K64" s="236" t="n">
        <f aca="false">ROUND(G64*H64,2)</f>
        <v>6.56</v>
      </c>
    </row>
    <row r="65" s="190" customFormat="true" ht="15" hidden="false" customHeight="true" outlineLevel="0" collapsed="false">
      <c r="B65" s="248" t="s">
        <v>238</v>
      </c>
      <c r="C65" s="203"/>
      <c r="D65" s="203"/>
      <c r="E65" s="203"/>
      <c r="F65" s="204" t="s">
        <v>239</v>
      </c>
      <c r="G65" s="234" t="n">
        <v>6</v>
      </c>
      <c r="H65" s="235" t="n">
        <f aca="false">'Folha Rosto Comp. P. Unit. '!D7</f>
        <v>2.56</v>
      </c>
      <c r="I65" s="220"/>
      <c r="J65" s="220"/>
      <c r="K65" s="236" t="n">
        <f aca="false">ROUND(G65*H65,2)</f>
        <v>15.36</v>
      </c>
    </row>
    <row r="66" s="190" customFormat="true" ht="15" hidden="false" customHeight="true" outlineLevel="0" collapsed="false">
      <c r="B66" s="248"/>
      <c r="C66" s="203"/>
      <c r="D66" s="237" t="s">
        <v>241</v>
      </c>
      <c r="E66" s="203"/>
      <c r="F66" s="210"/>
      <c r="G66" s="266"/>
      <c r="H66" s="266"/>
      <c r="I66" s="251"/>
      <c r="J66" s="251"/>
      <c r="K66" s="267" t="n">
        <f aca="false">SUM(K63:K65)</f>
        <v>47.96</v>
      </c>
    </row>
    <row r="67" s="190" customFormat="true" ht="15" hidden="false" customHeight="true" outlineLevel="0" collapsed="false">
      <c r="B67" s="248" t="s">
        <v>220</v>
      </c>
      <c r="C67" s="203"/>
      <c r="D67" s="203"/>
      <c r="E67" s="203"/>
      <c r="F67" s="210"/>
      <c r="G67" s="268" t="n">
        <f aca="false">'Folha Rosto Comp. P. Unit. '!B4</f>
        <v>1.26</v>
      </c>
      <c r="H67" s="258"/>
      <c r="I67" s="257"/>
      <c r="J67" s="257"/>
      <c r="K67" s="259" t="n">
        <f aca="false">K66*G67</f>
        <v>60.4296</v>
      </c>
    </row>
    <row r="68" s="190" customFormat="true" ht="15" hidden="false" customHeight="true" outlineLevel="0" collapsed="false">
      <c r="B68" s="230"/>
      <c r="C68" s="231"/>
      <c r="D68" s="231"/>
      <c r="E68" s="231"/>
      <c r="F68" s="239"/>
      <c r="G68" s="269" t="s">
        <v>243</v>
      </c>
      <c r="H68" s="270"/>
      <c r="I68" s="271"/>
      <c r="J68" s="271"/>
      <c r="K68" s="272" t="n">
        <f aca="false">SUM(K66:K67)</f>
        <v>108.3896</v>
      </c>
    </row>
    <row r="69" s="190" customFormat="true" ht="15" hidden="false" customHeight="true" outlineLevel="0" collapsed="false">
      <c r="B69" s="273" t="s">
        <v>265</v>
      </c>
      <c r="C69" s="273"/>
      <c r="D69" s="273"/>
      <c r="E69" s="273"/>
      <c r="F69" s="243" t="s">
        <v>216</v>
      </c>
      <c r="G69" s="243" t="s">
        <v>244</v>
      </c>
      <c r="H69" s="243" t="s">
        <v>218</v>
      </c>
      <c r="I69" s="274" t="s">
        <v>219</v>
      </c>
      <c r="J69" s="231"/>
      <c r="K69" s="275"/>
      <c r="L69" s="276"/>
    </row>
    <row r="70" s="190" customFormat="true" ht="15" hidden="false" customHeight="true" outlineLevel="0" collapsed="false">
      <c r="B70" s="248" t="s">
        <v>266</v>
      </c>
      <c r="C70" s="203"/>
      <c r="D70" s="231"/>
      <c r="E70" s="231"/>
      <c r="F70" s="217" t="s">
        <v>267</v>
      </c>
      <c r="G70" s="235" t="n">
        <v>0.1</v>
      </c>
      <c r="H70" s="235" t="n">
        <v>58.9</v>
      </c>
      <c r="I70" s="277"/>
      <c r="J70" s="278"/>
      <c r="K70" s="236" t="n">
        <f aca="false">ROUND(G70*H70,2)</f>
        <v>5.89</v>
      </c>
      <c r="L70" s="279"/>
    </row>
    <row r="71" s="190" customFormat="true" ht="15" hidden="false" customHeight="true" outlineLevel="0" collapsed="false">
      <c r="B71" s="248" t="s">
        <v>268</v>
      </c>
      <c r="C71" s="203"/>
      <c r="D71" s="203"/>
      <c r="E71" s="203"/>
      <c r="F71" s="204" t="s">
        <v>267</v>
      </c>
      <c r="G71" s="235" t="n">
        <v>0.14</v>
      </c>
      <c r="H71" s="234" t="n">
        <v>41.5</v>
      </c>
      <c r="I71" s="219"/>
      <c r="J71" s="220"/>
      <c r="K71" s="236" t="n">
        <f aca="false">ROUND(G71*H71,2)</f>
        <v>5.81</v>
      </c>
      <c r="L71" s="279"/>
    </row>
    <row r="72" s="190" customFormat="true" ht="15" hidden="false" customHeight="true" outlineLevel="0" collapsed="false">
      <c r="B72" s="248" t="s">
        <v>269</v>
      </c>
      <c r="C72" s="203"/>
      <c r="D72" s="203"/>
      <c r="E72" s="203"/>
      <c r="F72" s="204" t="s">
        <v>256</v>
      </c>
      <c r="G72" s="235" t="n">
        <v>0.2</v>
      </c>
      <c r="H72" s="234" t="n">
        <v>4.5</v>
      </c>
      <c r="I72" s="219"/>
      <c r="J72" s="220"/>
      <c r="K72" s="236" t="n">
        <f aca="false">ROUND(G72*H72,2)</f>
        <v>0.9</v>
      </c>
      <c r="L72" s="279"/>
    </row>
    <row r="73" s="190" customFormat="true" ht="15" hidden="false" customHeight="true" outlineLevel="0" collapsed="false">
      <c r="B73" s="248" t="s">
        <v>270</v>
      </c>
      <c r="C73" s="203"/>
      <c r="D73" s="203"/>
      <c r="E73" s="203"/>
      <c r="F73" s="204" t="s">
        <v>271</v>
      </c>
      <c r="G73" s="235" t="n">
        <v>2</v>
      </c>
      <c r="H73" s="234" t="n">
        <v>54</v>
      </c>
      <c r="I73" s="219"/>
      <c r="J73" s="220"/>
      <c r="K73" s="236" t="n">
        <f aca="false">ROUND(G73*H73,2)</f>
        <v>108</v>
      </c>
      <c r="L73" s="279"/>
    </row>
    <row r="74" s="190" customFormat="true" ht="15" hidden="false" customHeight="true" outlineLevel="0" collapsed="false">
      <c r="B74" s="248" t="s">
        <v>272</v>
      </c>
      <c r="C74" s="203"/>
      <c r="D74" s="203"/>
      <c r="E74" s="203"/>
      <c r="F74" s="204" t="s">
        <v>246</v>
      </c>
      <c r="G74" s="235" t="n">
        <v>0.34</v>
      </c>
      <c r="H74" s="234" t="n">
        <v>86</v>
      </c>
      <c r="I74" s="219"/>
      <c r="J74" s="220"/>
      <c r="K74" s="236" t="n">
        <f aca="false">ROUND(G74*H74,2)</f>
        <v>29.24</v>
      </c>
    </row>
    <row r="75" s="190" customFormat="true" ht="15" hidden="false" customHeight="true" outlineLevel="0" collapsed="false">
      <c r="B75" s="230" t="s">
        <v>226</v>
      </c>
      <c r="C75" s="231"/>
      <c r="D75" s="231"/>
      <c r="E75" s="231"/>
      <c r="F75" s="239"/>
      <c r="G75" s="213" t="s">
        <v>227</v>
      </c>
      <c r="H75" s="214"/>
      <c r="I75" s="240"/>
      <c r="J75" s="240"/>
      <c r="K75" s="242" t="n">
        <f aca="false">SUM(K70:K74)</f>
        <v>149.84</v>
      </c>
    </row>
    <row r="76" s="190" customFormat="true" ht="15" hidden="false" customHeight="true" outlineLevel="0" collapsed="false">
      <c r="B76" s="230" t="s">
        <v>273</v>
      </c>
      <c r="C76" s="231"/>
      <c r="D76" s="231"/>
      <c r="E76" s="231"/>
      <c r="F76" s="239"/>
      <c r="G76" s="231"/>
      <c r="H76" s="239"/>
      <c r="I76" s="231"/>
      <c r="J76" s="231"/>
      <c r="K76" s="280" t="n">
        <f aca="false">SUM(K68+K75)</f>
        <v>258.2296</v>
      </c>
    </row>
    <row r="77" s="190" customFormat="true" ht="15" hidden="false" customHeight="true" outlineLevel="0" collapsed="false">
      <c r="B77" s="230" t="s">
        <v>229</v>
      </c>
      <c r="C77" s="231"/>
      <c r="D77" s="223" t="n">
        <f aca="false">'Folha Rosto Comp. P. Unit. '!B5</f>
        <v>0.3</v>
      </c>
      <c r="E77" s="231"/>
      <c r="F77" s="239"/>
      <c r="G77" s="231"/>
      <c r="H77" s="239"/>
      <c r="I77" s="231"/>
      <c r="J77" s="203"/>
      <c r="K77" s="222" t="n">
        <f aca="false">ROUND(K76*D77,2)</f>
        <v>77.47</v>
      </c>
    </row>
    <row r="78" s="190" customFormat="true" ht="15" hidden="false" customHeight="true" outlineLevel="0" collapsed="false">
      <c r="B78" s="224" t="s">
        <v>230</v>
      </c>
      <c r="C78" s="224"/>
      <c r="D78" s="224"/>
      <c r="E78" s="224"/>
      <c r="F78" s="224"/>
      <c r="G78" s="224"/>
      <c r="H78" s="224"/>
      <c r="I78" s="224"/>
      <c r="J78" s="224"/>
      <c r="K78" s="242" t="n">
        <f aca="false">SUM(K76:K77)</f>
        <v>335.6996</v>
      </c>
    </row>
    <row r="79" s="190" customFormat="true" ht="15" hidden="false" customHeight="true" outlineLevel="0" collapsed="false">
      <c r="B79" s="281"/>
      <c r="C79" s="282"/>
      <c r="D79" s="282"/>
      <c r="E79" s="282"/>
      <c r="F79" s="282"/>
      <c r="G79" s="282"/>
      <c r="H79" s="282"/>
      <c r="I79" s="282"/>
      <c r="J79" s="282"/>
      <c r="K79" s="283"/>
    </row>
    <row r="80" s="190" customFormat="true" ht="15" hidden="false" customHeight="true" outlineLevel="0" collapsed="false">
      <c r="B80" s="227" t="n">
        <v>5</v>
      </c>
      <c r="C80" s="198" t="s">
        <v>211</v>
      </c>
      <c r="D80" s="215" t="s">
        <v>274</v>
      </c>
      <c r="E80" s="215"/>
      <c r="F80" s="214"/>
      <c r="G80" s="215"/>
      <c r="H80" s="214"/>
      <c r="I80" s="228"/>
      <c r="J80" s="262" t="s">
        <v>213</v>
      </c>
      <c r="K80" s="263" t="s">
        <v>275</v>
      </c>
    </row>
    <row r="81" s="190" customFormat="true" ht="15" hidden="false" customHeight="true" outlineLevel="0" collapsed="false">
      <c r="B81" s="202" t="s">
        <v>215</v>
      </c>
      <c r="C81" s="203"/>
      <c r="D81" s="203"/>
      <c r="E81" s="264"/>
      <c r="F81" s="204" t="s">
        <v>216</v>
      </c>
      <c r="G81" s="204" t="s">
        <v>217</v>
      </c>
      <c r="H81" s="244" t="s">
        <v>276</v>
      </c>
      <c r="I81" s="205" t="s">
        <v>219</v>
      </c>
      <c r="J81" s="205"/>
      <c r="K81" s="205"/>
    </row>
    <row r="82" s="190" customFormat="true" ht="15" hidden="false" customHeight="true" outlineLevel="0" collapsed="false">
      <c r="B82" s="202" t="s">
        <v>240</v>
      </c>
      <c r="C82" s="203"/>
      <c r="D82" s="203"/>
      <c r="E82" s="203"/>
      <c r="F82" s="204" t="s">
        <v>239</v>
      </c>
      <c r="G82" s="234" t="n">
        <v>219.9</v>
      </c>
      <c r="H82" s="235" t="n">
        <f aca="false">'Folha Rosto Comp. P. Unit. '!D8</f>
        <v>1.64</v>
      </c>
      <c r="I82" s="220"/>
      <c r="J82" s="220"/>
      <c r="K82" s="236" t="n">
        <f aca="false">ROUND(G82*H82,2)</f>
        <v>360.64</v>
      </c>
    </row>
    <row r="83" s="190" customFormat="true" ht="15" hidden="false" customHeight="true" outlineLevel="0" collapsed="false">
      <c r="B83" s="202"/>
      <c r="C83" s="203"/>
      <c r="D83" s="237" t="s">
        <v>241</v>
      </c>
      <c r="E83" s="203"/>
      <c r="F83" s="204"/>
      <c r="G83" s="234"/>
      <c r="H83" s="234"/>
      <c r="I83" s="220"/>
      <c r="J83" s="220"/>
      <c r="K83" s="221" t="n">
        <f aca="false">SUM(K82)</f>
        <v>360.64</v>
      </c>
    </row>
    <row r="84" s="190" customFormat="true" ht="15" hidden="false" customHeight="true" outlineLevel="0" collapsed="false">
      <c r="B84" s="202" t="s">
        <v>220</v>
      </c>
      <c r="C84" s="203"/>
      <c r="D84" s="203"/>
      <c r="E84" s="203"/>
      <c r="F84" s="204"/>
      <c r="G84" s="238" t="n">
        <f aca="false">'Folha Rosto Comp. P. Unit. '!B4</f>
        <v>1.26</v>
      </c>
      <c r="H84" s="204"/>
      <c r="I84" s="203"/>
      <c r="J84" s="203"/>
      <c r="K84" s="221" t="n">
        <f aca="false">K83*G84</f>
        <v>454.4064</v>
      </c>
    </row>
    <row r="85" s="190" customFormat="true" ht="15" hidden="false" customHeight="true" outlineLevel="0" collapsed="false">
      <c r="B85" s="230"/>
      <c r="C85" s="231"/>
      <c r="D85" s="231"/>
      <c r="E85" s="231"/>
      <c r="F85" s="239"/>
      <c r="G85" s="213" t="s">
        <v>243</v>
      </c>
      <c r="H85" s="214"/>
      <c r="I85" s="240"/>
      <c r="J85" s="240"/>
      <c r="K85" s="242" t="n">
        <f aca="false">SUM(K83:K84)</f>
        <v>815.0464</v>
      </c>
    </row>
    <row r="86" s="190" customFormat="true" ht="15" hidden="false" customHeight="true" outlineLevel="0" collapsed="false">
      <c r="B86" s="273" t="s">
        <v>277</v>
      </c>
      <c r="C86" s="273"/>
      <c r="D86" s="273"/>
      <c r="E86" s="273"/>
      <c r="F86" s="217" t="s">
        <v>216</v>
      </c>
      <c r="G86" s="243" t="s">
        <v>244</v>
      </c>
      <c r="H86" s="243" t="s">
        <v>218</v>
      </c>
      <c r="I86" s="284" t="s">
        <v>219</v>
      </c>
      <c r="J86" s="284"/>
      <c r="K86" s="284"/>
    </row>
    <row r="87" s="190" customFormat="true" ht="15" hidden="false" customHeight="true" outlineLevel="0" collapsed="false">
      <c r="B87" s="202"/>
      <c r="C87" s="203"/>
      <c r="D87" s="231"/>
      <c r="E87" s="231"/>
      <c r="F87" s="217"/>
      <c r="G87" s="235"/>
      <c r="H87" s="235"/>
      <c r="I87" s="277"/>
      <c r="J87" s="278"/>
      <c r="K87" s="236"/>
    </row>
    <row r="88" s="190" customFormat="true" ht="15" hidden="false" customHeight="true" outlineLevel="0" collapsed="false">
      <c r="B88" s="202"/>
      <c r="C88" s="203"/>
      <c r="D88" s="203"/>
      <c r="E88" s="203"/>
      <c r="F88" s="204"/>
      <c r="G88" s="235"/>
      <c r="H88" s="234"/>
      <c r="I88" s="219"/>
      <c r="J88" s="220"/>
      <c r="K88" s="236"/>
    </row>
    <row r="89" s="190" customFormat="true" ht="15" hidden="false" customHeight="true" outlineLevel="0" collapsed="false">
      <c r="B89" s="202"/>
      <c r="C89" s="203"/>
      <c r="D89" s="203"/>
      <c r="E89" s="203"/>
      <c r="F89" s="204"/>
      <c r="G89" s="235"/>
      <c r="H89" s="234"/>
      <c r="I89" s="219"/>
      <c r="J89" s="220"/>
      <c r="K89" s="236"/>
    </row>
    <row r="90" s="190" customFormat="true" ht="15" hidden="false" customHeight="true" outlineLevel="0" collapsed="false">
      <c r="B90" s="202"/>
      <c r="C90" s="203"/>
      <c r="D90" s="203"/>
      <c r="E90" s="203"/>
      <c r="F90" s="204"/>
      <c r="G90" s="235"/>
      <c r="H90" s="234"/>
      <c r="I90" s="219"/>
      <c r="J90" s="220"/>
      <c r="K90" s="236"/>
    </row>
    <row r="91" s="190" customFormat="true" ht="15" hidden="false" customHeight="true" outlineLevel="0" collapsed="false">
      <c r="B91" s="230"/>
      <c r="C91" s="231"/>
      <c r="D91" s="231"/>
      <c r="E91" s="231"/>
      <c r="F91" s="239"/>
      <c r="G91" s="213" t="s">
        <v>278</v>
      </c>
      <c r="H91" s="214"/>
      <c r="I91" s="240"/>
      <c r="J91" s="240"/>
      <c r="K91" s="242"/>
    </row>
    <row r="92" s="190" customFormat="true" ht="15" hidden="false" customHeight="true" outlineLevel="0" collapsed="false">
      <c r="B92" s="230" t="s">
        <v>273</v>
      </c>
      <c r="C92" s="231"/>
      <c r="D92" s="231"/>
      <c r="E92" s="231"/>
      <c r="F92" s="239"/>
      <c r="G92" s="231"/>
      <c r="H92" s="239"/>
      <c r="I92" s="231"/>
      <c r="J92" s="231"/>
      <c r="K92" s="280" t="n">
        <f aca="false">SUM(K85,K91)</f>
        <v>815.0464</v>
      </c>
    </row>
    <row r="93" s="190" customFormat="true" ht="15" hidden="false" customHeight="true" outlineLevel="0" collapsed="false">
      <c r="B93" s="230" t="s">
        <v>229</v>
      </c>
      <c r="C93" s="231"/>
      <c r="D93" s="223" t="n">
        <f aca="false">'Folha Rosto Comp. P. Unit. '!B5</f>
        <v>0.3</v>
      </c>
      <c r="E93" s="231"/>
      <c r="F93" s="239"/>
      <c r="G93" s="231"/>
      <c r="H93" s="239"/>
      <c r="I93" s="231"/>
      <c r="J93" s="203"/>
      <c r="K93" s="222" t="n">
        <f aca="false">ROUND(K92*D93,2)</f>
        <v>244.51</v>
      </c>
    </row>
    <row r="94" s="190" customFormat="true" ht="15" hidden="false" customHeight="true" outlineLevel="0" collapsed="false">
      <c r="B94" s="224" t="s">
        <v>230</v>
      </c>
      <c r="C94" s="224"/>
      <c r="D94" s="224"/>
      <c r="E94" s="224"/>
      <c r="F94" s="224"/>
      <c r="G94" s="224"/>
      <c r="H94" s="224"/>
      <c r="I94" s="224"/>
      <c r="J94" s="224"/>
      <c r="K94" s="242" t="n">
        <f aca="false">SUM(K92:K93)-0.01</f>
        <v>1059.5464</v>
      </c>
    </row>
    <row r="95" s="190" customFormat="true" ht="15" hidden="false" customHeight="true" outlineLevel="0" collapsed="false">
      <c r="B95" s="281"/>
      <c r="C95" s="282"/>
      <c r="D95" s="282"/>
      <c r="E95" s="282"/>
      <c r="F95" s="282"/>
      <c r="G95" s="282"/>
      <c r="H95" s="282"/>
      <c r="I95" s="282"/>
      <c r="J95" s="282"/>
      <c r="K95" s="283"/>
    </row>
    <row r="96" s="190" customFormat="true" ht="15" hidden="false" customHeight="true" outlineLevel="0" collapsed="false">
      <c r="B96" s="227" t="n">
        <v>6</v>
      </c>
      <c r="C96" s="198" t="s">
        <v>211</v>
      </c>
      <c r="D96" s="215" t="s">
        <v>279</v>
      </c>
      <c r="E96" s="215"/>
      <c r="F96" s="214"/>
      <c r="G96" s="215"/>
      <c r="H96" s="214"/>
      <c r="I96" s="285"/>
      <c r="J96" s="286" t="s">
        <v>213</v>
      </c>
      <c r="K96" s="287" t="s">
        <v>280</v>
      </c>
    </row>
    <row r="97" s="190" customFormat="true" ht="15" hidden="false" customHeight="true" outlineLevel="0" collapsed="false">
      <c r="B97" s="260" t="s">
        <v>215</v>
      </c>
      <c r="C97" s="257"/>
      <c r="D97" s="257"/>
      <c r="E97" s="288"/>
      <c r="F97" s="289" t="s">
        <v>216</v>
      </c>
      <c r="G97" s="289" t="s">
        <v>217</v>
      </c>
      <c r="H97" s="290" t="s">
        <v>218</v>
      </c>
      <c r="I97" s="291" t="s">
        <v>219</v>
      </c>
      <c r="J97" s="291"/>
      <c r="K97" s="291"/>
    </row>
    <row r="98" s="190" customFormat="true" ht="15" hidden="false" customHeight="true" outlineLevel="0" collapsed="false">
      <c r="B98" s="292" t="s">
        <v>281</v>
      </c>
      <c r="C98" s="293"/>
      <c r="D98" s="293"/>
      <c r="E98" s="293"/>
      <c r="F98" s="294" t="s">
        <v>239</v>
      </c>
      <c r="G98" s="295" t="n">
        <f aca="false">219.9/4</f>
        <v>54.975</v>
      </c>
      <c r="H98" s="296" t="n">
        <v>13.65</v>
      </c>
      <c r="I98" s="297"/>
      <c r="J98" s="297"/>
      <c r="K98" s="298" t="n">
        <f aca="false">H98*G98</f>
        <v>750.40875</v>
      </c>
    </row>
    <row r="99" s="190" customFormat="true" ht="15" hidden="false" customHeight="true" outlineLevel="0" collapsed="false">
      <c r="B99" s="202" t="s">
        <v>282</v>
      </c>
      <c r="C99" s="203"/>
      <c r="D99" s="203"/>
      <c r="E99" s="203"/>
      <c r="F99" s="204" t="s">
        <v>239</v>
      </c>
      <c r="G99" s="234" t="n">
        <v>219.9</v>
      </c>
      <c r="H99" s="299" t="n">
        <f aca="false">7.45*1.1029</f>
        <v>8.216605</v>
      </c>
      <c r="I99" s="300"/>
      <c r="J99" s="300"/>
      <c r="K99" s="301" t="n">
        <f aca="false">H99*G99</f>
        <v>1806.8314395</v>
      </c>
    </row>
    <row r="100" s="190" customFormat="true" ht="15" hidden="false" customHeight="true" outlineLevel="0" collapsed="false">
      <c r="B100" s="202" t="s">
        <v>283</v>
      </c>
      <c r="C100" s="203"/>
      <c r="D100" s="237"/>
      <c r="E100" s="203"/>
      <c r="F100" s="204" t="s">
        <v>239</v>
      </c>
      <c r="G100" s="234" t="n">
        <v>219.9</v>
      </c>
      <c r="H100" s="207" t="n">
        <f aca="false">4.5*1.1029</f>
        <v>4.96305</v>
      </c>
      <c r="I100" s="300"/>
      <c r="J100" s="300"/>
      <c r="K100" s="301" t="n">
        <f aca="false">H100*G100</f>
        <v>1091.374695</v>
      </c>
    </row>
    <row r="101" s="190" customFormat="true" ht="15" hidden="false" customHeight="true" outlineLevel="0" collapsed="false">
      <c r="B101" s="202" t="s">
        <v>284</v>
      </c>
      <c r="C101" s="203"/>
      <c r="D101" s="237"/>
      <c r="E101" s="203"/>
      <c r="F101" s="204" t="s">
        <v>239</v>
      </c>
      <c r="G101" s="234" t="n">
        <v>219.9</v>
      </c>
      <c r="H101" s="207" t="n">
        <f aca="false">1.59*1.1029</f>
        <v>1.753611</v>
      </c>
      <c r="I101" s="300"/>
      <c r="J101" s="300"/>
      <c r="K101" s="301" t="n">
        <f aca="false">H101*G101</f>
        <v>385.6190589</v>
      </c>
    </row>
    <row r="102" s="190" customFormat="true" ht="15" hidden="false" customHeight="true" outlineLevel="0" collapsed="false">
      <c r="B102" s="202"/>
      <c r="C102" s="203"/>
      <c r="D102" s="237" t="s">
        <v>241</v>
      </c>
      <c r="E102" s="203"/>
      <c r="F102" s="204"/>
      <c r="G102" s="234"/>
      <c r="H102" s="207"/>
      <c r="I102" s="300"/>
      <c r="J102" s="300"/>
      <c r="K102" s="301" t="n">
        <f aca="false">SUM(K98:K101)</f>
        <v>4034.2339434</v>
      </c>
    </row>
    <row r="103" s="190" customFormat="true" ht="15" hidden="false" customHeight="true" outlineLevel="0" collapsed="false">
      <c r="B103" s="202"/>
      <c r="C103" s="203"/>
      <c r="D103" s="203"/>
      <c r="E103" s="203"/>
      <c r="F103" s="204"/>
      <c r="G103" s="238" t="n">
        <v>0.8</v>
      </c>
      <c r="H103" s="210"/>
      <c r="I103" s="302"/>
      <c r="J103" s="302"/>
      <c r="K103" s="301" t="n">
        <f aca="false">K102*G103</f>
        <v>3227.38715472</v>
      </c>
    </row>
    <row r="104" s="190" customFormat="true" ht="15" hidden="false" customHeight="true" outlineLevel="0" collapsed="false">
      <c r="B104" s="230"/>
      <c r="C104" s="231"/>
      <c r="D104" s="231"/>
      <c r="E104" s="231"/>
      <c r="F104" s="239"/>
      <c r="G104" s="213" t="s">
        <v>243</v>
      </c>
      <c r="H104" s="214"/>
      <c r="I104" s="271"/>
      <c r="J104" s="271"/>
      <c r="K104" s="272" t="n">
        <f aca="false">SUM(K100:K103)</f>
        <v>8738.61485202</v>
      </c>
    </row>
    <row r="105" s="190" customFormat="true" ht="15" hidden="false" customHeight="true" outlineLevel="0" collapsed="false">
      <c r="B105" s="273" t="s">
        <v>277</v>
      </c>
      <c r="C105" s="273"/>
      <c r="D105" s="273"/>
      <c r="E105" s="273"/>
      <c r="F105" s="217" t="s">
        <v>216</v>
      </c>
      <c r="G105" s="303" t="s">
        <v>244</v>
      </c>
      <c r="H105" s="303" t="s">
        <v>218</v>
      </c>
      <c r="I105" s="304" t="s">
        <v>219</v>
      </c>
      <c r="J105" s="304"/>
      <c r="K105" s="304"/>
    </row>
    <row r="106" s="190" customFormat="true" ht="15" hidden="false" customHeight="true" outlineLevel="0" collapsed="false">
      <c r="B106" s="202"/>
      <c r="C106" s="203"/>
      <c r="D106" s="203"/>
      <c r="E106" s="203"/>
      <c r="F106" s="204"/>
      <c r="G106" s="234"/>
      <c r="H106" s="234"/>
      <c r="I106" s="219"/>
      <c r="J106" s="220"/>
      <c r="K106" s="221"/>
    </row>
    <row r="107" s="190" customFormat="true" ht="15" hidden="false" customHeight="true" outlineLevel="0" collapsed="false">
      <c r="B107" s="202"/>
      <c r="C107" s="203"/>
      <c r="D107" s="203"/>
      <c r="E107" s="203"/>
      <c r="F107" s="204"/>
      <c r="G107" s="250"/>
      <c r="H107" s="250"/>
      <c r="I107" s="305"/>
      <c r="J107" s="251"/>
      <c r="K107" s="252"/>
    </row>
    <row r="108" s="190" customFormat="true" ht="15" hidden="false" customHeight="true" outlineLevel="0" collapsed="false">
      <c r="B108" s="202"/>
      <c r="C108" s="203"/>
      <c r="D108" s="203"/>
      <c r="E108" s="203"/>
      <c r="F108" s="210"/>
      <c r="G108" s="213" t="s">
        <v>278</v>
      </c>
      <c r="H108" s="306"/>
      <c r="I108" s="307"/>
      <c r="J108" s="308"/>
      <c r="K108" s="309"/>
    </row>
    <row r="109" s="190" customFormat="true" ht="15" hidden="false" customHeight="true" outlineLevel="0" collapsed="false">
      <c r="B109" s="230" t="s">
        <v>273</v>
      </c>
      <c r="C109" s="231"/>
      <c r="D109" s="231"/>
      <c r="E109" s="231"/>
      <c r="F109" s="239"/>
      <c r="G109" s="203"/>
      <c r="H109" s="212"/>
      <c r="I109" s="203"/>
      <c r="J109" s="203"/>
      <c r="K109" s="222" t="n">
        <f aca="false">SUM(K108,K104)</f>
        <v>8738.61485202</v>
      </c>
    </row>
    <row r="110" s="190" customFormat="true" ht="15" hidden="false" customHeight="true" outlineLevel="0" collapsed="false">
      <c r="B110" s="230" t="s">
        <v>229</v>
      </c>
      <c r="C110" s="231"/>
      <c r="D110" s="223" t="n">
        <f aca="false">'Folha Rosto Comp. P. Unit. '!B5</f>
        <v>0.3</v>
      </c>
      <c r="E110" s="231"/>
      <c r="F110" s="239"/>
      <c r="G110" s="231"/>
      <c r="H110" s="239"/>
      <c r="I110" s="231"/>
      <c r="J110" s="203"/>
      <c r="K110" s="222" t="n">
        <f aca="false">ROUND(K109*D110,2)</f>
        <v>2621.58</v>
      </c>
    </row>
    <row r="111" s="190" customFormat="true" ht="15" hidden="false" customHeight="true" outlineLevel="0" collapsed="false">
      <c r="B111" s="224" t="s">
        <v>230</v>
      </c>
      <c r="C111" s="224"/>
      <c r="D111" s="224"/>
      <c r="E111" s="224"/>
      <c r="F111" s="224"/>
      <c r="G111" s="224"/>
      <c r="H111" s="224"/>
      <c r="I111" s="224"/>
      <c r="J111" s="224"/>
      <c r="K111" s="242" t="n">
        <f aca="false">SUM(K109:K110)</f>
        <v>11360.19485202</v>
      </c>
    </row>
    <row r="112" s="190" customFormat="true" ht="15" hidden="false" customHeight="true" outlineLevel="0" collapsed="false">
      <c r="B112" s="285"/>
      <c r="C112" s="310"/>
      <c r="D112" s="310"/>
      <c r="E112" s="310"/>
      <c r="F112" s="282"/>
      <c r="G112" s="310"/>
      <c r="H112" s="282"/>
      <c r="I112" s="311"/>
      <c r="J112" s="311"/>
      <c r="K112" s="312"/>
    </row>
    <row r="113" s="190" customFormat="true" ht="15" hidden="false" customHeight="true" outlineLevel="0" collapsed="false">
      <c r="B113" s="227" t="n">
        <v>7</v>
      </c>
      <c r="C113" s="198" t="s">
        <v>211</v>
      </c>
      <c r="D113" s="215" t="s">
        <v>285</v>
      </c>
      <c r="E113" s="215"/>
      <c r="F113" s="281"/>
      <c r="G113" s="215"/>
      <c r="H113" s="214"/>
      <c r="I113" s="228"/>
      <c r="J113" s="200" t="s">
        <v>213</v>
      </c>
      <c r="K113" s="263" t="s">
        <v>214</v>
      </c>
    </row>
    <row r="114" s="190" customFormat="true" ht="15" hidden="false" customHeight="true" outlineLevel="0" collapsed="false">
      <c r="B114" s="202" t="s">
        <v>215</v>
      </c>
      <c r="C114" s="203"/>
      <c r="D114" s="203"/>
      <c r="E114" s="203"/>
      <c r="F114" s="217" t="s">
        <v>216</v>
      </c>
      <c r="G114" s="313" t="s">
        <v>217</v>
      </c>
      <c r="H114" s="244" t="s">
        <v>218</v>
      </c>
      <c r="I114" s="205" t="s">
        <v>219</v>
      </c>
      <c r="J114" s="205"/>
      <c r="K114" s="205"/>
    </row>
    <row r="115" s="190" customFormat="true" ht="15" hidden="false" customHeight="true" outlineLevel="0" collapsed="false">
      <c r="B115" s="202" t="s">
        <v>286</v>
      </c>
      <c r="C115" s="203"/>
      <c r="D115" s="203"/>
      <c r="E115" s="203"/>
      <c r="F115" s="204" t="s">
        <v>214</v>
      </c>
      <c r="G115" s="314" t="n">
        <v>1</v>
      </c>
      <c r="H115" s="315" t="n">
        <v>300</v>
      </c>
      <c r="I115" s="220"/>
      <c r="J115" s="220"/>
      <c r="K115" s="236" t="n">
        <f aca="false">ROUND(G115*H115,2)</f>
        <v>300</v>
      </c>
    </row>
    <row r="116" s="190" customFormat="true" ht="15" hidden="false" customHeight="true" outlineLevel="0" collapsed="false">
      <c r="B116" s="202" t="s">
        <v>287</v>
      </c>
      <c r="C116" s="203"/>
      <c r="D116" s="203"/>
      <c r="E116" s="203"/>
      <c r="F116" s="204" t="s">
        <v>214</v>
      </c>
      <c r="G116" s="314" t="n">
        <v>1</v>
      </c>
      <c r="H116" s="235" t="n">
        <v>300</v>
      </c>
      <c r="I116" s="220"/>
      <c r="J116" s="220"/>
      <c r="K116" s="236" t="n">
        <f aca="false">ROUND(G116*H116,2)</f>
        <v>300</v>
      </c>
    </row>
    <row r="117" s="190" customFormat="true" ht="15" hidden="false" customHeight="true" outlineLevel="0" collapsed="false">
      <c r="B117" s="202" t="s">
        <v>288</v>
      </c>
      <c r="C117" s="203"/>
      <c r="D117" s="203"/>
      <c r="E117" s="203"/>
      <c r="F117" s="204" t="s">
        <v>214</v>
      </c>
      <c r="G117" s="314" t="n">
        <v>1</v>
      </c>
      <c r="H117" s="234" t="n">
        <v>200</v>
      </c>
      <c r="I117" s="220"/>
      <c r="J117" s="220"/>
      <c r="K117" s="236" t="n">
        <f aca="false">ROUND(G117*H117,2)</f>
        <v>200</v>
      </c>
    </row>
    <row r="118" s="190" customFormat="true" ht="15" hidden="false" customHeight="true" outlineLevel="0" collapsed="false">
      <c r="B118" s="202" t="s">
        <v>289</v>
      </c>
      <c r="C118" s="203"/>
      <c r="D118" s="203"/>
      <c r="E118" s="203"/>
      <c r="F118" s="204" t="s">
        <v>214</v>
      </c>
      <c r="G118" s="314" t="n">
        <v>1</v>
      </c>
      <c r="H118" s="266" t="n">
        <v>400</v>
      </c>
      <c r="I118" s="251"/>
      <c r="J118" s="251"/>
      <c r="K118" s="236" t="n">
        <f aca="false">ROUND(G118*H118,2)</f>
        <v>400</v>
      </c>
    </row>
    <row r="119" s="190" customFormat="true" ht="15" hidden="false" customHeight="true" outlineLevel="0" collapsed="false">
      <c r="B119" s="230"/>
      <c r="C119" s="231"/>
      <c r="D119" s="231"/>
      <c r="E119" s="231"/>
      <c r="F119" s="217"/>
      <c r="G119" s="215" t="s">
        <v>243</v>
      </c>
      <c r="H119" s="214"/>
      <c r="I119" s="240"/>
      <c r="J119" s="240"/>
      <c r="K119" s="242" t="n">
        <f aca="false">SUM(K115:K118)</f>
        <v>1200</v>
      </c>
    </row>
    <row r="120" s="190" customFormat="true" ht="15" hidden="false" customHeight="true" outlineLevel="0" collapsed="false">
      <c r="B120" s="316" t="s">
        <v>277</v>
      </c>
      <c r="C120" s="316"/>
      <c r="D120" s="316"/>
      <c r="E120" s="316"/>
      <c r="F120" s="243" t="s">
        <v>216</v>
      </c>
      <c r="G120" s="317" t="s">
        <v>244</v>
      </c>
      <c r="H120" s="243" t="s">
        <v>218</v>
      </c>
      <c r="I120" s="218" t="s">
        <v>219</v>
      </c>
      <c r="J120" s="218"/>
      <c r="K120" s="218"/>
    </row>
    <row r="121" s="190" customFormat="true" ht="15" hidden="false" customHeight="true" outlineLevel="0" collapsed="false">
      <c r="B121" s="202"/>
      <c r="C121" s="203"/>
      <c r="D121" s="231"/>
      <c r="E121" s="231"/>
      <c r="F121" s="217"/>
      <c r="G121" s="232"/>
      <c r="H121" s="318"/>
      <c r="I121" s="319"/>
      <c r="J121" s="320"/>
      <c r="K121" s="236" t="n">
        <f aca="false">ROUND(G121*H121,2)</f>
        <v>0</v>
      </c>
    </row>
    <row r="122" s="190" customFormat="true" ht="15" hidden="false" customHeight="true" outlineLevel="0" collapsed="false">
      <c r="B122" s="230" t="s">
        <v>226</v>
      </c>
      <c r="C122" s="231"/>
      <c r="D122" s="231"/>
      <c r="E122" s="231"/>
      <c r="F122" s="239"/>
      <c r="G122" s="213" t="s">
        <v>227</v>
      </c>
      <c r="H122" s="214"/>
      <c r="I122" s="240"/>
      <c r="J122" s="240"/>
      <c r="K122" s="242" t="n">
        <f aca="false">SUM(K121:K121)</f>
        <v>0</v>
      </c>
    </row>
    <row r="123" s="190" customFormat="true" ht="15" hidden="false" customHeight="true" outlineLevel="0" collapsed="false">
      <c r="B123" s="230" t="s">
        <v>273</v>
      </c>
      <c r="C123" s="231"/>
      <c r="D123" s="231"/>
      <c r="E123" s="231"/>
      <c r="F123" s="239"/>
      <c r="G123" s="231"/>
      <c r="H123" s="239"/>
      <c r="I123" s="231"/>
      <c r="J123" s="231"/>
      <c r="K123" s="280" t="n">
        <f aca="false">SUM(K119+K122)</f>
        <v>1200</v>
      </c>
    </row>
    <row r="124" s="190" customFormat="true" ht="15" hidden="false" customHeight="true" outlineLevel="0" collapsed="false">
      <c r="B124" s="230" t="s">
        <v>229</v>
      </c>
      <c r="C124" s="231"/>
      <c r="D124" s="223" t="n">
        <f aca="false">'Folha Rosto Comp. P. Unit. '!B5</f>
        <v>0.3</v>
      </c>
      <c r="E124" s="231"/>
      <c r="F124" s="239"/>
      <c r="G124" s="231"/>
      <c r="H124" s="239"/>
      <c r="I124" s="231"/>
      <c r="J124" s="203"/>
      <c r="K124" s="222" t="n">
        <f aca="false">ROUND(K123*D124,2)</f>
        <v>360</v>
      </c>
    </row>
    <row r="125" s="190" customFormat="true" ht="15" hidden="false" customHeight="true" outlineLevel="0" collapsed="false">
      <c r="B125" s="224" t="s">
        <v>290</v>
      </c>
      <c r="C125" s="224"/>
      <c r="D125" s="224"/>
      <c r="E125" s="224"/>
      <c r="F125" s="224"/>
      <c r="G125" s="224"/>
      <c r="H125" s="224"/>
      <c r="I125" s="224"/>
      <c r="J125" s="224"/>
      <c r="K125" s="242" t="n">
        <f aca="false">SUM(K123:K124)</f>
        <v>1560</v>
      </c>
    </row>
    <row r="126" s="190" customFormat="true" ht="15" hidden="false" customHeight="true" outlineLevel="0" collapsed="false">
      <c r="B126" s="310"/>
      <c r="C126" s="310"/>
      <c r="D126" s="215"/>
      <c r="E126" s="310"/>
      <c r="F126" s="282"/>
      <c r="G126" s="310"/>
      <c r="H126" s="282"/>
      <c r="I126" s="311"/>
      <c r="J126" s="311"/>
      <c r="K126" s="312"/>
    </row>
    <row r="127" s="190" customFormat="true" ht="15" hidden="false" customHeight="true" outlineLevel="0" collapsed="false"/>
    <row r="128" s="190" customFormat="true" ht="15" hidden="false" customHeight="true" outlineLevel="0" collapsed="false">
      <c r="B128" s="227" t="n">
        <v>8</v>
      </c>
      <c r="C128" s="321" t="s">
        <v>211</v>
      </c>
      <c r="D128" s="322" t="s">
        <v>291</v>
      </c>
      <c r="E128" s="322"/>
      <c r="F128" s="322"/>
      <c r="G128" s="322"/>
      <c r="H128" s="322"/>
      <c r="I128" s="322"/>
      <c r="J128" s="323" t="s">
        <v>213</v>
      </c>
      <c r="K128" s="324" t="s">
        <v>292</v>
      </c>
    </row>
    <row r="129" s="190" customFormat="true" ht="15" hidden="false" customHeight="true" outlineLevel="0" collapsed="false">
      <c r="B129" s="325" t="s">
        <v>215</v>
      </c>
      <c r="C129" s="326"/>
      <c r="D129" s="208"/>
      <c r="E129" s="264"/>
      <c r="F129" s="204" t="s">
        <v>216</v>
      </c>
      <c r="G129" s="204" t="s">
        <v>217</v>
      </c>
      <c r="H129" s="204" t="s">
        <v>276</v>
      </c>
      <c r="I129" s="205" t="s">
        <v>219</v>
      </c>
      <c r="J129" s="205"/>
      <c r="K129" s="205"/>
    </row>
    <row r="130" s="190" customFormat="true" ht="15" hidden="false" customHeight="true" outlineLevel="0" collapsed="false">
      <c r="B130" s="202" t="s">
        <v>293</v>
      </c>
      <c r="C130" s="203"/>
      <c r="D130" s="203"/>
      <c r="E130" s="203"/>
      <c r="F130" s="204" t="s">
        <v>239</v>
      </c>
      <c r="G130" s="327" t="n">
        <v>0.026</v>
      </c>
      <c r="H130" s="315" t="n">
        <f aca="false">'Folha Rosto Comp. P. Unit. '!D9</f>
        <v>2.81</v>
      </c>
      <c r="I130" s="219"/>
      <c r="J130" s="220"/>
      <c r="K130" s="236" t="n">
        <f aca="false">ROUND(G130*H130,2)</f>
        <v>0.07</v>
      </c>
    </row>
    <row r="131" s="190" customFormat="true" ht="15" hidden="false" customHeight="true" outlineLevel="0" collapsed="false">
      <c r="B131" s="202" t="s">
        <v>294</v>
      </c>
      <c r="C131" s="203"/>
      <c r="D131" s="203"/>
      <c r="E131" s="203"/>
      <c r="F131" s="204" t="s">
        <v>239</v>
      </c>
      <c r="G131" s="327" t="n">
        <v>0.026</v>
      </c>
      <c r="H131" s="235" t="n">
        <f aca="false">'Folha Rosto Comp. P. Unit. '!D10</f>
        <v>1.9</v>
      </c>
      <c r="I131" s="219"/>
      <c r="J131" s="220"/>
      <c r="K131" s="236" t="n">
        <f aca="false">ROUND(G131*H131,2)</f>
        <v>0.05</v>
      </c>
    </row>
    <row r="132" s="190" customFormat="true" ht="15" hidden="false" customHeight="true" outlineLevel="0" collapsed="false">
      <c r="B132" s="202" t="s">
        <v>238</v>
      </c>
      <c r="C132" s="203"/>
      <c r="D132" s="203"/>
      <c r="E132" s="203"/>
      <c r="F132" s="204" t="s">
        <v>239</v>
      </c>
      <c r="G132" s="298" t="n">
        <v>0.09</v>
      </c>
      <c r="H132" s="234" t="n">
        <f aca="false">'Folha Rosto Comp. P. Unit. '!D7</f>
        <v>2.56</v>
      </c>
      <c r="I132" s="219"/>
      <c r="J132" s="220"/>
      <c r="K132" s="236" t="n">
        <f aca="false">ROUND(G132*H132,2)</f>
        <v>0.23</v>
      </c>
    </row>
    <row r="133" s="190" customFormat="true" ht="15" hidden="false" customHeight="true" outlineLevel="0" collapsed="false">
      <c r="B133" s="202" t="s">
        <v>295</v>
      </c>
      <c r="C133" s="203"/>
      <c r="D133" s="203"/>
      <c r="E133" s="203"/>
      <c r="F133" s="204" t="s">
        <v>239</v>
      </c>
      <c r="G133" s="298" t="n">
        <v>0.07</v>
      </c>
      <c r="H133" s="234" t="n">
        <f aca="false">'Folha Rosto Comp. P. Unit. '!D8</f>
        <v>1.64</v>
      </c>
      <c r="I133" s="219"/>
      <c r="J133" s="220"/>
      <c r="K133" s="221" t="n">
        <f aca="false">ROUND(G133*H133,2)</f>
        <v>0.11</v>
      </c>
    </row>
    <row r="134" s="190" customFormat="true" ht="15" hidden="false" customHeight="true" outlineLevel="0" collapsed="false">
      <c r="B134" s="202"/>
      <c r="C134" s="203"/>
      <c r="D134" s="237" t="s">
        <v>241</v>
      </c>
      <c r="E134" s="203"/>
      <c r="F134" s="204"/>
      <c r="G134" s="298"/>
      <c r="H134" s="234"/>
      <c r="I134" s="219"/>
      <c r="J134" s="220"/>
      <c r="K134" s="221" t="n">
        <f aca="false">SUM(K130:K133)</f>
        <v>0.46</v>
      </c>
    </row>
    <row r="135" s="190" customFormat="true" ht="15" hidden="false" customHeight="true" outlineLevel="0" collapsed="false">
      <c r="B135" s="202" t="s">
        <v>220</v>
      </c>
      <c r="C135" s="203"/>
      <c r="D135" s="203"/>
      <c r="E135" s="203"/>
      <c r="F135" s="204"/>
      <c r="G135" s="328" t="n">
        <f aca="false">'Folha Rosto Comp. P. Unit. '!B4</f>
        <v>1.26</v>
      </c>
      <c r="H135" s="204"/>
      <c r="I135" s="208"/>
      <c r="J135" s="203"/>
      <c r="K135" s="236" t="n">
        <f aca="false">K134*G135</f>
        <v>0.5796</v>
      </c>
    </row>
    <row r="136" s="190" customFormat="true" ht="15" hidden="false" customHeight="true" outlineLevel="0" collapsed="false">
      <c r="B136" s="230"/>
      <c r="C136" s="231"/>
      <c r="D136" s="231"/>
      <c r="E136" s="231"/>
      <c r="F136" s="239"/>
      <c r="G136" s="213" t="s">
        <v>243</v>
      </c>
      <c r="H136" s="214"/>
      <c r="I136" s="215"/>
      <c r="J136" s="215"/>
      <c r="K136" s="242" t="n">
        <f aca="false">SUM(K134:K135)</f>
        <v>1.0396</v>
      </c>
    </row>
    <row r="137" s="190" customFormat="true" ht="15" hidden="false" customHeight="true" outlineLevel="0" collapsed="false">
      <c r="B137" s="273" t="s">
        <v>265</v>
      </c>
      <c r="C137" s="273"/>
      <c r="D137" s="273"/>
      <c r="E137" s="273"/>
      <c r="F137" s="217" t="s">
        <v>216</v>
      </c>
      <c r="G137" s="217" t="s">
        <v>296</v>
      </c>
      <c r="H137" s="217" t="s">
        <v>218</v>
      </c>
      <c r="I137" s="218" t="s">
        <v>219</v>
      </c>
      <c r="J137" s="218"/>
      <c r="K137" s="218"/>
    </row>
    <row r="138" s="190" customFormat="true" ht="15" hidden="false" customHeight="true" outlineLevel="0" collapsed="false">
      <c r="B138" s="202" t="s">
        <v>297</v>
      </c>
      <c r="C138" s="203"/>
      <c r="D138" s="231"/>
      <c r="E138" s="231"/>
      <c r="F138" s="217" t="s">
        <v>246</v>
      </c>
      <c r="G138" s="235" t="n">
        <v>0.015</v>
      </c>
      <c r="H138" s="235" t="n">
        <v>18</v>
      </c>
      <c r="I138" s="219"/>
      <c r="J138" s="220"/>
      <c r="K138" s="236" t="n">
        <f aca="false">ROUND(G138*H138,2)</f>
        <v>0.27</v>
      </c>
    </row>
    <row r="139" s="190" customFormat="true" ht="15" hidden="false" customHeight="true" outlineLevel="0" collapsed="false">
      <c r="B139" s="202" t="s">
        <v>298</v>
      </c>
      <c r="C139" s="203"/>
      <c r="D139" s="203"/>
      <c r="E139" s="203"/>
      <c r="F139" s="204" t="s">
        <v>246</v>
      </c>
      <c r="G139" s="235" t="n">
        <v>0.01</v>
      </c>
      <c r="H139" s="234" t="n">
        <v>9</v>
      </c>
      <c r="I139" s="219"/>
      <c r="J139" s="220"/>
      <c r="K139" s="236" t="n">
        <f aca="false">ROUND(G139*H139,2)</f>
        <v>0.09</v>
      </c>
    </row>
    <row r="140" s="190" customFormat="true" ht="15" hidden="false" customHeight="true" outlineLevel="0" collapsed="false">
      <c r="B140" s="202" t="s">
        <v>299</v>
      </c>
      <c r="C140" s="203"/>
      <c r="D140" s="203"/>
      <c r="E140" s="203"/>
      <c r="F140" s="204" t="s">
        <v>256</v>
      </c>
      <c r="G140" s="235" t="n">
        <v>0.013</v>
      </c>
      <c r="H140" s="234" t="n">
        <v>4.5</v>
      </c>
      <c r="I140" s="277"/>
      <c r="J140" s="278"/>
      <c r="K140" s="236" t="n">
        <f aca="false">ROUND(G140*H140,2)</f>
        <v>0.06</v>
      </c>
    </row>
    <row r="141" s="190" customFormat="true" ht="15" hidden="false" customHeight="true" outlineLevel="0" collapsed="false">
      <c r="B141" s="202" t="s">
        <v>300</v>
      </c>
      <c r="C141" s="203"/>
      <c r="D141" s="203"/>
      <c r="E141" s="203"/>
      <c r="F141" s="204" t="s">
        <v>256</v>
      </c>
      <c r="G141" s="235" t="n">
        <v>0.02</v>
      </c>
      <c r="H141" s="234" t="n">
        <v>5.7</v>
      </c>
      <c r="I141" s="251"/>
      <c r="J141" s="251"/>
      <c r="K141" s="236" t="n">
        <f aca="false">ROUND(G141*H141,2)</f>
        <v>0.11</v>
      </c>
    </row>
    <row r="142" s="190" customFormat="true" ht="15" hidden="false" customHeight="true" outlineLevel="0" collapsed="false">
      <c r="B142" s="202"/>
      <c r="C142" s="203"/>
      <c r="D142" s="203"/>
      <c r="E142" s="264"/>
      <c r="F142" s="204"/>
      <c r="G142" s="213" t="s">
        <v>301</v>
      </c>
      <c r="H142" s="329"/>
      <c r="I142" s="215"/>
      <c r="J142" s="215"/>
      <c r="K142" s="242" t="n">
        <f aca="false">SUM(K138:K141)</f>
        <v>0.53</v>
      </c>
    </row>
    <row r="143" s="190" customFormat="true" ht="15" hidden="false" customHeight="true" outlineLevel="0" collapsed="false">
      <c r="B143" s="273" t="s">
        <v>302</v>
      </c>
      <c r="C143" s="273"/>
      <c r="D143" s="273"/>
      <c r="E143" s="273"/>
      <c r="F143" s="217" t="s">
        <v>216</v>
      </c>
      <c r="G143" s="217" t="s">
        <v>217</v>
      </c>
      <c r="H143" s="294" t="s">
        <v>218</v>
      </c>
      <c r="I143" s="218" t="s">
        <v>223</v>
      </c>
      <c r="J143" s="218"/>
      <c r="K143" s="218"/>
    </row>
    <row r="144" s="190" customFormat="true" ht="15" hidden="false" customHeight="true" outlineLevel="0" collapsed="false">
      <c r="B144" s="202" t="s">
        <v>303</v>
      </c>
      <c r="C144" s="203"/>
      <c r="D144" s="203"/>
      <c r="E144" s="203"/>
      <c r="F144" s="204" t="s">
        <v>239</v>
      </c>
      <c r="G144" s="234" t="n">
        <v>0.02</v>
      </c>
      <c r="H144" s="234" t="n">
        <v>0.91</v>
      </c>
      <c r="I144" s="220"/>
      <c r="J144" s="330"/>
      <c r="K144" s="221" t="n">
        <f aca="false">G144*H144</f>
        <v>0.0182</v>
      </c>
    </row>
    <row r="145" s="190" customFormat="true" ht="15" hidden="false" customHeight="true" outlineLevel="0" collapsed="false">
      <c r="B145" s="202" t="s">
        <v>304</v>
      </c>
      <c r="C145" s="203"/>
      <c r="D145" s="203"/>
      <c r="E145" s="203"/>
      <c r="F145" s="204" t="s">
        <v>239</v>
      </c>
      <c r="G145" s="234" t="n">
        <v>0.01</v>
      </c>
      <c r="H145" s="234" t="n">
        <v>0.91</v>
      </c>
      <c r="I145" s="220"/>
      <c r="J145" s="331"/>
      <c r="K145" s="236" t="n">
        <f aca="false">G145*H145</f>
        <v>0.0091</v>
      </c>
    </row>
    <row r="146" s="190" customFormat="true" ht="15" hidden="false" customHeight="true" outlineLevel="0" collapsed="false">
      <c r="B146" s="202"/>
      <c r="C146" s="203"/>
      <c r="D146" s="203"/>
      <c r="E146" s="203"/>
      <c r="F146" s="212"/>
      <c r="G146" s="213" t="s">
        <v>305</v>
      </c>
      <c r="H146" s="329"/>
      <c r="I146" s="215"/>
      <c r="J146" s="215"/>
      <c r="K146" s="242" t="n">
        <f aca="false">SUM(K144:K145)</f>
        <v>0.0273</v>
      </c>
    </row>
    <row r="147" s="190" customFormat="true" ht="15" hidden="false" customHeight="true" outlineLevel="0" collapsed="false">
      <c r="B147" s="332" t="s">
        <v>306</v>
      </c>
      <c r="C147" s="302"/>
      <c r="D147" s="231"/>
      <c r="E147" s="231"/>
      <c r="F147" s="239"/>
      <c r="G147" s="231"/>
      <c r="H147" s="239"/>
      <c r="I147" s="231"/>
      <c r="J147" s="231"/>
      <c r="K147" s="280" t="n">
        <f aca="false">SUM(K136,K142,K146)</f>
        <v>1.5969</v>
      </c>
    </row>
    <row r="148" s="190" customFormat="true" ht="15" hidden="false" customHeight="true" outlineLevel="0" collapsed="false">
      <c r="B148" s="333" t="s">
        <v>229</v>
      </c>
      <c r="C148" s="334"/>
      <c r="D148" s="335" t="n">
        <f aca="false">'Folha Rosto Comp. P. Unit. '!B5</f>
        <v>0.3</v>
      </c>
      <c r="E148" s="336"/>
      <c r="F148" s="337"/>
      <c r="G148" s="336"/>
      <c r="H148" s="337"/>
      <c r="I148" s="336"/>
      <c r="J148" s="336"/>
      <c r="K148" s="338" t="n">
        <f aca="false">ROUND(K147*D148,2)</f>
        <v>0.48</v>
      </c>
    </row>
    <row r="149" s="190" customFormat="true" ht="15" hidden="false" customHeight="true" outlineLevel="0" collapsed="false">
      <c r="B149" s="224" t="s">
        <v>230</v>
      </c>
      <c r="C149" s="224"/>
      <c r="D149" s="224"/>
      <c r="E149" s="224"/>
      <c r="F149" s="224"/>
      <c r="G149" s="224"/>
      <c r="H149" s="224"/>
      <c r="I149" s="224"/>
      <c r="J149" s="224"/>
      <c r="K149" s="242" t="n">
        <f aca="false">SUM(K147:K148)</f>
        <v>2.0769</v>
      </c>
    </row>
    <row r="150" s="190" customFormat="true" ht="15" hidden="false" customHeight="true" outlineLevel="0" collapsed="false">
      <c r="B150" s="224" t="s">
        <v>307</v>
      </c>
      <c r="C150" s="224"/>
      <c r="D150" s="224"/>
      <c r="E150" s="224"/>
      <c r="F150" s="224"/>
      <c r="G150" s="224"/>
      <c r="H150" s="224"/>
      <c r="I150" s="224"/>
      <c r="J150" s="224"/>
      <c r="K150" s="242" t="n">
        <f aca="false">K149*L172</f>
        <v>2076.9</v>
      </c>
    </row>
    <row r="151" s="190" customFormat="true" ht="15" hidden="false" customHeight="true" outlineLevel="0" collapsed="false">
      <c r="E151" s="188"/>
      <c r="F151" s="192"/>
      <c r="H151" s="192"/>
      <c r="K151" s="193"/>
    </row>
    <row r="152" s="190" customFormat="true" ht="15" hidden="false" customHeight="true" outlineLevel="0" collapsed="false">
      <c r="B152" s="227" t="n">
        <v>9</v>
      </c>
      <c r="C152" s="198" t="s">
        <v>211</v>
      </c>
      <c r="D152" s="215" t="s">
        <v>308</v>
      </c>
      <c r="E152" s="215"/>
      <c r="F152" s="214" t="s">
        <v>309</v>
      </c>
      <c r="G152" s="215" t="n">
        <v>18</v>
      </c>
      <c r="H152" s="214" t="s">
        <v>310</v>
      </c>
      <c r="I152" s="228"/>
      <c r="J152" s="262" t="s">
        <v>213</v>
      </c>
      <c r="K152" s="263" t="s">
        <v>311</v>
      </c>
    </row>
    <row r="153" s="190" customFormat="true" ht="15" hidden="false" customHeight="true" outlineLevel="0" collapsed="false">
      <c r="B153" s="202" t="s">
        <v>215</v>
      </c>
      <c r="C153" s="203"/>
      <c r="D153" s="203"/>
      <c r="E153" s="264"/>
      <c r="F153" s="204" t="s">
        <v>216</v>
      </c>
      <c r="G153" s="204" t="s">
        <v>217</v>
      </c>
      <c r="H153" s="244" t="s">
        <v>218</v>
      </c>
      <c r="I153" s="205" t="s">
        <v>223</v>
      </c>
      <c r="J153" s="205"/>
      <c r="K153" s="205"/>
    </row>
    <row r="154" s="190" customFormat="true" ht="15" hidden="false" customHeight="true" outlineLevel="0" collapsed="false">
      <c r="B154" s="230" t="s">
        <v>240</v>
      </c>
      <c r="C154" s="231"/>
      <c r="D154" s="231"/>
      <c r="E154" s="231"/>
      <c r="F154" s="217" t="s">
        <v>239</v>
      </c>
      <c r="G154" s="235" t="n">
        <v>1</v>
      </c>
      <c r="H154" s="235" t="n">
        <f aca="false">'Folha Rosto Comp. P. Unit. '!D8</f>
        <v>1.64</v>
      </c>
      <c r="I154" s="278"/>
      <c r="J154" s="278"/>
      <c r="K154" s="236" t="n">
        <f aca="false">ROUND(G154*H154,2)</f>
        <v>1.64</v>
      </c>
    </row>
    <row r="155" s="190" customFormat="true" ht="15" hidden="false" customHeight="true" outlineLevel="0" collapsed="false">
      <c r="B155" s="202" t="s">
        <v>312</v>
      </c>
      <c r="C155" s="203"/>
      <c r="D155" s="203"/>
      <c r="E155" s="203"/>
      <c r="F155" s="204" t="s">
        <v>239</v>
      </c>
      <c r="G155" s="234" t="n">
        <v>0.1</v>
      </c>
      <c r="H155" s="234" t="n">
        <v>3.81</v>
      </c>
      <c r="I155" s="220"/>
      <c r="J155" s="220"/>
      <c r="K155" s="236" t="n">
        <f aca="false">ROUND(G155*H155,2)</f>
        <v>0.38</v>
      </c>
    </row>
    <row r="156" s="190" customFormat="true" ht="15" hidden="false" customHeight="true" outlineLevel="0" collapsed="false">
      <c r="B156" s="202"/>
      <c r="C156" s="203"/>
      <c r="D156" s="237" t="s">
        <v>241</v>
      </c>
      <c r="E156" s="203"/>
      <c r="F156" s="204"/>
      <c r="G156" s="234"/>
      <c r="H156" s="234"/>
      <c r="I156" s="220"/>
      <c r="J156" s="220"/>
      <c r="K156" s="221" t="n">
        <f aca="false">SUM(K154:K155)</f>
        <v>2.02</v>
      </c>
    </row>
    <row r="157" s="190" customFormat="true" ht="15" hidden="false" customHeight="true" outlineLevel="0" collapsed="false">
      <c r="B157" s="202" t="s">
        <v>220</v>
      </c>
      <c r="C157" s="203"/>
      <c r="D157" s="203"/>
      <c r="E157" s="203"/>
      <c r="F157" s="204"/>
      <c r="G157" s="211" t="n">
        <f aca="false">'[1]Folha Rosto Comp. P. Unit. '!$B$4</f>
        <v>1.26</v>
      </c>
      <c r="H157" s="204"/>
      <c r="I157" s="203"/>
      <c r="J157" s="203"/>
      <c r="K157" s="221" t="n">
        <f aca="false">K156*G157</f>
        <v>2.5452</v>
      </c>
    </row>
    <row r="158" s="190" customFormat="true" ht="15" hidden="false" customHeight="true" outlineLevel="0" collapsed="false">
      <c r="B158" s="230"/>
      <c r="C158" s="231"/>
      <c r="D158" s="231"/>
      <c r="E158" s="231"/>
      <c r="F158" s="239"/>
      <c r="G158" s="213" t="s">
        <v>243</v>
      </c>
      <c r="H158" s="214"/>
      <c r="I158" s="240"/>
      <c r="J158" s="240"/>
      <c r="K158" s="242" t="n">
        <f aca="false">SUM(K156:K157)</f>
        <v>4.5652</v>
      </c>
    </row>
    <row r="159" s="190" customFormat="true" ht="15" hidden="false" customHeight="true" outlineLevel="0" collapsed="false">
      <c r="B159" s="273" t="s">
        <v>265</v>
      </c>
      <c r="C159" s="273"/>
      <c r="D159" s="273"/>
      <c r="E159" s="273"/>
      <c r="F159" s="217" t="s">
        <v>216</v>
      </c>
      <c r="G159" s="217" t="s">
        <v>244</v>
      </c>
      <c r="H159" s="217" t="s">
        <v>218</v>
      </c>
      <c r="I159" s="218" t="s">
        <v>223</v>
      </c>
      <c r="J159" s="218"/>
      <c r="K159" s="218"/>
    </row>
    <row r="160" s="190" customFormat="true" ht="15" hidden="false" customHeight="true" outlineLevel="0" collapsed="false">
      <c r="B160" s="202"/>
      <c r="C160" s="203"/>
      <c r="D160" s="203"/>
      <c r="E160" s="203"/>
      <c r="F160" s="204"/>
      <c r="G160" s="234"/>
      <c r="H160" s="234"/>
      <c r="I160" s="339"/>
      <c r="J160" s="220"/>
      <c r="K160" s="340" t="n">
        <f aca="false">ROUND(G160*H160,2)</f>
        <v>0</v>
      </c>
    </row>
    <row r="161" s="190" customFormat="true" ht="15" hidden="false" customHeight="true" outlineLevel="0" collapsed="false">
      <c r="B161" s="341" t="s">
        <v>313</v>
      </c>
      <c r="C161" s="341"/>
      <c r="D161" s="341"/>
      <c r="E161" s="341"/>
      <c r="F161" s="294" t="s">
        <v>140</v>
      </c>
      <c r="G161" s="294" t="s">
        <v>244</v>
      </c>
      <c r="H161" s="294"/>
      <c r="I161" s="294" t="s">
        <v>218</v>
      </c>
      <c r="J161" s="294"/>
      <c r="K161" s="342" t="s">
        <v>314</v>
      </c>
    </row>
    <row r="162" s="190" customFormat="true" ht="15" hidden="false" customHeight="true" outlineLevel="0" collapsed="false">
      <c r="B162" s="343"/>
      <c r="C162" s="212"/>
      <c r="D162" s="212"/>
      <c r="E162" s="313"/>
      <c r="F162" s="204"/>
      <c r="G162" s="344" t="s">
        <v>315</v>
      </c>
      <c r="H162" s="344" t="s">
        <v>316</v>
      </c>
      <c r="I162" s="344" t="s">
        <v>315</v>
      </c>
      <c r="J162" s="344" t="s">
        <v>316</v>
      </c>
      <c r="K162" s="342"/>
    </row>
    <row r="163" s="190" customFormat="true" ht="15" hidden="false" customHeight="true" outlineLevel="0" collapsed="false">
      <c r="B163" s="345" t="s">
        <v>317</v>
      </c>
      <c r="C163" s="345"/>
      <c r="D163" s="345"/>
      <c r="E163" s="345"/>
      <c r="F163" s="204" t="n">
        <v>1</v>
      </c>
      <c r="G163" s="204" t="n">
        <v>1</v>
      </c>
      <c r="H163" s="346" t="n">
        <v>0</v>
      </c>
      <c r="I163" s="217" t="n">
        <v>55.75</v>
      </c>
      <c r="J163" s="217" t="n">
        <v>10.8</v>
      </c>
      <c r="K163" s="347" t="n">
        <f aca="false">I163*G163+J163*H163</f>
        <v>55.75</v>
      </c>
    </row>
    <row r="164" s="190" customFormat="true" ht="15" hidden="false" customHeight="true" outlineLevel="0" collapsed="false">
      <c r="B164" s="202"/>
      <c r="C164" s="203"/>
      <c r="D164" s="231"/>
      <c r="E164" s="231"/>
      <c r="F164" s="217"/>
      <c r="G164" s="235"/>
      <c r="H164" s="315"/>
      <c r="I164" s="348"/>
      <c r="J164" s="348"/>
      <c r="K164" s="349" t="n">
        <f aca="false">ROUND(G164*H164,2)</f>
        <v>0</v>
      </c>
    </row>
    <row r="165" s="190" customFormat="true" ht="15" hidden="false" customHeight="true" outlineLevel="0" collapsed="false">
      <c r="B165" s="230" t="s">
        <v>226</v>
      </c>
      <c r="C165" s="231"/>
      <c r="D165" s="231"/>
      <c r="E165" s="231"/>
      <c r="F165" s="239"/>
      <c r="G165" s="213" t="s">
        <v>318</v>
      </c>
      <c r="H165" s="350"/>
      <c r="I165" s="240"/>
      <c r="J165" s="240"/>
      <c r="K165" s="242" t="n">
        <f aca="false">SUM(K163:K164)</f>
        <v>55.75</v>
      </c>
    </row>
    <row r="166" s="190" customFormat="true" ht="15" hidden="false" customHeight="true" outlineLevel="0" collapsed="false">
      <c r="B166" s="351" t="s">
        <v>319</v>
      </c>
      <c r="C166" s="336"/>
      <c r="D166" s="336"/>
      <c r="E166" s="336"/>
      <c r="F166" s="337"/>
      <c r="G166" s="336"/>
      <c r="H166" s="337"/>
      <c r="I166" s="336"/>
      <c r="J166" s="336"/>
      <c r="K166" s="338" t="n">
        <f aca="false">K158+K165</f>
        <v>60.3152</v>
      </c>
    </row>
    <row r="167" s="190" customFormat="true" ht="15" hidden="false" customHeight="true" outlineLevel="0" collapsed="false">
      <c r="B167" s="352" t="s">
        <v>320</v>
      </c>
      <c r="C167" s="188"/>
      <c r="D167" s="188"/>
      <c r="E167" s="188"/>
      <c r="F167" s="353"/>
      <c r="G167" s="188"/>
      <c r="H167" s="353"/>
      <c r="I167" s="188"/>
      <c r="J167" s="188"/>
      <c r="K167" s="354" t="n">
        <f aca="false">K166*0.05</f>
        <v>3.01576</v>
      </c>
    </row>
    <row r="168" s="190" customFormat="true" ht="15" hidden="false" customHeight="true" outlineLevel="0" collapsed="false">
      <c r="B168" s="352" t="s">
        <v>321</v>
      </c>
      <c r="C168" s="188"/>
      <c r="D168" s="188"/>
      <c r="E168" s="188"/>
      <c r="F168" s="353"/>
      <c r="G168" s="188"/>
      <c r="H168" s="353"/>
      <c r="I168" s="188"/>
      <c r="J168" s="188"/>
      <c r="K168" s="354" t="n">
        <f aca="false">K166+K167</f>
        <v>63.33096</v>
      </c>
    </row>
    <row r="169" s="190" customFormat="true" ht="14.25" hidden="false" customHeight="true" outlineLevel="0" collapsed="false">
      <c r="B169" s="202" t="s">
        <v>229</v>
      </c>
      <c r="C169" s="203"/>
      <c r="D169" s="223" t="n">
        <f aca="false">'[1]Folha Rosto Comp. P. Unit. '!$B$5</f>
        <v>0.3</v>
      </c>
      <c r="E169" s="203"/>
      <c r="F169" s="212"/>
      <c r="G169" s="203"/>
      <c r="H169" s="212"/>
      <c r="I169" s="203"/>
      <c r="J169" s="203"/>
      <c r="K169" s="222" t="n">
        <f aca="false">K168*0.3</f>
        <v>18.999288</v>
      </c>
    </row>
    <row r="170" s="190" customFormat="true" ht="15" hidden="false" customHeight="true" outlineLevel="0" collapsed="false">
      <c r="B170" s="224" t="s">
        <v>322</v>
      </c>
      <c r="C170" s="224"/>
      <c r="D170" s="224"/>
      <c r="E170" s="224"/>
      <c r="F170" s="224"/>
      <c r="G170" s="224"/>
      <c r="H170" s="224"/>
      <c r="I170" s="224"/>
      <c r="J170" s="224"/>
      <c r="K170" s="242" t="n">
        <f aca="false">K166+K167+K169</f>
        <v>82.330248</v>
      </c>
    </row>
    <row r="171" s="190" customFormat="true" ht="15" hidden="false" customHeight="true" outlineLevel="0" collapsed="false">
      <c r="B171" s="224" t="s">
        <v>323</v>
      </c>
      <c r="C171" s="224"/>
      <c r="D171" s="224"/>
      <c r="E171" s="224"/>
      <c r="F171" s="224"/>
      <c r="G171" s="224"/>
      <c r="H171" s="224"/>
      <c r="I171" s="224"/>
      <c r="J171" s="224"/>
      <c r="K171" s="242" t="n">
        <f aca="false">K170/G152</f>
        <v>4.57390266666667</v>
      </c>
    </row>
    <row r="172" s="190" customFormat="true" ht="15" hidden="false" customHeight="true" outlineLevel="0" collapsed="false">
      <c r="L172" s="190" t="n">
        <v>1000</v>
      </c>
    </row>
    <row r="173" s="190" customFormat="true" ht="15" hidden="false" customHeight="true" outlineLevel="0" collapsed="false">
      <c r="B173" s="227" t="n">
        <v>10</v>
      </c>
      <c r="C173" s="198" t="s">
        <v>211</v>
      </c>
      <c r="D173" s="215" t="s">
        <v>324</v>
      </c>
      <c r="E173" s="215"/>
      <c r="F173" s="214"/>
      <c r="G173" s="215"/>
      <c r="H173" s="214"/>
      <c r="I173" s="228"/>
      <c r="J173" s="200" t="s">
        <v>213</v>
      </c>
      <c r="K173" s="263" t="s">
        <v>311</v>
      </c>
    </row>
    <row r="174" s="190" customFormat="true" ht="15" hidden="false" customHeight="true" outlineLevel="0" collapsed="false">
      <c r="B174" s="355" t="s">
        <v>313</v>
      </c>
      <c r="C174" s="355"/>
      <c r="D174" s="204" t="s">
        <v>325</v>
      </c>
      <c r="E174" s="204" t="s">
        <v>326</v>
      </c>
      <c r="F174" s="204" t="s">
        <v>327</v>
      </c>
      <c r="G174" s="204"/>
      <c r="H174" s="204" t="s">
        <v>328</v>
      </c>
      <c r="I174" s="204"/>
      <c r="J174" s="205" t="s">
        <v>219</v>
      </c>
      <c r="K174" s="205"/>
    </row>
    <row r="175" s="190" customFormat="true" ht="15" hidden="false" customHeight="true" outlineLevel="0" collapsed="false">
      <c r="B175" s="355"/>
      <c r="C175" s="355"/>
      <c r="D175" s="204"/>
      <c r="E175" s="204"/>
      <c r="F175" s="204" t="s">
        <v>329</v>
      </c>
      <c r="G175" s="204" t="s">
        <v>330</v>
      </c>
      <c r="H175" s="243"/>
      <c r="I175" s="264"/>
      <c r="J175" s="205"/>
      <c r="K175" s="205"/>
    </row>
    <row r="176" s="190" customFormat="true" ht="15" hidden="false" customHeight="true" outlineLevel="0" collapsed="false">
      <c r="B176" s="202" t="s">
        <v>331</v>
      </c>
      <c r="C176" s="264"/>
      <c r="D176" s="234"/>
      <c r="E176" s="356" t="n">
        <v>1</v>
      </c>
      <c r="F176" s="357" t="n">
        <v>0.11</v>
      </c>
      <c r="G176" s="298"/>
      <c r="H176" s="235" t="n">
        <v>61.6</v>
      </c>
      <c r="I176" s="358"/>
      <c r="J176" s="220"/>
      <c r="K176" s="236" t="n">
        <f aca="false">H176*F176</f>
        <v>6.776</v>
      </c>
    </row>
    <row r="177" s="190" customFormat="true" ht="15" hidden="false" customHeight="true" outlineLevel="0" collapsed="false">
      <c r="B177" s="202" t="s">
        <v>332</v>
      </c>
      <c r="C177" s="264"/>
      <c r="D177" s="234"/>
      <c r="E177" s="356" t="n">
        <v>1</v>
      </c>
      <c r="F177" s="204" t="n">
        <v>0.38</v>
      </c>
      <c r="G177" s="326"/>
      <c r="H177" s="359" t="n">
        <v>8.4</v>
      </c>
      <c r="I177" s="360"/>
      <c r="J177" s="188"/>
      <c r="K177" s="209" t="n">
        <f aca="false">H177*F177</f>
        <v>3.192</v>
      </c>
    </row>
    <row r="178" s="190" customFormat="true" ht="15" hidden="false" customHeight="true" outlineLevel="0" collapsed="false">
      <c r="B178" s="230"/>
      <c r="C178" s="231"/>
      <c r="D178" s="231"/>
      <c r="E178" s="231"/>
      <c r="F178" s="239"/>
      <c r="G178" s="213" t="s">
        <v>243</v>
      </c>
      <c r="H178" s="214"/>
      <c r="I178" s="240"/>
      <c r="J178" s="240"/>
      <c r="K178" s="242" t="n">
        <f aca="false">SUM(K176:K177)</f>
        <v>9.968</v>
      </c>
    </row>
    <row r="179" s="190" customFormat="true" ht="15" hidden="false" customHeight="true" outlineLevel="0" collapsed="false">
      <c r="B179" s="273" t="s">
        <v>277</v>
      </c>
      <c r="C179" s="273"/>
      <c r="D179" s="273"/>
      <c r="E179" s="273"/>
      <c r="F179" s="217" t="s">
        <v>216</v>
      </c>
      <c r="G179" s="243" t="s">
        <v>333</v>
      </c>
      <c r="H179" s="217" t="s">
        <v>218</v>
      </c>
      <c r="I179" s="218" t="s">
        <v>219</v>
      </c>
      <c r="J179" s="218"/>
      <c r="K179" s="218"/>
    </row>
    <row r="180" s="190" customFormat="true" ht="15" hidden="false" customHeight="true" outlineLevel="0" collapsed="false">
      <c r="B180" s="202"/>
      <c r="C180" s="203"/>
      <c r="D180" s="203"/>
      <c r="E180" s="203"/>
      <c r="F180" s="204"/>
      <c r="G180" s="302"/>
      <c r="H180" s="359"/>
      <c r="I180" s="208"/>
      <c r="J180" s="203"/>
      <c r="K180" s="209"/>
    </row>
    <row r="181" s="190" customFormat="true" ht="15" hidden="false" customHeight="true" outlineLevel="0" collapsed="false">
      <c r="B181" s="230" t="s">
        <v>226</v>
      </c>
      <c r="C181" s="231"/>
      <c r="D181" s="231"/>
      <c r="E181" s="231"/>
      <c r="F181" s="239"/>
      <c r="G181" s="213" t="s">
        <v>227</v>
      </c>
      <c r="H181" s="214"/>
      <c r="I181" s="240"/>
      <c r="J181" s="240"/>
      <c r="K181" s="216" t="n">
        <f aca="false">SUM(K180:K180)</f>
        <v>0</v>
      </c>
    </row>
    <row r="182" s="190" customFormat="true" ht="15" hidden="false" customHeight="true" outlineLevel="0" collapsed="false">
      <c r="B182" s="230" t="s">
        <v>273</v>
      </c>
      <c r="C182" s="231"/>
      <c r="D182" s="231"/>
      <c r="E182" s="231"/>
      <c r="F182" s="239"/>
      <c r="G182" s="231"/>
      <c r="H182" s="239"/>
      <c r="I182" s="231"/>
      <c r="J182" s="231"/>
      <c r="K182" s="280" t="n">
        <f aca="false">SUM(K178)</f>
        <v>9.968</v>
      </c>
    </row>
    <row r="183" s="190" customFormat="true" ht="15" hidden="false" customHeight="true" outlineLevel="0" collapsed="false">
      <c r="B183" s="254" t="s">
        <v>229</v>
      </c>
      <c r="C183" s="255"/>
      <c r="D183" s="361" t="n">
        <f aca="false">'Folha Rosto Comp. P. Unit. '!B5</f>
        <v>0.3</v>
      </c>
      <c r="E183" s="255"/>
      <c r="F183" s="256"/>
      <c r="G183" s="255"/>
      <c r="H183" s="256"/>
      <c r="I183" s="255"/>
      <c r="J183" s="255"/>
      <c r="K183" s="362" t="n">
        <f aca="false">ROUND(K182*D183,2)</f>
        <v>2.99</v>
      </c>
    </row>
    <row r="184" s="190" customFormat="true" ht="15" hidden="false" customHeight="true" outlineLevel="0" collapsed="false">
      <c r="B184" s="224" t="s">
        <v>230</v>
      </c>
      <c r="C184" s="224"/>
      <c r="D184" s="224"/>
      <c r="E184" s="224"/>
      <c r="F184" s="224"/>
      <c r="G184" s="224"/>
      <c r="H184" s="224"/>
      <c r="I184" s="224"/>
      <c r="J184" s="224"/>
      <c r="K184" s="242" t="n">
        <f aca="false">SUM(K182:K183)</f>
        <v>12.958</v>
      </c>
    </row>
    <row r="185" s="190" customFormat="true" ht="15" hidden="false" customHeight="true" outlineLevel="0" collapsed="false">
      <c r="F185" s="192"/>
      <c r="H185" s="192"/>
      <c r="K185" s="193"/>
    </row>
    <row r="186" s="190" customFormat="true" ht="15" hidden="false" customHeight="true" outlineLevel="0" collapsed="false">
      <c r="B186" s="227" t="n">
        <v>11</v>
      </c>
      <c r="C186" s="198" t="s">
        <v>211</v>
      </c>
      <c r="D186" s="215" t="s">
        <v>334</v>
      </c>
      <c r="E186" s="215"/>
      <c r="F186" s="214" t="s">
        <v>309</v>
      </c>
      <c r="G186" s="215"/>
      <c r="H186" s="214"/>
      <c r="I186" s="228"/>
      <c r="J186" s="262" t="s">
        <v>213</v>
      </c>
      <c r="K186" s="263" t="s">
        <v>335</v>
      </c>
    </row>
    <row r="187" s="190" customFormat="true" ht="15" hidden="false" customHeight="true" outlineLevel="0" collapsed="false">
      <c r="B187" s="202" t="s">
        <v>215</v>
      </c>
      <c r="C187" s="203"/>
      <c r="D187" s="203"/>
      <c r="E187" s="264"/>
      <c r="F187" s="204" t="s">
        <v>216</v>
      </c>
      <c r="G187" s="204" t="s">
        <v>217</v>
      </c>
      <c r="H187" s="244" t="s">
        <v>218</v>
      </c>
      <c r="I187" s="205" t="s">
        <v>223</v>
      </c>
      <c r="J187" s="205"/>
      <c r="K187" s="205"/>
    </row>
    <row r="188" s="190" customFormat="true" ht="15" hidden="false" customHeight="true" outlineLevel="0" collapsed="false">
      <c r="B188" s="230" t="s">
        <v>240</v>
      </c>
      <c r="C188" s="231"/>
      <c r="D188" s="231"/>
      <c r="E188" s="231"/>
      <c r="F188" s="217" t="s">
        <v>239</v>
      </c>
      <c r="G188" s="235" t="n">
        <v>0.8</v>
      </c>
      <c r="H188" s="235" t="n">
        <f aca="false">'Folha Rosto Comp. P. Unit. '!D8</f>
        <v>1.64</v>
      </c>
      <c r="I188" s="278"/>
      <c r="J188" s="278"/>
      <c r="K188" s="236" t="n">
        <f aca="false">ROUND(G188*H188,2)</f>
        <v>1.31</v>
      </c>
    </row>
    <row r="189" s="190" customFormat="true" ht="15" hidden="false" customHeight="true" outlineLevel="0" collapsed="false">
      <c r="B189" s="202" t="s">
        <v>312</v>
      </c>
      <c r="C189" s="203"/>
      <c r="D189" s="203"/>
      <c r="E189" s="203"/>
      <c r="F189" s="204" t="s">
        <v>239</v>
      </c>
      <c r="G189" s="234" t="n">
        <v>0.08</v>
      </c>
      <c r="H189" s="234" t="n">
        <f aca="false">3.45*1.1029</f>
        <v>3.805005</v>
      </c>
      <c r="I189" s="220"/>
      <c r="J189" s="220"/>
      <c r="K189" s="236" t="n">
        <f aca="false">ROUND(G189*H189,2)</f>
        <v>0.3</v>
      </c>
    </row>
    <row r="190" s="190" customFormat="true" ht="15" hidden="false" customHeight="true" outlineLevel="0" collapsed="false">
      <c r="B190" s="202"/>
      <c r="C190" s="203"/>
      <c r="D190" s="237" t="s">
        <v>241</v>
      </c>
      <c r="E190" s="203"/>
      <c r="F190" s="204"/>
      <c r="G190" s="234"/>
      <c r="H190" s="234"/>
      <c r="I190" s="220"/>
      <c r="J190" s="220"/>
      <c r="K190" s="221" t="n">
        <f aca="false">SUM(K188:K189)</f>
        <v>1.61</v>
      </c>
    </row>
    <row r="191" s="190" customFormat="true" ht="15" hidden="false" customHeight="true" outlineLevel="0" collapsed="false">
      <c r="B191" s="202" t="s">
        <v>220</v>
      </c>
      <c r="C191" s="203"/>
      <c r="D191" s="203"/>
      <c r="E191" s="203"/>
      <c r="F191" s="204"/>
      <c r="G191" s="211" t="n">
        <f aca="false">'[1]Folha Rosto Comp. P. Unit. '!$B$4</f>
        <v>1.26</v>
      </c>
      <c r="H191" s="204"/>
      <c r="I191" s="203"/>
      <c r="J191" s="203"/>
      <c r="K191" s="221" t="n">
        <f aca="false">K190*G191</f>
        <v>2.0286</v>
      </c>
    </row>
    <row r="192" s="190" customFormat="true" ht="15" hidden="false" customHeight="true" outlineLevel="0" collapsed="false">
      <c r="B192" s="230"/>
      <c r="C192" s="231"/>
      <c r="D192" s="231"/>
      <c r="E192" s="231"/>
      <c r="F192" s="239"/>
      <c r="G192" s="213" t="s">
        <v>243</v>
      </c>
      <c r="H192" s="214"/>
      <c r="I192" s="240"/>
      <c r="J192" s="240"/>
      <c r="K192" s="242" t="n">
        <f aca="false">SUM(K190:K191)</f>
        <v>3.6386</v>
      </c>
    </row>
    <row r="193" s="190" customFormat="true" ht="15" hidden="false" customHeight="true" outlineLevel="0" collapsed="false">
      <c r="B193" s="273" t="s">
        <v>265</v>
      </c>
      <c r="C193" s="273"/>
      <c r="D193" s="273"/>
      <c r="E193" s="273"/>
      <c r="F193" s="217" t="s">
        <v>216</v>
      </c>
      <c r="G193" s="217" t="s">
        <v>244</v>
      </c>
      <c r="H193" s="217" t="s">
        <v>218</v>
      </c>
      <c r="I193" s="218" t="s">
        <v>223</v>
      </c>
      <c r="J193" s="218"/>
      <c r="K193" s="218"/>
    </row>
    <row r="194" s="190" customFormat="true" ht="15" hidden="false" customHeight="true" outlineLevel="0" collapsed="false">
      <c r="B194" s="202"/>
      <c r="C194" s="203"/>
      <c r="D194" s="203"/>
      <c r="E194" s="203"/>
      <c r="F194" s="204"/>
      <c r="G194" s="234"/>
      <c r="H194" s="234"/>
      <c r="I194" s="339"/>
      <c r="J194" s="220"/>
      <c r="K194" s="340" t="n">
        <f aca="false">ROUND(G194*H194,2)</f>
        <v>0</v>
      </c>
    </row>
    <row r="195" s="190" customFormat="true" ht="15" hidden="false" customHeight="true" outlineLevel="0" collapsed="false">
      <c r="B195" s="341" t="s">
        <v>313</v>
      </c>
      <c r="C195" s="341"/>
      <c r="D195" s="341"/>
      <c r="E195" s="341"/>
      <c r="F195" s="294" t="s">
        <v>140</v>
      </c>
      <c r="G195" s="294" t="s">
        <v>244</v>
      </c>
      <c r="H195" s="294"/>
      <c r="I195" s="294" t="s">
        <v>218</v>
      </c>
      <c r="J195" s="294"/>
      <c r="K195" s="342" t="s">
        <v>314</v>
      </c>
    </row>
    <row r="196" s="190" customFormat="true" ht="15" hidden="false" customHeight="true" outlineLevel="0" collapsed="false">
      <c r="B196" s="343"/>
      <c r="C196" s="212"/>
      <c r="D196" s="212"/>
      <c r="E196" s="313"/>
      <c r="F196" s="204"/>
      <c r="G196" s="344" t="s">
        <v>315</v>
      </c>
      <c r="H196" s="344" t="s">
        <v>316</v>
      </c>
      <c r="I196" s="344" t="s">
        <v>315</v>
      </c>
      <c r="J196" s="344" t="s">
        <v>316</v>
      </c>
      <c r="K196" s="342"/>
    </row>
    <row r="197" s="190" customFormat="true" ht="15" hidden="false" customHeight="true" outlineLevel="0" collapsed="false">
      <c r="B197" s="345"/>
      <c r="C197" s="345"/>
      <c r="D197" s="345"/>
      <c r="E197" s="345"/>
      <c r="F197" s="204"/>
      <c r="G197" s="204"/>
      <c r="H197" s="346" t="n">
        <v>0</v>
      </c>
      <c r="I197" s="217"/>
      <c r="J197" s="217"/>
      <c r="K197" s="347" t="n">
        <f aca="false">I197*G197+J197*H197</f>
        <v>0</v>
      </c>
    </row>
    <row r="198" s="190" customFormat="true" ht="15" hidden="false" customHeight="true" outlineLevel="0" collapsed="false">
      <c r="B198" s="202"/>
      <c r="C198" s="203"/>
      <c r="D198" s="231"/>
      <c r="E198" s="231"/>
      <c r="F198" s="217"/>
      <c r="G198" s="235"/>
      <c r="H198" s="315"/>
      <c r="I198" s="348"/>
      <c r="J198" s="348"/>
      <c r="K198" s="349" t="n">
        <f aca="false">ROUND(G198*H198,2)</f>
        <v>0</v>
      </c>
    </row>
    <row r="199" s="190" customFormat="true" ht="15" hidden="false" customHeight="true" outlineLevel="0" collapsed="false">
      <c r="B199" s="230" t="s">
        <v>226</v>
      </c>
      <c r="C199" s="231"/>
      <c r="D199" s="231"/>
      <c r="E199" s="231"/>
      <c r="F199" s="239"/>
      <c r="G199" s="213" t="s">
        <v>318</v>
      </c>
      <c r="H199" s="350"/>
      <c r="I199" s="240"/>
      <c r="J199" s="240"/>
      <c r="K199" s="242" t="n">
        <f aca="false">SUM(K197:K198)</f>
        <v>0</v>
      </c>
    </row>
    <row r="200" s="190" customFormat="true" ht="15" hidden="false" customHeight="true" outlineLevel="0" collapsed="false">
      <c r="B200" s="351" t="s">
        <v>319</v>
      </c>
      <c r="C200" s="336"/>
      <c r="D200" s="336"/>
      <c r="E200" s="336"/>
      <c r="F200" s="337"/>
      <c r="G200" s="336"/>
      <c r="H200" s="337"/>
      <c r="I200" s="336"/>
      <c r="J200" s="336"/>
      <c r="K200" s="338" t="n">
        <f aca="false">K192+K199</f>
        <v>3.6386</v>
      </c>
    </row>
    <row r="201" s="190" customFormat="true" ht="15" hidden="false" customHeight="true" outlineLevel="0" collapsed="false">
      <c r="B201" s="352" t="s">
        <v>320</v>
      </c>
      <c r="C201" s="188"/>
      <c r="D201" s="188"/>
      <c r="E201" s="188"/>
      <c r="F201" s="353"/>
      <c r="G201" s="188"/>
      <c r="H201" s="353"/>
      <c r="I201" s="188"/>
      <c r="J201" s="188"/>
      <c r="K201" s="354" t="n">
        <f aca="false">K200*0.05</f>
        <v>0.18193</v>
      </c>
    </row>
    <row r="202" s="190" customFormat="true" ht="15" hidden="false" customHeight="true" outlineLevel="0" collapsed="false">
      <c r="B202" s="352" t="s">
        <v>321</v>
      </c>
      <c r="C202" s="188"/>
      <c r="D202" s="188"/>
      <c r="E202" s="188"/>
      <c r="F202" s="353"/>
      <c r="G202" s="188"/>
      <c r="H202" s="353"/>
      <c r="I202" s="188"/>
      <c r="J202" s="188"/>
      <c r="K202" s="354" t="n">
        <f aca="false">K200+K201</f>
        <v>3.82053</v>
      </c>
    </row>
    <row r="203" s="190" customFormat="true" ht="15" hidden="false" customHeight="true" outlineLevel="0" collapsed="false">
      <c r="B203" s="202" t="s">
        <v>229</v>
      </c>
      <c r="C203" s="203"/>
      <c r="D203" s="223" t="n">
        <f aca="false">'[1]Folha Rosto Comp. P. Unit. '!$B$5</f>
        <v>0.3</v>
      </c>
      <c r="E203" s="203"/>
      <c r="F203" s="212"/>
      <c r="G203" s="203"/>
      <c r="H203" s="212"/>
      <c r="I203" s="203"/>
      <c r="J203" s="203"/>
      <c r="K203" s="222" t="n">
        <f aca="false">K202*0.3</f>
        <v>1.146159</v>
      </c>
    </row>
    <row r="204" s="190" customFormat="true" ht="15" hidden="false" customHeight="true" outlineLevel="0" collapsed="false">
      <c r="B204" s="224" t="s">
        <v>230</v>
      </c>
      <c r="C204" s="224"/>
      <c r="D204" s="224"/>
      <c r="E204" s="224"/>
      <c r="F204" s="224"/>
      <c r="G204" s="224"/>
      <c r="H204" s="224"/>
      <c r="I204" s="224"/>
      <c r="J204" s="224"/>
      <c r="K204" s="242" t="n">
        <f aca="false">K200+K203</f>
        <v>4.784759</v>
      </c>
    </row>
    <row r="205" s="190" customFormat="true" ht="15" hidden="false" customHeight="true" outlineLevel="0" collapsed="false">
      <c r="F205" s="192"/>
      <c r="H205" s="192"/>
      <c r="K205" s="193"/>
    </row>
    <row r="206" s="190" customFormat="true" ht="15" hidden="false" customHeight="true" outlineLevel="0" collapsed="false">
      <c r="B206" s="227" t="n">
        <v>12</v>
      </c>
      <c r="C206" s="198" t="s">
        <v>211</v>
      </c>
      <c r="D206" s="215" t="s">
        <v>336</v>
      </c>
      <c r="E206" s="215"/>
      <c r="F206" s="214" t="s">
        <v>309</v>
      </c>
      <c r="G206" s="215"/>
      <c r="H206" s="214"/>
      <c r="I206" s="228"/>
      <c r="J206" s="262" t="s">
        <v>213</v>
      </c>
      <c r="K206" s="263" t="s">
        <v>311</v>
      </c>
    </row>
    <row r="207" s="190" customFormat="true" ht="15" hidden="false" customHeight="true" outlineLevel="0" collapsed="false">
      <c r="B207" s="202" t="s">
        <v>215</v>
      </c>
      <c r="C207" s="203"/>
      <c r="D207" s="203"/>
      <c r="E207" s="264"/>
      <c r="F207" s="204" t="s">
        <v>216</v>
      </c>
      <c r="G207" s="204" t="s">
        <v>217</v>
      </c>
      <c r="H207" s="244" t="s">
        <v>218</v>
      </c>
      <c r="I207" s="205" t="s">
        <v>223</v>
      </c>
      <c r="J207" s="205"/>
      <c r="K207" s="205"/>
    </row>
    <row r="208" s="190" customFormat="true" ht="15" hidden="false" customHeight="true" outlineLevel="0" collapsed="false">
      <c r="B208" s="230" t="s">
        <v>240</v>
      </c>
      <c r="C208" s="231"/>
      <c r="D208" s="231"/>
      <c r="E208" s="231"/>
      <c r="F208" s="217" t="s">
        <v>239</v>
      </c>
      <c r="G208" s="235" t="n">
        <v>0.2</v>
      </c>
      <c r="H208" s="235" t="n">
        <f aca="false">'Folha Rosto Comp. P. Unit. '!D8</f>
        <v>1.64</v>
      </c>
      <c r="I208" s="278"/>
      <c r="J208" s="278"/>
      <c r="K208" s="236" t="n">
        <f aca="false">ROUND(G208*H208,2)</f>
        <v>0.33</v>
      </c>
    </row>
    <row r="209" s="190" customFormat="true" ht="15" hidden="false" customHeight="true" outlineLevel="0" collapsed="false">
      <c r="B209" s="202" t="s">
        <v>312</v>
      </c>
      <c r="C209" s="203"/>
      <c r="D209" s="203"/>
      <c r="E209" s="203"/>
      <c r="F209" s="204" t="s">
        <v>239</v>
      </c>
      <c r="G209" s="234" t="n">
        <v>0.008</v>
      </c>
      <c r="H209" s="234" t="n">
        <v>3.81</v>
      </c>
      <c r="I209" s="220"/>
      <c r="J209" s="220"/>
      <c r="K209" s="236" t="n">
        <f aca="false">ROUND(G209*H209,2)</f>
        <v>0.03</v>
      </c>
    </row>
    <row r="210" s="190" customFormat="true" ht="15" hidden="false" customHeight="true" outlineLevel="0" collapsed="false">
      <c r="B210" s="202"/>
      <c r="C210" s="203"/>
      <c r="D210" s="237" t="s">
        <v>241</v>
      </c>
      <c r="E210" s="203"/>
      <c r="F210" s="204"/>
      <c r="G210" s="234"/>
      <c r="H210" s="234"/>
      <c r="I210" s="220"/>
      <c r="J210" s="220"/>
      <c r="K210" s="221" t="n">
        <f aca="false">SUM(K208:K209)</f>
        <v>0.36</v>
      </c>
    </row>
    <row r="211" s="190" customFormat="true" ht="15" hidden="false" customHeight="true" outlineLevel="0" collapsed="false">
      <c r="B211" s="202" t="s">
        <v>220</v>
      </c>
      <c r="C211" s="203"/>
      <c r="D211" s="203"/>
      <c r="E211" s="203"/>
      <c r="F211" s="204"/>
      <c r="G211" s="211" t="n">
        <f aca="false">'[1]Folha Rosto Comp. P. Unit. '!$B$4</f>
        <v>1.26</v>
      </c>
      <c r="H211" s="204"/>
      <c r="I211" s="203"/>
      <c r="J211" s="203"/>
      <c r="K211" s="221" t="n">
        <f aca="false">K210*G211</f>
        <v>0.4536</v>
      </c>
    </row>
    <row r="212" s="190" customFormat="true" ht="15" hidden="false" customHeight="true" outlineLevel="0" collapsed="false">
      <c r="B212" s="230"/>
      <c r="C212" s="231"/>
      <c r="D212" s="231"/>
      <c r="E212" s="231"/>
      <c r="F212" s="239"/>
      <c r="G212" s="213" t="s">
        <v>243</v>
      </c>
      <c r="H212" s="214"/>
      <c r="I212" s="240"/>
      <c r="J212" s="240"/>
      <c r="K212" s="242" t="n">
        <f aca="false">SUM(K210:K211)</f>
        <v>0.8136</v>
      </c>
    </row>
    <row r="213" s="190" customFormat="true" ht="15" hidden="false" customHeight="true" outlineLevel="0" collapsed="false">
      <c r="B213" s="273" t="s">
        <v>265</v>
      </c>
      <c r="C213" s="273"/>
      <c r="D213" s="273"/>
      <c r="E213" s="273"/>
      <c r="F213" s="217" t="s">
        <v>216</v>
      </c>
      <c r="G213" s="217" t="s">
        <v>244</v>
      </c>
      <c r="H213" s="217" t="s">
        <v>218</v>
      </c>
      <c r="I213" s="218" t="s">
        <v>223</v>
      </c>
      <c r="J213" s="218"/>
      <c r="K213" s="218"/>
    </row>
    <row r="214" s="190" customFormat="true" ht="15" hidden="false" customHeight="true" outlineLevel="0" collapsed="false">
      <c r="B214" s="202"/>
      <c r="C214" s="203"/>
      <c r="D214" s="203"/>
      <c r="E214" s="203"/>
      <c r="F214" s="204"/>
      <c r="G214" s="234"/>
      <c r="H214" s="234"/>
      <c r="I214" s="339"/>
      <c r="J214" s="220"/>
      <c r="K214" s="340" t="n">
        <f aca="false">ROUND(G214*H214,2)</f>
        <v>0</v>
      </c>
    </row>
    <row r="215" s="190" customFormat="true" ht="15" hidden="false" customHeight="true" outlineLevel="0" collapsed="false">
      <c r="B215" s="341" t="s">
        <v>313</v>
      </c>
      <c r="C215" s="341"/>
      <c r="D215" s="341"/>
      <c r="E215" s="341"/>
      <c r="F215" s="294" t="s">
        <v>140</v>
      </c>
      <c r="G215" s="294" t="s">
        <v>244</v>
      </c>
      <c r="H215" s="294"/>
      <c r="I215" s="294" t="s">
        <v>218</v>
      </c>
      <c r="J215" s="294"/>
      <c r="K215" s="342" t="s">
        <v>314</v>
      </c>
    </row>
    <row r="216" s="190" customFormat="true" ht="15" hidden="false" customHeight="true" outlineLevel="0" collapsed="false">
      <c r="B216" s="343"/>
      <c r="C216" s="212"/>
      <c r="D216" s="212"/>
      <c r="E216" s="313"/>
      <c r="F216" s="204"/>
      <c r="G216" s="344" t="s">
        <v>315</v>
      </c>
      <c r="H216" s="344" t="s">
        <v>316</v>
      </c>
      <c r="I216" s="344" t="s">
        <v>315</v>
      </c>
      <c r="J216" s="344" t="s">
        <v>316</v>
      </c>
      <c r="K216" s="342"/>
    </row>
    <row r="217" s="190" customFormat="true" ht="15" hidden="false" customHeight="true" outlineLevel="0" collapsed="false">
      <c r="B217" s="345"/>
      <c r="C217" s="345"/>
      <c r="D217" s="345"/>
      <c r="E217" s="345"/>
      <c r="F217" s="204"/>
      <c r="G217" s="204"/>
      <c r="H217" s="346" t="n">
        <v>0</v>
      </c>
      <c r="I217" s="217"/>
      <c r="J217" s="217"/>
      <c r="K217" s="347" t="n">
        <f aca="false">I217*G217+J217*H217</f>
        <v>0</v>
      </c>
    </row>
    <row r="218" s="190" customFormat="true" ht="15" hidden="false" customHeight="true" outlineLevel="0" collapsed="false">
      <c r="B218" s="202"/>
      <c r="C218" s="203"/>
      <c r="D218" s="231"/>
      <c r="E218" s="231"/>
      <c r="F218" s="217"/>
      <c r="G218" s="235"/>
      <c r="H218" s="315"/>
      <c r="I218" s="348"/>
      <c r="J218" s="348"/>
      <c r="K218" s="349" t="n">
        <f aca="false">ROUND(G218*H218,2)</f>
        <v>0</v>
      </c>
    </row>
    <row r="219" s="190" customFormat="true" ht="15" hidden="false" customHeight="true" outlineLevel="0" collapsed="false">
      <c r="B219" s="230" t="s">
        <v>226</v>
      </c>
      <c r="C219" s="231"/>
      <c r="D219" s="231"/>
      <c r="E219" s="231"/>
      <c r="F219" s="239"/>
      <c r="G219" s="213" t="s">
        <v>318</v>
      </c>
      <c r="H219" s="350"/>
      <c r="I219" s="240"/>
      <c r="J219" s="240"/>
      <c r="K219" s="242" t="n">
        <f aca="false">SUM(K217:K218)</f>
        <v>0</v>
      </c>
    </row>
    <row r="220" s="190" customFormat="true" ht="15" hidden="false" customHeight="true" outlineLevel="0" collapsed="false">
      <c r="B220" s="351" t="s">
        <v>319</v>
      </c>
      <c r="C220" s="336"/>
      <c r="D220" s="336"/>
      <c r="E220" s="336"/>
      <c r="F220" s="337"/>
      <c r="G220" s="336"/>
      <c r="H220" s="337"/>
      <c r="I220" s="336"/>
      <c r="J220" s="336"/>
      <c r="K220" s="338" t="n">
        <f aca="false">K212+K219</f>
        <v>0.8136</v>
      </c>
    </row>
    <row r="221" s="190" customFormat="true" ht="15" hidden="false" customHeight="true" outlineLevel="0" collapsed="false">
      <c r="B221" s="352" t="s">
        <v>320</v>
      </c>
      <c r="C221" s="188"/>
      <c r="D221" s="188"/>
      <c r="E221" s="188"/>
      <c r="F221" s="353"/>
      <c r="G221" s="188"/>
      <c r="H221" s="353"/>
      <c r="I221" s="188"/>
      <c r="J221" s="188"/>
      <c r="K221" s="354" t="n">
        <f aca="false">K220*0.05</f>
        <v>0.04068</v>
      </c>
    </row>
    <row r="222" s="190" customFormat="true" ht="15" hidden="false" customHeight="true" outlineLevel="0" collapsed="false">
      <c r="B222" s="352" t="s">
        <v>321</v>
      </c>
      <c r="C222" s="188"/>
      <c r="D222" s="188"/>
      <c r="E222" s="188"/>
      <c r="F222" s="353"/>
      <c r="G222" s="188"/>
      <c r="H222" s="353"/>
      <c r="I222" s="188"/>
      <c r="J222" s="188"/>
      <c r="K222" s="354" t="n">
        <f aca="false">K220+K221</f>
        <v>0.85428</v>
      </c>
    </row>
    <row r="223" s="190" customFormat="true" ht="15" hidden="false" customHeight="true" outlineLevel="0" collapsed="false">
      <c r="B223" s="202" t="s">
        <v>229</v>
      </c>
      <c r="C223" s="203"/>
      <c r="D223" s="223" t="n">
        <f aca="false">'[1]Folha Rosto Comp. P. Unit. '!$B$5</f>
        <v>0.3</v>
      </c>
      <c r="E223" s="203"/>
      <c r="F223" s="212"/>
      <c r="G223" s="203"/>
      <c r="H223" s="212"/>
      <c r="I223" s="203"/>
      <c r="J223" s="203"/>
      <c r="K223" s="222" t="n">
        <f aca="false">K222*0.3</f>
        <v>0.256284</v>
      </c>
    </row>
    <row r="224" s="190" customFormat="true" ht="15" hidden="false" customHeight="true" outlineLevel="0" collapsed="false">
      <c r="B224" s="224" t="s">
        <v>322</v>
      </c>
      <c r="C224" s="224"/>
      <c r="D224" s="224"/>
      <c r="E224" s="224"/>
      <c r="F224" s="224"/>
      <c r="G224" s="224"/>
      <c r="H224" s="224"/>
      <c r="I224" s="224"/>
      <c r="J224" s="224"/>
      <c r="K224" s="242" t="n">
        <f aca="false">K220+K221+K223</f>
        <v>1.110564</v>
      </c>
    </row>
    <row r="225" s="190" customFormat="true" ht="15" hidden="false" customHeight="true" outlineLevel="0" collapsed="false"/>
    <row r="226" s="190" customFormat="true" ht="15" hidden="false" customHeight="true" outlineLevel="0" collapsed="false">
      <c r="B226" s="227" t="n">
        <v>13</v>
      </c>
      <c r="C226" s="198" t="s">
        <v>211</v>
      </c>
      <c r="D226" s="215" t="s">
        <v>337</v>
      </c>
      <c r="E226" s="215"/>
      <c r="F226" s="214"/>
      <c r="G226" s="215"/>
      <c r="H226" s="214"/>
      <c r="I226" s="228"/>
      <c r="J226" s="200" t="s">
        <v>213</v>
      </c>
      <c r="K226" s="263" t="s">
        <v>311</v>
      </c>
    </row>
    <row r="227" s="190" customFormat="true" ht="15" hidden="false" customHeight="true" outlineLevel="0" collapsed="false">
      <c r="B227" s="341" t="s">
        <v>313</v>
      </c>
      <c r="C227" s="341"/>
      <c r="D227" s="294" t="s">
        <v>325</v>
      </c>
      <c r="E227" s="294" t="s">
        <v>326</v>
      </c>
      <c r="F227" s="294" t="s">
        <v>327</v>
      </c>
      <c r="G227" s="294"/>
      <c r="H227" s="294" t="s">
        <v>328</v>
      </c>
      <c r="I227" s="294"/>
      <c r="J227" s="218" t="s">
        <v>219</v>
      </c>
      <c r="K227" s="218"/>
    </row>
    <row r="228" s="190" customFormat="true" ht="15" hidden="false" customHeight="true" outlineLevel="0" collapsed="false">
      <c r="B228" s="341"/>
      <c r="C228" s="341"/>
      <c r="D228" s="294"/>
      <c r="E228" s="294"/>
      <c r="F228" s="204" t="s">
        <v>329</v>
      </c>
      <c r="G228" s="204" t="s">
        <v>330</v>
      </c>
      <c r="H228" s="243"/>
      <c r="I228" s="264"/>
      <c r="J228" s="218"/>
      <c r="K228" s="218"/>
    </row>
    <row r="229" s="190" customFormat="true" ht="15" hidden="false" customHeight="true" outlineLevel="0" collapsed="false">
      <c r="B229" s="202" t="s">
        <v>338</v>
      </c>
      <c r="C229" s="264"/>
      <c r="D229" s="234"/>
      <c r="E229" s="356" t="n">
        <v>1</v>
      </c>
      <c r="F229" s="234" t="n">
        <v>0.1</v>
      </c>
      <c r="G229" s="298"/>
      <c r="H229" s="235" t="n">
        <v>48.4</v>
      </c>
      <c r="I229" s="358"/>
      <c r="J229" s="220"/>
      <c r="K229" s="236" t="n">
        <f aca="false">ROUND(F229*H229,2)</f>
        <v>4.84</v>
      </c>
    </row>
    <row r="230" s="190" customFormat="true" ht="15" hidden="false" customHeight="true" outlineLevel="0" collapsed="false">
      <c r="B230" s="202"/>
      <c r="C230" s="264"/>
      <c r="D230" s="234"/>
      <c r="E230" s="356"/>
      <c r="F230" s="204"/>
      <c r="G230" s="326"/>
      <c r="H230" s="204"/>
      <c r="I230" s="360"/>
      <c r="J230" s="188"/>
      <c r="K230" s="363"/>
    </row>
    <row r="231" s="190" customFormat="true" ht="15" hidden="false" customHeight="true" outlineLevel="0" collapsed="false">
      <c r="B231" s="230"/>
      <c r="C231" s="231"/>
      <c r="D231" s="231"/>
      <c r="E231" s="231"/>
      <c r="F231" s="239"/>
      <c r="G231" s="213" t="s">
        <v>243</v>
      </c>
      <c r="H231" s="214"/>
      <c r="I231" s="240"/>
      <c r="J231" s="240"/>
      <c r="K231" s="242" t="n">
        <f aca="false">SUM(K229:K230)</f>
        <v>4.84</v>
      </c>
    </row>
    <row r="232" s="190" customFormat="true" ht="15" hidden="false" customHeight="true" outlineLevel="0" collapsed="false">
      <c r="B232" s="273" t="s">
        <v>277</v>
      </c>
      <c r="C232" s="273"/>
      <c r="D232" s="273"/>
      <c r="E232" s="273"/>
      <c r="F232" s="217" t="s">
        <v>216</v>
      </c>
      <c r="G232" s="243" t="s">
        <v>333</v>
      </c>
      <c r="H232" s="217" t="s">
        <v>218</v>
      </c>
      <c r="I232" s="218" t="s">
        <v>219</v>
      </c>
      <c r="J232" s="218"/>
      <c r="K232" s="218"/>
    </row>
    <row r="233" s="190" customFormat="true" ht="15" hidden="false" customHeight="true" outlineLevel="0" collapsed="false">
      <c r="B233" s="202"/>
      <c r="C233" s="203"/>
      <c r="D233" s="203"/>
      <c r="E233" s="203"/>
      <c r="F233" s="204"/>
      <c r="G233" s="302"/>
      <c r="H233" s="359"/>
      <c r="I233" s="208"/>
      <c r="J233" s="203"/>
      <c r="K233" s="209"/>
    </row>
    <row r="234" s="190" customFormat="true" ht="15" hidden="false" customHeight="true" outlineLevel="0" collapsed="false">
      <c r="B234" s="230" t="s">
        <v>226</v>
      </c>
      <c r="C234" s="231"/>
      <c r="D234" s="231"/>
      <c r="E234" s="231"/>
      <c r="F234" s="239"/>
      <c r="G234" s="213" t="s">
        <v>227</v>
      </c>
      <c r="H234" s="214"/>
      <c r="I234" s="240"/>
      <c r="J234" s="240"/>
      <c r="K234" s="216" t="n">
        <f aca="false">SUM(K233:K233)</f>
        <v>0</v>
      </c>
    </row>
    <row r="235" s="190" customFormat="true" ht="15" hidden="false" customHeight="true" outlineLevel="0" collapsed="false">
      <c r="B235" s="230" t="s">
        <v>273</v>
      </c>
      <c r="C235" s="231"/>
      <c r="D235" s="231"/>
      <c r="E235" s="231"/>
      <c r="F235" s="239"/>
      <c r="G235" s="231"/>
      <c r="H235" s="239"/>
      <c r="I235" s="231"/>
      <c r="J235" s="231"/>
      <c r="K235" s="280" t="n">
        <f aca="false">SUM(K231+K234)</f>
        <v>4.84</v>
      </c>
    </row>
    <row r="236" s="190" customFormat="true" ht="15" hidden="false" customHeight="true" outlineLevel="0" collapsed="false">
      <c r="B236" s="254" t="s">
        <v>229</v>
      </c>
      <c r="C236" s="255"/>
      <c r="D236" s="361" t="n">
        <f aca="false">'Folha Rosto Comp. P. Unit. '!B5</f>
        <v>0.3</v>
      </c>
      <c r="E236" s="255"/>
      <c r="F236" s="256"/>
      <c r="G236" s="255"/>
      <c r="H236" s="256"/>
      <c r="I236" s="255"/>
      <c r="J236" s="255"/>
      <c r="K236" s="362" t="n">
        <f aca="false">ROUND(K235*D236,2)</f>
        <v>1.45</v>
      </c>
    </row>
    <row r="237" s="190" customFormat="true" ht="15" hidden="false" customHeight="true" outlineLevel="0" collapsed="false">
      <c r="B237" s="224" t="s">
        <v>230</v>
      </c>
      <c r="C237" s="224"/>
      <c r="D237" s="224"/>
      <c r="E237" s="224"/>
      <c r="F237" s="224"/>
      <c r="G237" s="224"/>
      <c r="H237" s="224"/>
      <c r="I237" s="224"/>
      <c r="J237" s="224"/>
      <c r="K237" s="242" t="n">
        <f aca="false">SUM(K235:K236)</f>
        <v>6.29</v>
      </c>
    </row>
    <row r="238" s="190" customFormat="true" ht="15" hidden="false" customHeight="true" outlineLevel="0" collapsed="false">
      <c r="F238" s="192"/>
      <c r="H238" s="192"/>
      <c r="K238" s="193"/>
    </row>
    <row r="239" s="190" customFormat="true" ht="15" hidden="false" customHeight="true" outlineLevel="0" collapsed="false">
      <c r="B239" s="227" t="n">
        <v>14</v>
      </c>
      <c r="C239" s="198" t="s">
        <v>339</v>
      </c>
      <c r="D239" s="215" t="s">
        <v>340</v>
      </c>
      <c r="E239" s="215"/>
      <c r="F239" s="215"/>
      <c r="G239" s="215"/>
      <c r="H239" s="214"/>
      <c r="I239" s="228"/>
      <c r="J239" s="200" t="s">
        <v>213</v>
      </c>
      <c r="K239" s="364" t="s">
        <v>341</v>
      </c>
    </row>
    <row r="240" s="190" customFormat="true" ht="15" hidden="false" customHeight="true" outlineLevel="0" collapsed="false">
      <c r="B240" s="355" t="s">
        <v>313</v>
      </c>
      <c r="C240" s="355"/>
      <c r="D240" s="204" t="s">
        <v>342</v>
      </c>
      <c r="E240" s="204" t="s">
        <v>343</v>
      </c>
      <c r="F240" s="204" t="s">
        <v>327</v>
      </c>
      <c r="G240" s="204"/>
      <c r="H240" s="204" t="s">
        <v>344</v>
      </c>
      <c r="I240" s="204"/>
      <c r="J240" s="205" t="s">
        <v>314</v>
      </c>
      <c r="K240" s="205"/>
    </row>
    <row r="241" s="190" customFormat="true" ht="15" hidden="false" customHeight="true" outlineLevel="0" collapsed="false">
      <c r="B241" s="355"/>
      <c r="C241" s="355"/>
      <c r="D241" s="204"/>
      <c r="E241" s="204"/>
      <c r="F241" s="243" t="s">
        <v>329</v>
      </c>
      <c r="G241" s="243" t="s">
        <v>330</v>
      </c>
      <c r="H241" s="243" t="s">
        <v>329</v>
      </c>
      <c r="I241" s="243" t="s">
        <v>330</v>
      </c>
      <c r="J241" s="205"/>
      <c r="K241" s="205"/>
    </row>
    <row r="242" s="190" customFormat="true" ht="15" hidden="false" customHeight="true" outlineLevel="0" collapsed="false">
      <c r="B242" s="202" t="s">
        <v>332</v>
      </c>
      <c r="C242" s="203"/>
      <c r="D242" s="302"/>
      <c r="E242" s="235" t="n">
        <v>2</v>
      </c>
      <c r="F242" s="217" t="n">
        <v>0.244</v>
      </c>
      <c r="G242" s="217"/>
      <c r="H242" s="299" t="n">
        <v>8.4</v>
      </c>
      <c r="I242" s="302"/>
      <c r="J242" s="231"/>
      <c r="K242" s="236" t="n">
        <f aca="false">ROUND(E242*F242*H242,2)</f>
        <v>4.1</v>
      </c>
    </row>
    <row r="243" s="190" customFormat="true" ht="15" hidden="false" customHeight="true" outlineLevel="0" collapsed="false">
      <c r="B243" s="202"/>
      <c r="C243" s="203"/>
      <c r="D243" s="203"/>
      <c r="E243" s="203"/>
      <c r="F243" s="203"/>
      <c r="G243" s="213" t="s">
        <v>345</v>
      </c>
      <c r="H243" s="214"/>
      <c r="I243" s="215"/>
      <c r="J243" s="215"/>
      <c r="K243" s="242" t="n">
        <f aca="false">SUM(K242:K242)</f>
        <v>4.1</v>
      </c>
    </row>
    <row r="244" s="190" customFormat="true" ht="15" hidden="false" customHeight="true" outlineLevel="0" collapsed="false">
      <c r="B244" s="202" t="s">
        <v>215</v>
      </c>
      <c r="C244" s="203"/>
      <c r="D244" s="203"/>
      <c r="E244" s="264"/>
      <c r="F244" s="204" t="s">
        <v>216</v>
      </c>
      <c r="G244" s="294" t="s">
        <v>217</v>
      </c>
      <c r="H244" s="294" t="s">
        <v>276</v>
      </c>
      <c r="I244" s="218" t="s">
        <v>223</v>
      </c>
      <c r="J244" s="218"/>
      <c r="K244" s="218"/>
    </row>
    <row r="245" s="190" customFormat="true" ht="15" hidden="false" customHeight="true" outlineLevel="0" collapsed="false">
      <c r="B245" s="202"/>
      <c r="C245" s="203"/>
      <c r="D245" s="203"/>
      <c r="E245" s="232"/>
      <c r="F245" s="302"/>
      <c r="G245" s="365"/>
      <c r="H245" s="366"/>
      <c r="I245" s="367"/>
      <c r="J245" s="367"/>
      <c r="K245" s="368"/>
    </row>
    <row r="246" s="190" customFormat="true" ht="15" hidden="false" customHeight="true" outlineLevel="0" collapsed="false">
      <c r="B246" s="230"/>
      <c r="C246" s="231"/>
      <c r="D246" s="231"/>
      <c r="E246" s="231"/>
      <c r="F246" s="231"/>
      <c r="G246" s="213" t="s">
        <v>301</v>
      </c>
      <c r="H246" s="214"/>
      <c r="I246" s="240"/>
      <c r="J246" s="240"/>
      <c r="K246" s="242" t="n">
        <f aca="false">SUM(K244:K245)</f>
        <v>0</v>
      </c>
    </row>
    <row r="247" s="190" customFormat="true" ht="15" hidden="false" customHeight="true" outlineLevel="0" collapsed="false">
      <c r="B247" s="230" t="s">
        <v>346</v>
      </c>
      <c r="C247" s="231"/>
      <c r="D247" s="231"/>
      <c r="E247" s="231"/>
      <c r="F247" s="231"/>
      <c r="G247" s="231"/>
      <c r="H247" s="239"/>
      <c r="I247" s="231"/>
      <c r="J247" s="231"/>
      <c r="K247" s="280" t="n">
        <f aca="false">SUM(K243,K245)</f>
        <v>4.1</v>
      </c>
    </row>
    <row r="248" s="190" customFormat="true" ht="15" hidden="false" customHeight="true" outlineLevel="0" collapsed="false">
      <c r="B248" s="230" t="s">
        <v>229</v>
      </c>
      <c r="C248" s="231"/>
      <c r="D248" s="223" t="n">
        <f aca="false">'Folha Rosto Comp. P. Unit. '!B5</f>
        <v>0.3</v>
      </c>
      <c r="E248" s="231"/>
      <c r="F248" s="231"/>
      <c r="G248" s="231"/>
      <c r="H248" s="239"/>
      <c r="I248" s="231"/>
      <c r="J248" s="203"/>
      <c r="K248" s="222" t="n">
        <f aca="false">ROUND(K247*D248,2)</f>
        <v>1.23</v>
      </c>
    </row>
    <row r="249" s="190" customFormat="true" ht="15" hidden="false" customHeight="true" outlineLevel="0" collapsed="false">
      <c r="B249" s="224" t="s">
        <v>230</v>
      </c>
      <c r="C249" s="224"/>
      <c r="D249" s="224"/>
      <c r="E249" s="224"/>
      <c r="F249" s="224"/>
      <c r="G249" s="224"/>
      <c r="H249" s="224"/>
      <c r="I249" s="224"/>
      <c r="J249" s="224"/>
      <c r="K249" s="242" t="n">
        <f aca="false">SUM(K247:K248)</f>
        <v>5.33</v>
      </c>
    </row>
    <row r="250" s="190" customFormat="true" ht="15" hidden="false" customHeight="true" outlineLevel="0" collapsed="false">
      <c r="B250" s="282"/>
      <c r="C250" s="282"/>
      <c r="D250" s="282"/>
      <c r="E250" s="282"/>
      <c r="F250" s="282"/>
      <c r="G250" s="282"/>
      <c r="H250" s="282"/>
      <c r="I250" s="282"/>
      <c r="J250" s="282"/>
      <c r="K250" s="283"/>
    </row>
    <row r="251" s="190" customFormat="true" ht="15" hidden="false" customHeight="true" outlineLevel="0" collapsed="false">
      <c r="B251" s="227" t="n">
        <v>15</v>
      </c>
      <c r="C251" s="369" t="s">
        <v>211</v>
      </c>
      <c r="D251" s="322" t="s">
        <v>347</v>
      </c>
      <c r="E251" s="322"/>
      <c r="F251" s="322"/>
      <c r="G251" s="322"/>
      <c r="H251" s="322"/>
      <c r="I251" s="322"/>
      <c r="J251" s="200" t="s">
        <v>213</v>
      </c>
      <c r="K251" s="263" t="s">
        <v>236</v>
      </c>
    </row>
    <row r="252" s="190" customFormat="true" ht="15" hidden="false" customHeight="true" outlineLevel="0" collapsed="false">
      <c r="B252" s="370" t="s">
        <v>215</v>
      </c>
      <c r="C252" s="371"/>
      <c r="D252" s="372"/>
      <c r="E252" s="360"/>
      <c r="F252" s="373" t="s">
        <v>216</v>
      </c>
      <c r="G252" s="373" t="s">
        <v>217</v>
      </c>
      <c r="H252" s="373" t="s">
        <v>276</v>
      </c>
      <c r="I252" s="374" t="s">
        <v>223</v>
      </c>
      <c r="J252" s="374"/>
      <c r="K252" s="374"/>
    </row>
    <row r="253" s="190" customFormat="true" ht="15" hidden="false" customHeight="true" outlineLevel="0" collapsed="false">
      <c r="B253" s="202" t="s">
        <v>348</v>
      </c>
      <c r="C253" s="203"/>
      <c r="D253" s="203"/>
      <c r="E253" s="264"/>
      <c r="F253" s="204" t="s">
        <v>239</v>
      </c>
      <c r="G253" s="234" t="n">
        <v>0.01</v>
      </c>
      <c r="H253" s="234" t="n">
        <v>3.81</v>
      </c>
      <c r="I253" s="210"/>
      <c r="J253" s="212"/>
      <c r="K253" s="221" t="n">
        <f aca="false">ROUND(G253*H253,2)</f>
        <v>0.04</v>
      </c>
    </row>
    <row r="254" s="190" customFormat="true" ht="15" hidden="false" customHeight="true" outlineLevel="0" collapsed="false">
      <c r="B254" s="202" t="s">
        <v>240</v>
      </c>
      <c r="C254" s="203"/>
      <c r="D254" s="203"/>
      <c r="E254" s="264"/>
      <c r="F254" s="204" t="s">
        <v>239</v>
      </c>
      <c r="G254" s="234" t="n">
        <v>0.01</v>
      </c>
      <c r="H254" s="234" t="n">
        <f aca="false">'Folha Rosto Comp. P. Unit. '!D8</f>
        <v>1.64</v>
      </c>
      <c r="I254" s="219"/>
      <c r="J254" s="220"/>
      <c r="K254" s="221" t="n">
        <f aca="false">ROUND(G254*H254,2)</f>
        <v>0.02</v>
      </c>
    </row>
    <row r="255" s="190" customFormat="true" ht="15" hidden="false" customHeight="true" outlineLevel="0" collapsed="false">
      <c r="B255" s="202"/>
      <c r="C255" s="203"/>
      <c r="D255" s="237" t="s">
        <v>241</v>
      </c>
      <c r="E255" s="264"/>
      <c r="F255" s="204"/>
      <c r="G255" s="250"/>
      <c r="H255" s="250"/>
      <c r="I255" s="305"/>
      <c r="J255" s="251"/>
      <c r="K255" s="252" t="n">
        <f aca="false">SUM(K253:K254)</f>
        <v>0.06</v>
      </c>
    </row>
    <row r="256" s="190" customFormat="true" ht="15" hidden="false" customHeight="true" outlineLevel="0" collapsed="false">
      <c r="B256" s="202" t="s">
        <v>349</v>
      </c>
      <c r="C256" s="203"/>
      <c r="D256" s="203"/>
      <c r="E256" s="264"/>
      <c r="F256" s="204"/>
      <c r="G256" s="375" t="n">
        <f aca="false">'Folha Rosto Comp. P. Unit. '!B4</f>
        <v>1.26</v>
      </c>
      <c r="H256" s="373"/>
      <c r="I256" s="372"/>
      <c r="J256" s="255"/>
      <c r="K256" s="376" t="n">
        <f aca="false">K255*G256</f>
        <v>0.0756</v>
      </c>
    </row>
    <row r="257" s="190" customFormat="true" ht="15" hidden="false" customHeight="true" outlineLevel="0" collapsed="false">
      <c r="B257" s="202"/>
      <c r="C257" s="203"/>
      <c r="D257" s="203"/>
      <c r="E257" s="203"/>
      <c r="F257" s="245"/>
      <c r="G257" s="213" t="s">
        <v>243</v>
      </c>
      <c r="H257" s="214"/>
      <c r="I257" s="215"/>
      <c r="J257" s="215"/>
      <c r="K257" s="242" t="n">
        <f aca="false">SUM(K255:K256)</f>
        <v>0.1356</v>
      </c>
    </row>
    <row r="258" s="190" customFormat="true" ht="15" hidden="false" customHeight="true" outlineLevel="0" collapsed="false">
      <c r="B258" s="355" t="s">
        <v>302</v>
      </c>
      <c r="C258" s="355"/>
      <c r="D258" s="204" t="s">
        <v>216</v>
      </c>
      <c r="E258" s="204" t="s">
        <v>350</v>
      </c>
      <c r="F258" s="204" t="s">
        <v>327</v>
      </c>
      <c r="G258" s="204"/>
      <c r="H258" s="204" t="s">
        <v>351</v>
      </c>
      <c r="I258" s="204"/>
      <c r="J258" s="205" t="s">
        <v>223</v>
      </c>
      <c r="K258" s="205"/>
    </row>
    <row r="259" s="190" customFormat="true" ht="15" hidden="false" customHeight="true" outlineLevel="0" collapsed="false">
      <c r="B259" s="355"/>
      <c r="C259" s="355"/>
      <c r="D259" s="204"/>
      <c r="E259" s="204"/>
      <c r="F259" s="217" t="s">
        <v>329</v>
      </c>
      <c r="G259" s="217" t="s">
        <v>330</v>
      </c>
      <c r="H259" s="313" t="s">
        <v>329</v>
      </c>
      <c r="I259" s="217" t="s">
        <v>330</v>
      </c>
      <c r="J259" s="205"/>
      <c r="K259" s="205"/>
    </row>
    <row r="260" s="190" customFormat="true" ht="21" hidden="false" customHeight="true" outlineLevel="0" collapsed="false">
      <c r="B260" s="377" t="s">
        <v>352</v>
      </c>
      <c r="C260" s="377"/>
      <c r="D260" s="217" t="s">
        <v>239</v>
      </c>
      <c r="E260" s="235" t="n">
        <v>0.25</v>
      </c>
      <c r="F260" s="235" t="n">
        <v>0.2</v>
      </c>
      <c r="G260" s="235" t="n">
        <v>0.3</v>
      </c>
      <c r="H260" s="235" t="n">
        <v>0.85</v>
      </c>
      <c r="I260" s="217" t="n">
        <v>3.54</v>
      </c>
      <c r="J260" s="231"/>
      <c r="K260" s="236" t="n">
        <f aca="false">F260*H260</f>
        <v>0.17</v>
      </c>
    </row>
    <row r="261" s="190" customFormat="true" ht="21.75" hidden="false" customHeight="true" outlineLevel="0" collapsed="false">
      <c r="B261" s="378" t="s">
        <v>353</v>
      </c>
      <c r="C261" s="378"/>
      <c r="D261" s="204" t="s">
        <v>239</v>
      </c>
      <c r="E261" s="207" t="n">
        <v>0.25</v>
      </c>
      <c r="F261" s="207" t="n">
        <v>0.2</v>
      </c>
      <c r="G261" s="207" t="n">
        <v>0</v>
      </c>
      <c r="H261" s="234" t="n">
        <v>1.2</v>
      </c>
      <c r="I261" s="204" t="n">
        <v>0.67</v>
      </c>
      <c r="J261" s="203"/>
      <c r="K261" s="221" t="n">
        <f aca="false">F261*H261</f>
        <v>0.24</v>
      </c>
    </row>
    <row r="262" s="190" customFormat="true" ht="22.9" hidden="false" customHeight="true" outlineLevel="0" collapsed="false">
      <c r="B262" s="379" t="s">
        <v>354</v>
      </c>
      <c r="C262" s="379"/>
      <c r="D262" s="204" t="s">
        <v>239</v>
      </c>
      <c r="E262" s="299" t="n">
        <v>0.4</v>
      </c>
      <c r="F262" s="299" t="n">
        <v>0.157</v>
      </c>
      <c r="G262" s="299" t="n">
        <v>0</v>
      </c>
      <c r="H262" s="235" t="n">
        <v>14.3</v>
      </c>
      <c r="I262" s="217" t="n">
        <v>1.05</v>
      </c>
      <c r="J262" s="231"/>
      <c r="K262" s="236" t="n">
        <f aca="false">F262*H262</f>
        <v>2.2451</v>
      </c>
    </row>
    <row r="263" s="190" customFormat="true" ht="21.75" hidden="false" customHeight="true" outlineLevel="0" collapsed="false">
      <c r="B263" s="377" t="s">
        <v>355</v>
      </c>
      <c r="C263" s="377"/>
      <c r="D263" s="204" t="s">
        <v>239</v>
      </c>
      <c r="E263" s="299" t="n">
        <v>0.4</v>
      </c>
      <c r="F263" s="235" t="n">
        <v>0.1</v>
      </c>
      <c r="G263" s="266" t="n">
        <v>0.3</v>
      </c>
      <c r="H263" s="250" t="n">
        <v>11.3</v>
      </c>
      <c r="I263" s="373" t="n">
        <v>8.31</v>
      </c>
      <c r="J263" s="188"/>
      <c r="K263" s="236" t="n">
        <f aca="false">F263*H263</f>
        <v>1.13</v>
      </c>
    </row>
    <row r="264" s="190" customFormat="true" ht="15" hidden="false" customHeight="true" outlineLevel="0" collapsed="false">
      <c r="B264" s="202"/>
      <c r="C264" s="203"/>
      <c r="D264" s="232"/>
      <c r="E264" s="264"/>
      <c r="F264" s="204"/>
      <c r="G264" s="213" t="s">
        <v>301</v>
      </c>
      <c r="H264" s="329"/>
      <c r="I264" s="215"/>
      <c r="J264" s="215"/>
      <c r="K264" s="242" t="n">
        <f aca="false">SUM(K260:K263)</f>
        <v>3.7851</v>
      </c>
    </row>
    <row r="265" s="190" customFormat="true" ht="15" hidden="false" customHeight="true" outlineLevel="0" collapsed="false">
      <c r="B265" s="273" t="s">
        <v>265</v>
      </c>
      <c r="C265" s="273"/>
      <c r="D265" s="217" t="s">
        <v>216</v>
      </c>
      <c r="E265" s="217" t="s">
        <v>350</v>
      </c>
      <c r="F265" s="217" t="s">
        <v>218</v>
      </c>
      <c r="G265" s="380"/>
      <c r="H265" s="381"/>
      <c r="I265" s="380"/>
      <c r="J265" s="380"/>
      <c r="K265" s="382"/>
    </row>
    <row r="266" s="190" customFormat="true" ht="23.25" hidden="false" customHeight="true" outlineLevel="0" collapsed="false">
      <c r="B266" s="379" t="s">
        <v>356</v>
      </c>
      <c r="C266" s="379"/>
      <c r="D266" s="217" t="s">
        <v>357</v>
      </c>
      <c r="E266" s="204" t="n">
        <v>0.0007</v>
      </c>
      <c r="F266" s="359" t="n">
        <v>819.5</v>
      </c>
      <c r="G266" s="367"/>
      <c r="H266" s="383"/>
      <c r="I266" s="367"/>
      <c r="J266" s="367"/>
      <c r="K266" s="280" t="n">
        <f aca="false">E266*F266</f>
        <v>0.57365</v>
      </c>
    </row>
    <row r="267" s="190" customFormat="true" ht="15" hidden="false" customHeight="true" outlineLevel="0" collapsed="false">
      <c r="B267" s="202"/>
      <c r="C267" s="203"/>
      <c r="D267" s="231"/>
      <c r="E267" s="203"/>
      <c r="F267" s="212"/>
      <c r="G267" s="213" t="s">
        <v>305</v>
      </c>
      <c r="H267" s="329"/>
      <c r="I267" s="215"/>
      <c r="J267" s="215"/>
      <c r="K267" s="242" t="n">
        <f aca="false">SUM(K266)</f>
        <v>0.57365</v>
      </c>
    </row>
    <row r="268" s="190" customFormat="true" ht="15" hidden="false" customHeight="true" outlineLevel="0" collapsed="false">
      <c r="B268" s="332" t="s">
        <v>306</v>
      </c>
      <c r="C268" s="302"/>
      <c r="D268" s="231"/>
      <c r="E268" s="231"/>
      <c r="F268" s="239"/>
      <c r="G268" s="231"/>
      <c r="H268" s="239"/>
      <c r="I268" s="231"/>
      <c r="J268" s="231"/>
      <c r="K268" s="280" t="n">
        <f aca="false">SUM(K257,K264,K267)</f>
        <v>4.49435</v>
      </c>
    </row>
    <row r="269" s="190" customFormat="true" ht="15" hidden="false" customHeight="true" outlineLevel="0" collapsed="false">
      <c r="B269" s="384" t="s">
        <v>229</v>
      </c>
      <c r="C269" s="385"/>
      <c r="D269" s="386" t="n">
        <f aca="false">'Folha Rosto Comp. P. Unit. '!B5</f>
        <v>0.3</v>
      </c>
      <c r="E269" s="387"/>
      <c r="F269" s="388"/>
      <c r="G269" s="387"/>
      <c r="H269" s="388"/>
      <c r="I269" s="387"/>
      <c r="J269" s="188"/>
      <c r="K269" s="222" t="n">
        <f aca="false">ROUND(K268*D269,2)</f>
        <v>1.35</v>
      </c>
    </row>
    <row r="270" s="190" customFormat="true" ht="15" hidden="false" customHeight="true" outlineLevel="0" collapsed="false">
      <c r="B270" s="224" t="s">
        <v>230</v>
      </c>
      <c r="C270" s="224"/>
      <c r="D270" s="224"/>
      <c r="E270" s="224"/>
      <c r="F270" s="224"/>
      <c r="G270" s="224"/>
      <c r="H270" s="224"/>
      <c r="I270" s="224"/>
      <c r="J270" s="224"/>
      <c r="K270" s="242" t="n">
        <f aca="false">SUM(K268:K269)</f>
        <v>5.84435</v>
      </c>
    </row>
    <row r="271" s="190" customFormat="true" ht="15" hidden="false" customHeight="true" outlineLevel="0" collapsed="false">
      <c r="B271" s="310"/>
      <c r="C271" s="310"/>
      <c r="D271" s="310"/>
      <c r="E271" s="310"/>
      <c r="F271" s="282"/>
      <c r="G271" s="310"/>
      <c r="H271" s="282"/>
      <c r="I271" s="310"/>
      <c r="J271" s="310"/>
      <c r="K271" s="283"/>
    </row>
    <row r="272" s="190" customFormat="true" ht="15" hidden="false" customHeight="true" outlineLevel="0" collapsed="false">
      <c r="B272" s="227" t="n">
        <v>16</v>
      </c>
      <c r="C272" s="369" t="s">
        <v>211</v>
      </c>
      <c r="D272" s="322" t="s">
        <v>358</v>
      </c>
      <c r="E272" s="322"/>
      <c r="F272" s="322"/>
      <c r="G272" s="322"/>
      <c r="H272" s="322"/>
      <c r="I272" s="322"/>
      <c r="J272" s="323" t="s">
        <v>213</v>
      </c>
      <c r="K272" s="324" t="s">
        <v>359</v>
      </c>
    </row>
    <row r="273" s="190" customFormat="true" ht="15" hidden="false" customHeight="true" outlineLevel="0" collapsed="false">
      <c r="B273" s="325" t="s">
        <v>215</v>
      </c>
      <c r="C273" s="326"/>
      <c r="D273" s="208"/>
      <c r="E273" s="264"/>
      <c r="F273" s="204" t="s">
        <v>216</v>
      </c>
      <c r="G273" s="204" t="s">
        <v>217</v>
      </c>
      <c r="H273" s="204" t="s">
        <v>276</v>
      </c>
      <c r="I273" s="205" t="s">
        <v>219</v>
      </c>
      <c r="J273" s="205"/>
      <c r="K273" s="205"/>
    </row>
    <row r="274" s="190" customFormat="true" ht="15" hidden="false" customHeight="true" outlineLevel="0" collapsed="false">
      <c r="B274" s="351" t="s">
        <v>348</v>
      </c>
      <c r="C274" s="336"/>
      <c r="D274" s="336"/>
      <c r="E274" s="389"/>
      <c r="F274" s="303" t="s">
        <v>239</v>
      </c>
      <c r="G274" s="390" t="n">
        <v>0.5</v>
      </c>
      <c r="H274" s="390" t="n">
        <v>3.81</v>
      </c>
      <c r="I274" s="391"/>
      <c r="J274" s="337"/>
      <c r="K274" s="392" t="n">
        <f aca="false">ROUND(G274*H274,2)</f>
        <v>1.91</v>
      </c>
    </row>
    <row r="275" s="190" customFormat="true" ht="15" hidden="false" customHeight="true" outlineLevel="0" collapsed="false">
      <c r="B275" s="292" t="s">
        <v>240</v>
      </c>
      <c r="C275" s="293"/>
      <c r="D275" s="293"/>
      <c r="E275" s="393"/>
      <c r="F275" s="294" t="s">
        <v>239</v>
      </c>
      <c r="G275" s="295" t="n">
        <v>0.5</v>
      </c>
      <c r="H275" s="295" t="n">
        <f aca="false">'Folha Rosto Comp. P. Unit. '!D8</f>
        <v>1.64</v>
      </c>
      <c r="I275" s="394"/>
      <c r="J275" s="395"/>
      <c r="K275" s="396" t="n">
        <f aca="false">ROUND(G275*H275,2)</f>
        <v>0.82</v>
      </c>
    </row>
    <row r="276" s="190" customFormat="true" ht="15" hidden="false" customHeight="true" outlineLevel="0" collapsed="false">
      <c r="B276" s="202"/>
      <c r="C276" s="203"/>
      <c r="D276" s="237" t="s">
        <v>241</v>
      </c>
      <c r="E276" s="264"/>
      <c r="F276" s="204"/>
      <c r="G276" s="234"/>
      <c r="H276" s="234"/>
      <c r="I276" s="219"/>
      <c r="J276" s="220"/>
      <c r="K276" s="221" t="n">
        <f aca="false">SUM(K274:K275)</f>
        <v>2.73</v>
      </c>
    </row>
    <row r="277" s="190" customFormat="true" ht="15" hidden="false" customHeight="true" outlineLevel="0" collapsed="false">
      <c r="B277" s="202" t="s">
        <v>349</v>
      </c>
      <c r="C277" s="203"/>
      <c r="D277" s="203"/>
      <c r="E277" s="264"/>
      <c r="F277" s="204"/>
      <c r="G277" s="238" t="n">
        <f aca="false">'Folha Rosto Comp. P. Unit. '!B4</f>
        <v>1.26</v>
      </c>
      <c r="H277" s="204"/>
      <c r="I277" s="208"/>
      <c r="J277" s="203"/>
      <c r="K277" s="221" t="n">
        <f aca="false">K276*G277</f>
        <v>3.4398</v>
      </c>
    </row>
    <row r="278" s="190" customFormat="true" ht="15" hidden="false" customHeight="true" outlineLevel="0" collapsed="false">
      <c r="B278" s="230"/>
      <c r="C278" s="231"/>
      <c r="D278" s="231"/>
      <c r="E278" s="231"/>
      <c r="F278" s="239"/>
      <c r="G278" s="213" t="s">
        <v>243</v>
      </c>
      <c r="H278" s="214"/>
      <c r="I278" s="215"/>
      <c r="J278" s="215"/>
      <c r="K278" s="242" t="n">
        <f aca="false">SUM(K276:K277)</f>
        <v>6.1698</v>
      </c>
    </row>
    <row r="279" s="190" customFormat="true" ht="15" hidden="false" customHeight="true" outlineLevel="0" collapsed="false">
      <c r="B279" s="273" t="s">
        <v>302</v>
      </c>
      <c r="C279" s="273"/>
      <c r="D279" s="217" t="s">
        <v>216</v>
      </c>
      <c r="E279" s="217" t="s">
        <v>350</v>
      </c>
      <c r="F279" s="204" t="s">
        <v>327</v>
      </c>
      <c r="G279" s="204"/>
      <c r="H279" s="294" t="s">
        <v>351</v>
      </c>
      <c r="I279" s="294"/>
      <c r="J279" s="218" t="s">
        <v>223</v>
      </c>
      <c r="K279" s="218"/>
    </row>
    <row r="280" s="190" customFormat="true" ht="15" hidden="false" customHeight="true" outlineLevel="0" collapsed="false">
      <c r="B280" s="273"/>
      <c r="C280" s="273"/>
      <c r="D280" s="217"/>
      <c r="E280" s="217"/>
      <c r="F280" s="217" t="s">
        <v>329</v>
      </c>
      <c r="G280" s="217" t="s">
        <v>330</v>
      </c>
      <c r="H280" s="313" t="s">
        <v>329</v>
      </c>
      <c r="I280" s="217" t="s">
        <v>330</v>
      </c>
      <c r="J280" s="218"/>
      <c r="K280" s="218"/>
    </row>
    <row r="281" s="190" customFormat="true" ht="21" hidden="false" customHeight="true" outlineLevel="0" collapsed="false">
      <c r="B281" s="377" t="s">
        <v>360</v>
      </c>
      <c r="C281" s="377"/>
      <c r="D281" s="217" t="s">
        <v>239</v>
      </c>
      <c r="E281" s="235" t="n">
        <v>1</v>
      </c>
      <c r="F281" s="235" t="n">
        <v>0.55</v>
      </c>
      <c r="G281" s="235" t="n">
        <v>0</v>
      </c>
      <c r="H281" s="235" t="n">
        <f aca="false">1.8*1.3</f>
        <v>2.34</v>
      </c>
      <c r="I281" s="204" t="n">
        <f aca="false">0.67*1.2</f>
        <v>0.804</v>
      </c>
      <c r="J281" s="203"/>
      <c r="K281" s="236" t="n">
        <f aca="false">F281*H281</f>
        <v>1.287</v>
      </c>
    </row>
    <row r="282" s="190" customFormat="true" ht="34.5" hidden="false" customHeight="true" outlineLevel="0" collapsed="false">
      <c r="B282" s="377" t="s">
        <v>353</v>
      </c>
      <c r="C282" s="377"/>
      <c r="D282" s="204" t="s">
        <v>239</v>
      </c>
      <c r="E282" s="299" t="n">
        <v>1</v>
      </c>
      <c r="F282" s="299" t="n">
        <v>0.5</v>
      </c>
      <c r="G282" s="299" t="n">
        <v>0</v>
      </c>
      <c r="H282" s="235" t="n">
        <f aca="false">78.65*1.3</f>
        <v>102.245</v>
      </c>
      <c r="I282" s="217" t="n">
        <f aca="false">38.86*1.2</f>
        <v>46.632</v>
      </c>
      <c r="J282" s="231"/>
      <c r="K282" s="236" t="n">
        <f aca="false">F282*H282</f>
        <v>51.1225</v>
      </c>
    </row>
    <row r="283" s="190" customFormat="true" ht="34.5" hidden="false" customHeight="true" outlineLevel="0" collapsed="false">
      <c r="B283" s="379" t="s">
        <v>361</v>
      </c>
      <c r="C283" s="379"/>
      <c r="D283" s="204" t="s">
        <v>239</v>
      </c>
      <c r="E283" s="299" t="n">
        <v>1</v>
      </c>
      <c r="F283" s="299" t="n">
        <v>0.268</v>
      </c>
      <c r="G283" s="299" t="n">
        <v>0.77</v>
      </c>
      <c r="H283" s="235" t="n">
        <f aca="false">46.1*1.3</f>
        <v>59.93</v>
      </c>
      <c r="I283" s="217" t="n">
        <f aca="false">19.39*1.2</f>
        <v>23.268</v>
      </c>
      <c r="J283" s="231"/>
      <c r="K283" s="236" t="n">
        <f aca="false">F283*H283</f>
        <v>16.06124</v>
      </c>
    </row>
    <row r="284" s="190" customFormat="true" ht="24" hidden="false" customHeight="true" outlineLevel="0" collapsed="false">
      <c r="B284" s="377" t="s">
        <v>362</v>
      </c>
      <c r="C284" s="377"/>
      <c r="D284" s="204" t="s">
        <v>239</v>
      </c>
      <c r="E284" s="299" t="n">
        <v>1</v>
      </c>
      <c r="F284" s="235" t="n">
        <v>0.5</v>
      </c>
      <c r="G284" s="266" t="n">
        <v>0</v>
      </c>
      <c r="H284" s="250" t="n">
        <f aca="false">19.4*1.3</f>
        <v>25.22</v>
      </c>
      <c r="I284" s="397" t="n">
        <f aca="false">2.3*1.2</f>
        <v>2.76</v>
      </c>
      <c r="J284" s="251"/>
      <c r="K284" s="236" t="n">
        <f aca="false">F284*H284</f>
        <v>12.61</v>
      </c>
    </row>
    <row r="285" s="190" customFormat="true" ht="15" hidden="false" customHeight="true" outlineLevel="0" collapsed="false">
      <c r="B285" s="202"/>
      <c r="C285" s="203"/>
      <c r="D285" s="232"/>
      <c r="E285" s="264"/>
      <c r="F285" s="204"/>
      <c r="G285" s="213" t="s">
        <v>301</v>
      </c>
      <c r="H285" s="329"/>
      <c r="I285" s="215"/>
      <c r="J285" s="215"/>
      <c r="K285" s="242" t="n">
        <f aca="false">SUM(K281:K284)</f>
        <v>81.08074</v>
      </c>
    </row>
    <row r="286" s="190" customFormat="true" ht="15" hidden="false" customHeight="true" outlineLevel="0" collapsed="false">
      <c r="B286" s="273" t="s">
        <v>265</v>
      </c>
      <c r="C286" s="273"/>
      <c r="D286" s="217" t="s">
        <v>216</v>
      </c>
      <c r="E286" s="217" t="s">
        <v>350</v>
      </c>
      <c r="F286" s="217" t="s">
        <v>218</v>
      </c>
      <c r="G286" s="380"/>
      <c r="H286" s="381"/>
      <c r="I286" s="398"/>
      <c r="J286" s="380"/>
      <c r="K286" s="399" t="s">
        <v>218</v>
      </c>
    </row>
    <row r="287" s="190" customFormat="true" ht="21.75" hidden="false" customHeight="true" outlineLevel="0" collapsed="false">
      <c r="B287" s="379" t="s">
        <v>363</v>
      </c>
      <c r="C287" s="379"/>
      <c r="D287" s="217" t="s">
        <v>357</v>
      </c>
      <c r="E287" s="204" t="n">
        <v>0.176</v>
      </c>
      <c r="F287" s="234" t="n">
        <f aca="false">284.59*1.5</f>
        <v>426.885</v>
      </c>
      <c r="G287" s="400"/>
      <c r="H287" s="237"/>
      <c r="I287" s="401"/>
      <c r="J287" s="400"/>
      <c r="K287" s="221" t="n">
        <f aca="false">E287*F287</f>
        <v>75.13176</v>
      </c>
    </row>
    <row r="288" s="190" customFormat="true" ht="15" hidden="false" customHeight="true" outlineLevel="0" collapsed="false">
      <c r="B288" s="246" t="s">
        <v>364</v>
      </c>
      <c r="C288" s="402"/>
      <c r="D288" s="217" t="s">
        <v>256</v>
      </c>
      <c r="E288" s="234" t="n">
        <v>14</v>
      </c>
      <c r="F288" s="234" t="n">
        <f aca="false">0.15*1.3</f>
        <v>0.195</v>
      </c>
      <c r="G288" s="400"/>
      <c r="H288" s="237"/>
      <c r="I288" s="401"/>
      <c r="J288" s="400"/>
      <c r="K288" s="221" t="n">
        <f aca="false">E288*F288</f>
        <v>2.73</v>
      </c>
    </row>
    <row r="289" s="190" customFormat="true" ht="15" hidden="false" customHeight="true" outlineLevel="0" collapsed="false">
      <c r="B289" s="246" t="s">
        <v>365</v>
      </c>
      <c r="C289" s="402"/>
      <c r="D289" s="217" t="s">
        <v>256</v>
      </c>
      <c r="E289" s="234" t="n">
        <v>9</v>
      </c>
      <c r="F289" s="234" t="n">
        <f aca="false">0.95*1.3</f>
        <v>1.235</v>
      </c>
      <c r="G289" s="400"/>
      <c r="H289" s="237"/>
      <c r="I289" s="401"/>
      <c r="J289" s="400"/>
      <c r="K289" s="221" t="n">
        <f aca="false">E289*F289</f>
        <v>11.115</v>
      </c>
    </row>
    <row r="290" s="190" customFormat="true" ht="15" hidden="false" customHeight="true" outlineLevel="0" collapsed="false">
      <c r="B290" s="379" t="s">
        <v>366</v>
      </c>
      <c r="C290" s="379"/>
      <c r="D290" s="217" t="s">
        <v>311</v>
      </c>
      <c r="E290" s="234" t="n">
        <v>1.32</v>
      </c>
      <c r="F290" s="234" t="n">
        <v>20</v>
      </c>
      <c r="G290" s="367"/>
      <c r="H290" s="383"/>
      <c r="I290" s="403"/>
      <c r="J290" s="310"/>
      <c r="K290" s="221" t="n">
        <f aca="false">E290*F290</f>
        <v>26.4</v>
      </c>
    </row>
    <row r="291" s="190" customFormat="true" ht="15" hidden="false" customHeight="true" outlineLevel="0" collapsed="false">
      <c r="B291" s="202"/>
      <c r="C291" s="203"/>
      <c r="D291" s="231"/>
      <c r="E291" s="203"/>
      <c r="F291" s="212"/>
      <c r="G291" s="213" t="s">
        <v>305</v>
      </c>
      <c r="H291" s="329"/>
      <c r="I291" s="215"/>
      <c r="J291" s="215"/>
      <c r="K291" s="242" t="n">
        <f aca="false">SUM(K287:K290)</f>
        <v>115.37676</v>
      </c>
    </row>
    <row r="292" s="190" customFormat="true" ht="15" hidden="false" customHeight="true" outlineLevel="0" collapsed="false">
      <c r="B292" s="332" t="s">
        <v>306</v>
      </c>
      <c r="C292" s="302"/>
      <c r="D292" s="231"/>
      <c r="E292" s="231"/>
      <c r="F292" s="239"/>
      <c r="G292" s="231"/>
      <c r="H292" s="239"/>
      <c r="I292" s="231"/>
      <c r="J292" s="231"/>
      <c r="K292" s="280" t="n">
        <f aca="false">SUM(K278,K285,K291)</f>
        <v>202.6273</v>
      </c>
    </row>
    <row r="293" s="190" customFormat="true" ht="15" hidden="false" customHeight="true" outlineLevel="0" collapsed="false">
      <c r="B293" s="384" t="s">
        <v>229</v>
      </c>
      <c r="C293" s="385"/>
      <c r="D293" s="386" t="n">
        <f aca="false">'Folha Rosto Comp. P. Unit. '!B5</f>
        <v>0.3</v>
      </c>
      <c r="E293" s="387"/>
      <c r="F293" s="388"/>
      <c r="G293" s="387"/>
      <c r="H293" s="388"/>
      <c r="I293" s="387"/>
      <c r="J293" s="188"/>
      <c r="K293" s="222" t="n">
        <f aca="false">ROUND(K292*D293,2)</f>
        <v>60.79</v>
      </c>
    </row>
    <row r="294" s="190" customFormat="true" ht="15" hidden="false" customHeight="true" outlineLevel="0" collapsed="false">
      <c r="B294" s="224" t="s">
        <v>230</v>
      </c>
      <c r="C294" s="224"/>
      <c r="D294" s="224"/>
      <c r="E294" s="224"/>
      <c r="F294" s="224"/>
      <c r="G294" s="224"/>
      <c r="H294" s="224"/>
      <c r="I294" s="224"/>
      <c r="J294" s="224"/>
      <c r="K294" s="242" t="n">
        <f aca="false">SUM(K292:K293)+0.01</f>
        <v>263.4273</v>
      </c>
    </row>
    <row r="295" s="190" customFormat="true" ht="15" hidden="false" customHeight="true" outlineLevel="0" collapsed="false">
      <c r="B295" s="282"/>
      <c r="C295" s="282"/>
      <c r="D295" s="282"/>
      <c r="E295" s="282"/>
      <c r="F295" s="282"/>
      <c r="G295" s="282"/>
      <c r="H295" s="282"/>
      <c r="I295" s="282"/>
      <c r="J295" s="282"/>
      <c r="K295" s="283"/>
    </row>
    <row r="296" s="190" customFormat="true" ht="15" hidden="false" customHeight="true" outlineLevel="0" collapsed="false">
      <c r="B296" s="227" t="n">
        <v>17</v>
      </c>
      <c r="C296" s="321" t="s">
        <v>211</v>
      </c>
      <c r="D296" s="322" t="s">
        <v>367</v>
      </c>
      <c r="E296" s="322"/>
      <c r="F296" s="322"/>
      <c r="G296" s="322"/>
      <c r="H296" s="322"/>
      <c r="I296" s="322"/>
      <c r="J296" s="200" t="s">
        <v>213</v>
      </c>
      <c r="K296" s="263" t="s">
        <v>311</v>
      </c>
    </row>
    <row r="297" s="190" customFormat="true" ht="15" hidden="false" customHeight="true" outlineLevel="0" collapsed="false">
      <c r="B297" s="325" t="s">
        <v>215</v>
      </c>
      <c r="C297" s="326"/>
      <c r="D297" s="208"/>
      <c r="E297" s="264"/>
      <c r="F297" s="204" t="s">
        <v>216</v>
      </c>
      <c r="G297" s="204" t="s">
        <v>217</v>
      </c>
      <c r="H297" s="204" t="s">
        <v>276</v>
      </c>
      <c r="I297" s="205" t="s">
        <v>219</v>
      </c>
      <c r="J297" s="205"/>
      <c r="K297" s="205"/>
    </row>
    <row r="298" s="190" customFormat="true" ht="15" hidden="false" customHeight="true" outlineLevel="0" collapsed="false">
      <c r="B298" s="230" t="s">
        <v>368</v>
      </c>
      <c r="C298" s="231"/>
      <c r="D298" s="231"/>
      <c r="E298" s="232"/>
      <c r="F298" s="217" t="s">
        <v>239</v>
      </c>
      <c r="G298" s="318" t="n">
        <v>2.6</v>
      </c>
      <c r="H298" s="235" t="n">
        <f aca="false">'Folha Rosto Comp. P. Unit. '!D7</f>
        <v>2.56</v>
      </c>
      <c r="I298" s="277"/>
      <c r="J298" s="278"/>
      <c r="K298" s="236" t="n">
        <f aca="false">ROUND(G298*H298,2)</f>
        <v>6.66</v>
      </c>
    </row>
    <row r="299" s="190" customFormat="true" ht="15" hidden="false" customHeight="true" outlineLevel="0" collapsed="false">
      <c r="B299" s="202" t="s">
        <v>240</v>
      </c>
      <c r="C299" s="203"/>
      <c r="D299" s="203"/>
      <c r="E299" s="264"/>
      <c r="F299" s="204" t="s">
        <v>239</v>
      </c>
      <c r="G299" s="234" t="n">
        <v>13</v>
      </c>
      <c r="H299" s="234" t="n">
        <f aca="false">'Folha Rosto Comp. P. Unit. '!D8</f>
        <v>1.64</v>
      </c>
      <c r="I299" s="219"/>
      <c r="J299" s="220"/>
      <c r="K299" s="221" t="n">
        <f aca="false">ROUND(G299*H299,2)</f>
        <v>21.32</v>
      </c>
    </row>
    <row r="300" s="190" customFormat="true" ht="15" hidden="false" customHeight="true" outlineLevel="0" collapsed="false">
      <c r="B300" s="202"/>
      <c r="C300" s="203"/>
      <c r="D300" s="237" t="s">
        <v>241</v>
      </c>
      <c r="E300" s="264"/>
      <c r="F300" s="204"/>
      <c r="G300" s="234"/>
      <c r="H300" s="234"/>
      <c r="I300" s="219"/>
      <c r="J300" s="220"/>
      <c r="K300" s="221" t="n">
        <f aca="false">SUM(K298:K299)</f>
        <v>27.98</v>
      </c>
    </row>
    <row r="301" s="190" customFormat="true" ht="15" hidden="false" customHeight="true" outlineLevel="0" collapsed="false">
      <c r="B301" s="202" t="s">
        <v>349</v>
      </c>
      <c r="C301" s="203"/>
      <c r="D301" s="203"/>
      <c r="E301" s="264"/>
      <c r="F301" s="204"/>
      <c r="G301" s="238" t="n">
        <f aca="false">'Folha Rosto Comp. P. Unit. '!B4</f>
        <v>1.26</v>
      </c>
      <c r="H301" s="204"/>
      <c r="I301" s="208"/>
      <c r="J301" s="203"/>
      <c r="K301" s="221" t="n">
        <f aca="false">K300*G301</f>
        <v>35.2548</v>
      </c>
    </row>
    <row r="302" s="190" customFormat="true" ht="15" hidden="false" customHeight="true" outlineLevel="0" collapsed="false">
      <c r="B302" s="230"/>
      <c r="C302" s="231"/>
      <c r="D302" s="231"/>
      <c r="E302" s="231"/>
      <c r="F302" s="239"/>
      <c r="G302" s="213" t="s">
        <v>243</v>
      </c>
      <c r="H302" s="214"/>
      <c r="I302" s="215"/>
      <c r="J302" s="215"/>
      <c r="K302" s="242" t="n">
        <f aca="false">SUM(K300:K301)</f>
        <v>63.2348</v>
      </c>
    </row>
    <row r="303" s="190" customFormat="true" ht="15" hidden="false" customHeight="true" outlineLevel="0" collapsed="false">
      <c r="B303" s="273" t="s">
        <v>265</v>
      </c>
      <c r="C303" s="273"/>
      <c r="D303" s="273"/>
      <c r="E303" s="273"/>
      <c r="F303" s="217" t="s">
        <v>216</v>
      </c>
      <c r="G303" s="217" t="s">
        <v>296</v>
      </c>
      <c r="H303" s="217" t="s">
        <v>218</v>
      </c>
      <c r="I303" s="218" t="s">
        <v>219</v>
      </c>
      <c r="J303" s="218"/>
      <c r="K303" s="218"/>
    </row>
    <row r="304" s="190" customFormat="true" ht="15" hidden="false" customHeight="true" outlineLevel="0" collapsed="false">
      <c r="B304" s="230" t="s">
        <v>369</v>
      </c>
      <c r="C304" s="231"/>
      <c r="D304" s="231"/>
      <c r="E304" s="232"/>
      <c r="F304" s="217" t="s">
        <v>370</v>
      </c>
      <c r="G304" s="235" t="n">
        <v>7.55</v>
      </c>
      <c r="H304" s="235" t="n">
        <v>18</v>
      </c>
      <c r="I304" s="277"/>
      <c r="J304" s="278"/>
      <c r="K304" s="236" t="n">
        <f aca="false">ROUND(G304*H304,2)</f>
        <v>135.9</v>
      </c>
    </row>
    <row r="305" s="190" customFormat="true" ht="15" hidden="false" customHeight="true" outlineLevel="0" collapsed="false">
      <c r="B305" s="202" t="s">
        <v>366</v>
      </c>
      <c r="C305" s="203"/>
      <c r="D305" s="203"/>
      <c r="E305" s="264"/>
      <c r="F305" s="204" t="s">
        <v>311</v>
      </c>
      <c r="G305" s="234" t="n">
        <v>0.65</v>
      </c>
      <c r="H305" s="234" t="n">
        <v>20</v>
      </c>
      <c r="I305" s="219"/>
      <c r="J305" s="220"/>
      <c r="K305" s="221" t="n">
        <f aca="false">ROUND(G305*H305,2)</f>
        <v>13</v>
      </c>
    </row>
    <row r="306" s="190" customFormat="true" ht="15" hidden="false" customHeight="true" outlineLevel="0" collapsed="false">
      <c r="B306" s="202" t="s">
        <v>371</v>
      </c>
      <c r="C306" s="203"/>
      <c r="D306" s="203"/>
      <c r="E306" s="264"/>
      <c r="F306" s="204" t="s">
        <v>311</v>
      </c>
      <c r="G306" s="234" t="n">
        <v>0.8</v>
      </c>
      <c r="H306" s="234" t="n">
        <v>50</v>
      </c>
      <c r="I306" s="219"/>
      <c r="J306" s="220"/>
      <c r="K306" s="236" t="n">
        <f aca="false">ROUND(G306*H306,2)</f>
        <v>40</v>
      </c>
    </row>
    <row r="307" s="190" customFormat="true" ht="15" hidden="false" customHeight="true" outlineLevel="0" collapsed="false">
      <c r="B307" s="202"/>
      <c r="C307" s="203"/>
      <c r="D307" s="203"/>
      <c r="E307" s="264"/>
      <c r="F307" s="204"/>
      <c r="G307" s="213" t="s">
        <v>301</v>
      </c>
      <c r="H307" s="329"/>
      <c r="I307" s="215"/>
      <c r="J307" s="215"/>
      <c r="K307" s="242" t="n">
        <f aca="false">SUM(K304:K306)</f>
        <v>188.9</v>
      </c>
    </row>
    <row r="308" s="190" customFormat="true" ht="15" hidden="false" customHeight="true" outlineLevel="0" collapsed="false">
      <c r="B308" s="230" t="s">
        <v>372</v>
      </c>
      <c r="C308" s="302"/>
      <c r="D308" s="231"/>
      <c r="E308" s="231"/>
      <c r="F308" s="239"/>
      <c r="G308" s="231"/>
      <c r="H308" s="239"/>
      <c r="I308" s="231"/>
      <c r="J308" s="231"/>
      <c r="K308" s="280" t="n">
        <f aca="false">SUM(K302,K307)</f>
        <v>252.1348</v>
      </c>
    </row>
    <row r="309" s="190" customFormat="true" ht="15" hidden="false" customHeight="true" outlineLevel="0" collapsed="false">
      <c r="B309" s="404" t="s">
        <v>229</v>
      </c>
      <c r="C309" s="405"/>
      <c r="D309" s="386" t="n">
        <f aca="false">'Folha Rosto Comp. P. Unit. '!B5</f>
        <v>0.3</v>
      </c>
      <c r="E309" s="188"/>
      <c r="F309" s="353"/>
      <c r="G309" s="188"/>
      <c r="H309" s="353"/>
      <c r="I309" s="188"/>
      <c r="J309" s="188"/>
      <c r="K309" s="222" t="n">
        <f aca="false">ROUND(K308*D309,2)</f>
        <v>75.64</v>
      </c>
    </row>
    <row r="310" s="190" customFormat="true" ht="15" hidden="false" customHeight="true" outlineLevel="0" collapsed="false">
      <c r="B310" s="224" t="s">
        <v>230</v>
      </c>
      <c r="C310" s="224"/>
      <c r="D310" s="224"/>
      <c r="E310" s="224"/>
      <c r="F310" s="224"/>
      <c r="G310" s="224"/>
      <c r="H310" s="224"/>
      <c r="I310" s="224"/>
      <c r="J310" s="224"/>
      <c r="K310" s="242" t="n">
        <f aca="false">SUM(K308:K309)</f>
        <v>327.7748</v>
      </c>
    </row>
    <row r="311" s="190" customFormat="true" ht="15" hidden="false" customHeight="true" outlineLevel="0" collapsed="false">
      <c r="B311" s="282"/>
      <c r="C311" s="282"/>
      <c r="D311" s="282"/>
      <c r="E311" s="282"/>
      <c r="F311" s="282"/>
      <c r="G311" s="282"/>
      <c r="H311" s="282"/>
      <c r="I311" s="282"/>
      <c r="J311" s="282"/>
      <c r="K311" s="283"/>
    </row>
    <row r="312" s="190" customFormat="true" ht="15" hidden="false" customHeight="true" outlineLevel="0" collapsed="false">
      <c r="B312" s="227" t="n">
        <v>18</v>
      </c>
      <c r="C312" s="321" t="s">
        <v>211</v>
      </c>
      <c r="D312" s="406" t="s">
        <v>373</v>
      </c>
      <c r="E312" s="406"/>
      <c r="F312" s="406"/>
      <c r="G312" s="406"/>
      <c r="H312" s="406"/>
      <c r="I312" s="406"/>
      <c r="J312" s="323" t="s">
        <v>213</v>
      </c>
      <c r="K312" s="324" t="s">
        <v>236</v>
      </c>
    </row>
    <row r="313" s="190" customFormat="true" ht="15" hidden="false" customHeight="true" outlineLevel="0" collapsed="false">
      <c r="B313" s="325" t="s">
        <v>215</v>
      </c>
      <c r="C313" s="326"/>
      <c r="D313" s="208"/>
      <c r="E313" s="264"/>
      <c r="F313" s="204" t="s">
        <v>216</v>
      </c>
      <c r="G313" s="204" t="s">
        <v>217</v>
      </c>
      <c r="H313" s="204" t="s">
        <v>276</v>
      </c>
      <c r="I313" s="205" t="s">
        <v>219</v>
      </c>
      <c r="J313" s="205"/>
      <c r="K313" s="205"/>
    </row>
    <row r="314" s="190" customFormat="true" ht="15" hidden="false" customHeight="true" outlineLevel="0" collapsed="false">
      <c r="B314" s="202" t="s">
        <v>264</v>
      </c>
      <c r="C314" s="203"/>
      <c r="D314" s="203"/>
      <c r="E314" s="264"/>
      <c r="F314" s="204" t="s">
        <v>239</v>
      </c>
      <c r="G314" s="234" t="n">
        <v>1</v>
      </c>
      <c r="H314" s="235" t="n">
        <f aca="false">'Folha Rosto Comp. P. Unit. '!D7</f>
        <v>2.56</v>
      </c>
      <c r="I314" s="210"/>
      <c r="J314" s="212"/>
      <c r="K314" s="236" t="n">
        <f aca="false">ROUND(G314*H314,2)</f>
        <v>2.56</v>
      </c>
    </row>
    <row r="315" s="190" customFormat="true" ht="15" hidden="false" customHeight="true" outlineLevel="0" collapsed="false">
      <c r="B315" s="202" t="s">
        <v>240</v>
      </c>
      <c r="C315" s="203"/>
      <c r="D315" s="203"/>
      <c r="E315" s="264"/>
      <c r="F315" s="204" t="s">
        <v>239</v>
      </c>
      <c r="G315" s="234" t="n">
        <v>3</v>
      </c>
      <c r="H315" s="235" t="n">
        <f aca="false">'Folha Rosto Comp. P. Unit. '!D8</f>
        <v>1.64</v>
      </c>
      <c r="I315" s="219"/>
      <c r="J315" s="220"/>
      <c r="K315" s="236" t="n">
        <f aca="false">ROUND(G315*H315,2)</f>
        <v>4.92</v>
      </c>
    </row>
    <row r="316" s="190" customFormat="true" ht="15" hidden="false" customHeight="true" outlineLevel="0" collapsed="false">
      <c r="B316" s="202"/>
      <c r="C316" s="203"/>
      <c r="D316" s="237" t="s">
        <v>241</v>
      </c>
      <c r="E316" s="264"/>
      <c r="F316" s="204"/>
      <c r="G316" s="234"/>
      <c r="H316" s="234"/>
      <c r="I316" s="219"/>
      <c r="J316" s="220"/>
      <c r="K316" s="221" t="n">
        <f aca="false">SUM(K314:K315)</f>
        <v>7.48</v>
      </c>
    </row>
    <row r="317" s="190" customFormat="true" ht="15" hidden="false" customHeight="true" outlineLevel="0" collapsed="false">
      <c r="B317" s="202" t="s">
        <v>349</v>
      </c>
      <c r="C317" s="203"/>
      <c r="D317" s="203"/>
      <c r="E317" s="264"/>
      <c r="F317" s="204"/>
      <c r="G317" s="238" t="n">
        <f aca="false">'Folha Rosto Comp. P. Unit. '!B4</f>
        <v>1.26</v>
      </c>
      <c r="H317" s="204"/>
      <c r="I317" s="208"/>
      <c r="J317" s="203"/>
      <c r="K317" s="221" t="n">
        <f aca="false">K316*G317</f>
        <v>9.4248</v>
      </c>
    </row>
    <row r="318" s="190" customFormat="true" ht="15" hidden="false" customHeight="true" outlineLevel="0" collapsed="false">
      <c r="B318" s="230"/>
      <c r="C318" s="231"/>
      <c r="D318" s="231"/>
      <c r="E318" s="231"/>
      <c r="F318" s="239"/>
      <c r="G318" s="213" t="s">
        <v>243</v>
      </c>
      <c r="H318" s="214"/>
      <c r="I318" s="215"/>
      <c r="J318" s="215"/>
      <c r="K318" s="242" t="n">
        <f aca="false">SUM(K316:K317)</f>
        <v>16.9048</v>
      </c>
    </row>
    <row r="319" s="190" customFormat="true" ht="15" hidden="false" customHeight="true" outlineLevel="0" collapsed="false">
      <c r="B319" s="407" t="s">
        <v>265</v>
      </c>
      <c r="C319" s="407"/>
      <c r="D319" s="407"/>
      <c r="E319" s="407"/>
      <c r="F319" s="303" t="s">
        <v>216</v>
      </c>
      <c r="G319" s="303" t="s">
        <v>296</v>
      </c>
      <c r="H319" s="303" t="s">
        <v>218</v>
      </c>
      <c r="I319" s="408" t="s">
        <v>219</v>
      </c>
      <c r="J319" s="408"/>
      <c r="K319" s="408"/>
    </row>
    <row r="320" s="190" customFormat="true" ht="15" hidden="false" customHeight="true" outlineLevel="0" collapsed="false">
      <c r="B320" s="409" t="s">
        <v>374</v>
      </c>
      <c r="C320" s="410"/>
      <c r="D320" s="293"/>
      <c r="E320" s="393"/>
      <c r="F320" s="294" t="s">
        <v>267</v>
      </c>
      <c r="G320" s="295" t="n">
        <v>0.45</v>
      </c>
      <c r="H320" s="411" t="n">
        <v>58.9</v>
      </c>
      <c r="I320" s="412"/>
      <c r="J320" s="293"/>
      <c r="K320" s="413" t="n">
        <f aca="false">ROUND(G320*H320,2)</f>
        <v>26.51</v>
      </c>
    </row>
    <row r="321" s="190" customFormat="true" ht="15" hidden="false" customHeight="true" outlineLevel="0" collapsed="false">
      <c r="B321" s="248" t="s">
        <v>375</v>
      </c>
      <c r="C321" s="212"/>
      <c r="D321" s="203"/>
      <c r="E321" s="264"/>
      <c r="F321" s="204" t="s">
        <v>267</v>
      </c>
      <c r="G321" s="234" t="n">
        <v>0.15</v>
      </c>
      <c r="H321" s="346" t="n">
        <v>38.9</v>
      </c>
      <c r="I321" s="208"/>
      <c r="J321" s="203"/>
      <c r="K321" s="414" t="n">
        <f aca="false">ROUND(G321*H321,2)</f>
        <v>5.84</v>
      </c>
    </row>
    <row r="322" s="190" customFormat="true" ht="15" hidden="false" customHeight="true" outlineLevel="0" collapsed="false">
      <c r="B322" s="248" t="s">
        <v>376</v>
      </c>
      <c r="C322" s="212"/>
      <c r="D322" s="203"/>
      <c r="E322" s="264"/>
      <c r="F322" s="204" t="s">
        <v>267</v>
      </c>
      <c r="G322" s="234" t="n">
        <v>0.3399</v>
      </c>
      <c r="H322" s="346" t="n">
        <v>38.9</v>
      </c>
      <c r="I322" s="208"/>
      <c r="J322" s="203"/>
      <c r="K322" s="414" t="n">
        <f aca="false">ROUND(G322*H322,2)</f>
        <v>13.22</v>
      </c>
    </row>
    <row r="323" s="190" customFormat="true" ht="15" hidden="false" customHeight="true" outlineLevel="0" collapsed="false">
      <c r="B323" s="248"/>
      <c r="C323" s="203"/>
      <c r="D323" s="203"/>
      <c r="E323" s="264"/>
      <c r="F323" s="204"/>
      <c r="G323" s="213"/>
      <c r="H323" s="329"/>
      <c r="I323" s="215"/>
      <c r="J323" s="215"/>
      <c r="K323" s="242" t="n">
        <f aca="false">SUM(K320:K322)</f>
        <v>45.57</v>
      </c>
    </row>
    <row r="324" s="190" customFormat="true" ht="15" hidden="false" customHeight="true" outlineLevel="0" collapsed="false">
      <c r="B324" s="332" t="s">
        <v>306</v>
      </c>
      <c r="C324" s="302"/>
      <c r="D324" s="231"/>
      <c r="E324" s="231"/>
      <c r="F324" s="239"/>
      <c r="G324" s="231"/>
      <c r="H324" s="239"/>
      <c r="I324" s="231"/>
      <c r="J324" s="231"/>
      <c r="K324" s="280" t="n">
        <f aca="false">SUM(K318+K323)</f>
        <v>62.4748</v>
      </c>
    </row>
    <row r="325" s="190" customFormat="true" ht="15" hidden="false" customHeight="true" outlineLevel="0" collapsed="false">
      <c r="B325" s="384" t="s">
        <v>229</v>
      </c>
      <c r="C325" s="385"/>
      <c r="D325" s="386" t="n">
        <f aca="false">'Folha Rosto Comp. P. Unit. '!B5</f>
        <v>0.3</v>
      </c>
      <c r="E325" s="387"/>
      <c r="F325" s="388"/>
      <c r="G325" s="387"/>
      <c r="H325" s="388"/>
      <c r="I325" s="387"/>
      <c r="J325" s="188"/>
      <c r="K325" s="222" t="n">
        <f aca="false">ROUND(K324*D325,2)</f>
        <v>18.74</v>
      </c>
    </row>
    <row r="326" s="190" customFormat="true" ht="15" hidden="false" customHeight="true" outlineLevel="0" collapsed="false">
      <c r="B326" s="224" t="s">
        <v>290</v>
      </c>
      <c r="C326" s="224"/>
      <c r="D326" s="224"/>
      <c r="E326" s="224"/>
      <c r="F326" s="224"/>
      <c r="G326" s="224"/>
      <c r="H326" s="224"/>
      <c r="I326" s="224"/>
      <c r="J326" s="224"/>
      <c r="K326" s="242" t="n">
        <f aca="false">SUM(K324:K325)</f>
        <v>81.2148</v>
      </c>
    </row>
    <row r="327" s="190" customFormat="true" ht="15" hidden="false" customHeight="true" outlineLevel="0" collapsed="false">
      <c r="B327" s="282"/>
      <c r="C327" s="282"/>
      <c r="D327" s="282"/>
      <c r="E327" s="282"/>
      <c r="F327" s="282"/>
      <c r="G327" s="282"/>
      <c r="H327" s="282"/>
      <c r="I327" s="282"/>
      <c r="J327" s="282"/>
      <c r="K327" s="283"/>
    </row>
    <row r="328" s="190" customFormat="true" ht="15" hidden="false" customHeight="true" outlineLevel="0" collapsed="false">
      <c r="B328" s="227" t="n">
        <v>19</v>
      </c>
      <c r="C328" s="415" t="s">
        <v>211</v>
      </c>
      <c r="D328" s="416" t="s">
        <v>377</v>
      </c>
      <c r="E328" s="416"/>
      <c r="F328" s="416"/>
      <c r="G328" s="416"/>
      <c r="H328" s="416"/>
      <c r="I328" s="416"/>
      <c r="J328" s="200" t="s">
        <v>213</v>
      </c>
      <c r="K328" s="263" t="s">
        <v>311</v>
      </c>
    </row>
    <row r="329" s="190" customFormat="true" ht="15" hidden="false" customHeight="true" outlineLevel="0" collapsed="false">
      <c r="B329" s="341" t="s">
        <v>313</v>
      </c>
      <c r="C329" s="341"/>
      <c r="D329" s="294" t="s">
        <v>342</v>
      </c>
      <c r="E329" s="294" t="s">
        <v>326</v>
      </c>
      <c r="F329" s="294" t="s">
        <v>327</v>
      </c>
      <c r="G329" s="294"/>
      <c r="H329" s="294" t="s">
        <v>378</v>
      </c>
      <c r="I329" s="294"/>
      <c r="J329" s="218" t="s">
        <v>219</v>
      </c>
      <c r="K329" s="218"/>
    </row>
    <row r="330" s="190" customFormat="true" ht="15" hidden="false" customHeight="true" outlineLevel="0" collapsed="false">
      <c r="B330" s="341"/>
      <c r="C330" s="341"/>
      <c r="D330" s="294"/>
      <c r="E330" s="294"/>
      <c r="F330" s="243" t="s">
        <v>329</v>
      </c>
      <c r="G330" s="243" t="s">
        <v>330</v>
      </c>
      <c r="H330" s="243" t="s">
        <v>329</v>
      </c>
      <c r="I330" s="243" t="s">
        <v>330</v>
      </c>
      <c r="J330" s="218"/>
      <c r="K330" s="218"/>
    </row>
    <row r="331" s="190" customFormat="true" ht="15" hidden="false" customHeight="true" outlineLevel="0" collapsed="false">
      <c r="B331" s="202" t="s">
        <v>379</v>
      </c>
      <c r="C331" s="264"/>
      <c r="D331" s="302"/>
      <c r="E331" s="417" t="n">
        <v>1</v>
      </c>
      <c r="F331" s="235" t="n">
        <v>0.2</v>
      </c>
      <c r="G331" s="300"/>
      <c r="H331" s="235" t="n">
        <v>13</v>
      </c>
      <c r="I331" s="300"/>
      <c r="J331" s="278"/>
      <c r="K331" s="236" t="n">
        <f aca="false">ROUND(F331*H331,2)</f>
        <v>2.6</v>
      </c>
    </row>
    <row r="332" s="190" customFormat="true" ht="15" hidden="false" customHeight="true" outlineLevel="0" collapsed="false">
      <c r="B332" s="202" t="s">
        <v>332</v>
      </c>
      <c r="C332" s="264"/>
      <c r="D332" s="302"/>
      <c r="E332" s="417" t="n">
        <v>1</v>
      </c>
      <c r="F332" s="204" t="n">
        <f aca="false">1-G332</f>
        <v>0.95</v>
      </c>
      <c r="G332" s="204" t="n">
        <v>0.05</v>
      </c>
      <c r="H332" s="346" t="n">
        <v>53</v>
      </c>
      <c r="I332" s="210"/>
      <c r="J332" s="212"/>
      <c r="K332" s="418" t="n">
        <f aca="false">H332*G332</f>
        <v>2.65</v>
      </c>
    </row>
    <row r="333" s="190" customFormat="true" ht="15" hidden="false" customHeight="true" outlineLevel="0" collapsed="false">
      <c r="B333" s="202" t="s">
        <v>380</v>
      </c>
      <c r="C333" s="264"/>
      <c r="D333" s="302"/>
      <c r="E333" s="417" t="n">
        <v>1</v>
      </c>
      <c r="F333" s="204" t="n">
        <f aca="false">1-G333</f>
        <v>0.95</v>
      </c>
      <c r="G333" s="204" t="n">
        <v>0.05</v>
      </c>
      <c r="H333" s="346" t="n">
        <v>64</v>
      </c>
      <c r="I333" s="210"/>
      <c r="J333" s="212"/>
      <c r="K333" s="418" t="n">
        <f aca="false">H333*G333</f>
        <v>3.2</v>
      </c>
    </row>
    <row r="334" s="190" customFormat="true" ht="15" hidden="false" customHeight="true" outlineLevel="0" collapsed="false">
      <c r="B334" s="230"/>
      <c r="C334" s="231"/>
      <c r="D334" s="231"/>
      <c r="E334" s="231"/>
      <c r="F334" s="419"/>
      <c r="G334" s="213" t="s">
        <v>381</v>
      </c>
      <c r="H334" s="214"/>
      <c r="I334" s="215"/>
      <c r="J334" s="215"/>
      <c r="K334" s="216" t="n">
        <f aca="false">SUM(K331:K333)</f>
        <v>8.45</v>
      </c>
    </row>
    <row r="335" s="190" customFormat="true" ht="15" hidden="false" customHeight="true" outlineLevel="0" collapsed="false">
      <c r="B335" s="325" t="s">
        <v>215</v>
      </c>
      <c r="C335" s="326"/>
      <c r="D335" s="208"/>
      <c r="E335" s="264"/>
      <c r="F335" s="204" t="s">
        <v>216</v>
      </c>
      <c r="G335" s="294" t="s">
        <v>217</v>
      </c>
      <c r="H335" s="294" t="s">
        <v>218</v>
      </c>
      <c r="I335" s="218" t="s">
        <v>219</v>
      </c>
      <c r="J335" s="218"/>
      <c r="K335" s="218"/>
    </row>
    <row r="336" s="190" customFormat="true" ht="15" hidden="false" customHeight="true" outlineLevel="0" collapsed="false">
      <c r="B336" s="202" t="s">
        <v>240</v>
      </c>
      <c r="C336" s="203"/>
      <c r="D336" s="203"/>
      <c r="E336" s="264"/>
      <c r="F336" s="204" t="s">
        <v>239</v>
      </c>
      <c r="G336" s="234" t="n">
        <v>1.06</v>
      </c>
      <c r="H336" s="234" t="n">
        <f aca="false">'Folha Rosto Comp. P. Unit. '!D8</f>
        <v>1.64</v>
      </c>
      <c r="I336" s="219"/>
      <c r="J336" s="220"/>
      <c r="K336" s="236" t="n">
        <f aca="false">ROUND(G336*H336,2)</f>
        <v>1.74</v>
      </c>
    </row>
    <row r="337" s="190" customFormat="true" ht="15" hidden="false" customHeight="true" outlineLevel="0" collapsed="false">
      <c r="B337" s="202"/>
      <c r="C337" s="203"/>
      <c r="D337" s="237" t="s">
        <v>241</v>
      </c>
      <c r="E337" s="264"/>
      <c r="F337" s="204"/>
      <c r="G337" s="234"/>
      <c r="H337" s="234"/>
      <c r="I337" s="219"/>
      <c r="J337" s="220"/>
      <c r="K337" s="221" t="n">
        <f aca="false">SUM(K336)</f>
        <v>1.74</v>
      </c>
    </row>
    <row r="338" s="190" customFormat="true" ht="15" hidden="false" customHeight="true" outlineLevel="0" collapsed="false">
      <c r="B338" s="202" t="s">
        <v>349</v>
      </c>
      <c r="C338" s="203"/>
      <c r="D338" s="203"/>
      <c r="E338" s="264"/>
      <c r="F338" s="326"/>
      <c r="G338" s="238" t="n">
        <f aca="false">'Folha Rosto Comp. P. Unit. '!B4</f>
        <v>1.26</v>
      </c>
      <c r="H338" s="204"/>
      <c r="I338" s="208"/>
      <c r="J338" s="203"/>
      <c r="K338" s="221" t="n">
        <f aca="false">K337*G338</f>
        <v>2.1924</v>
      </c>
    </row>
    <row r="339" s="190" customFormat="true" ht="15" hidden="false" customHeight="true" outlineLevel="0" collapsed="false">
      <c r="B339" s="230"/>
      <c r="C339" s="231"/>
      <c r="D339" s="231"/>
      <c r="E339" s="231"/>
      <c r="F339" s="231"/>
      <c r="G339" s="213" t="s">
        <v>301</v>
      </c>
      <c r="H339" s="329"/>
      <c r="I339" s="215"/>
      <c r="J339" s="215"/>
      <c r="K339" s="242" t="n">
        <f aca="false">SUM(K337:K338)</f>
        <v>3.9324</v>
      </c>
    </row>
    <row r="340" s="190" customFormat="true" ht="15" hidden="false" customHeight="true" outlineLevel="0" collapsed="false">
      <c r="B340" s="420" t="s">
        <v>382</v>
      </c>
      <c r="C340" s="420"/>
      <c r="D340" s="420"/>
      <c r="E340" s="420"/>
      <c r="F340" s="204" t="s">
        <v>216</v>
      </c>
      <c r="G340" s="294" t="s">
        <v>217</v>
      </c>
      <c r="H340" s="294" t="s">
        <v>218</v>
      </c>
      <c r="I340" s="218" t="s">
        <v>219</v>
      </c>
      <c r="J340" s="218"/>
      <c r="K340" s="218"/>
    </row>
    <row r="341" s="190" customFormat="true" ht="15" hidden="false" customHeight="true" outlineLevel="0" collapsed="false">
      <c r="B341" s="202" t="s">
        <v>383</v>
      </c>
      <c r="C341" s="203"/>
      <c r="D341" s="203"/>
      <c r="E341" s="264"/>
      <c r="F341" s="204" t="s">
        <v>311</v>
      </c>
      <c r="G341" s="234" t="n">
        <v>1.3</v>
      </c>
      <c r="H341" s="234" t="n">
        <v>10</v>
      </c>
      <c r="I341" s="219"/>
      <c r="J341" s="220"/>
      <c r="K341" s="236" t="n">
        <f aca="false">ROUND(G341*H341,2)</f>
        <v>13</v>
      </c>
    </row>
    <row r="342" s="190" customFormat="true" ht="15" hidden="false" customHeight="true" outlineLevel="0" collapsed="false">
      <c r="B342" s="202"/>
      <c r="C342" s="203"/>
      <c r="D342" s="237" t="s">
        <v>241</v>
      </c>
      <c r="E342" s="264"/>
      <c r="F342" s="204"/>
      <c r="G342" s="234"/>
      <c r="H342" s="234"/>
      <c r="I342" s="219"/>
      <c r="J342" s="220"/>
      <c r="K342" s="221" t="n">
        <f aca="false">SUM(K341)</f>
        <v>13</v>
      </c>
    </row>
    <row r="343" s="190" customFormat="true" ht="15" hidden="false" customHeight="true" outlineLevel="0" collapsed="false">
      <c r="B343" s="202"/>
      <c r="C343" s="203"/>
      <c r="D343" s="203"/>
      <c r="E343" s="264"/>
      <c r="F343" s="326"/>
      <c r="G343" s="238"/>
      <c r="H343" s="204"/>
      <c r="I343" s="208"/>
      <c r="J343" s="203"/>
      <c r="K343" s="221" t="n">
        <f aca="false">K342*G343</f>
        <v>0</v>
      </c>
    </row>
    <row r="344" s="190" customFormat="true" ht="15" hidden="false" customHeight="true" outlineLevel="0" collapsed="false">
      <c r="B344" s="230"/>
      <c r="C344" s="231"/>
      <c r="D344" s="231"/>
      <c r="E344" s="231"/>
      <c r="F344" s="231"/>
      <c r="G344" s="213" t="s">
        <v>305</v>
      </c>
      <c r="H344" s="329"/>
      <c r="I344" s="215"/>
      <c r="J344" s="215"/>
      <c r="K344" s="242" t="n">
        <f aca="false">SUM(K342:K343)</f>
        <v>13</v>
      </c>
    </row>
    <row r="345" s="190" customFormat="true" ht="15" hidden="false" customHeight="true" outlineLevel="0" collapsed="false">
      <c r="B345" s="332" t="s">
        <v>384</v>
      </c>
      <c r="C345" s="302"/>
      <c r="D345" s="302"/>
      <c r="E345" s="302"/>
      <c r="F345" s="302"/>
      <c r="G345" s="231"/>
      <c r="H345" s="239"/>
      <c r="I345" s="231"/>
      <c r="J345" s="231"/>
      <c r="K345" s="280" t="n">
        <f aca="false">SUM(K334+K339+K344)</f>
        <v>25.3824</v>
      </c>
    </row>
    <row r="346" s="190" customFormat="true" ht="15" hidden="false" customHeight="true" outlineLevel="0" collapsed="false">
      <c r="B346" s="384" t="s">
        <v>229</v>
      </c>
      <c r="C346" s="385"/>
      <c r="D346" s="386" t="n">
        <f aca="false">'Folha Rosto Comp. P. Unit. '!B5</f>
        <v>0.3</v>
      </c>
      <c r="E346" s="387"/>
      <c r="F346" s="387"/>
      <c r="G346" s="387"/>
      <c r="H346" s="388"/>
      <c r="I346" s="387"/>
      <c r="J346" s="188"/>
      <c r="K346" s="222" t="n">
        <f aca="false">ROUND(K345*D346,2)</f>
        <v>7.61</v>
      </c>
    </row>
    <row r="347" s="190" customFormat="true" ht="15" hidden="false" customHeight="true" outlineLevel="0" collapsed="false">
      <c r="B347" s="224" t="s">
        <v>230</v>
      </c>
      <c r="C347" s="224"/>
      <c r="D347" s="224"/>
      <c r="E347" s="224"/>
      <c r="F347" s="224"/>
      <c r="G347" s="224"/>
      <c r="H347" s="224"/>
      <c r="I347" s="224"/>
      <c r="J347" s="224"/>
      <c r="K347" s="242" t="n">
        <f aca="false">SUM(K345:K346)</f>
        <v>32.9924</v>
      </c>
    </row>
    <row r="348" s="190" customFormat="true" ht="15" hidden="false" customHeight="true" outlineLevel="0" collapsed="false">
      <c r="B348" s="282"/>
      <c r="C348" s="282"/>
      <c r="D348" s="282"/>
      <c r="E348" s="282"/>
      <c r="F348" s="282"/>
      <c r="G348" s="282"/>
      <c r="H348" s="282"/>
      <c r="I348" s="282"/>
      <c r="J348" s="282"/>
      <c r="K348" s="283"/>
    </row>
    <row r="349" s="190" customFormat="true" ht="15" hidden="false" customHeight="true" outlineLevel="0" collapsed="false">
      <c r="B349" s="227" t="n">
        <v>20</v>
      </c>
      <c r="C349" s="369" t="s">
        <v>211</v>
      </c>
      <c r="D349" s="322" t="s">
        <v>385</v>
      </c>
      <c r="E349" s="322"/>
      <c r="F349" s="322"/>
      <c r="G349" s="322"/>
      <c r="H349" s="322"/>
      <c r="I349" s="322"/>
      <c r="J349" s="200" t="s">
        <v>213</v>
      </c>
      <c r="K349" s="263" t="s">
        <v>236</v>
      </c>
    </row>
    <row r="350" s="190" customFormat="true" ht="15" hidden="false" customHeight="true" outlineLevel="0" collapsed="false">
      <c r="B350" s="370" t="s">
        <v>215</v>
      </c>
      <c r="C350" s="371"/>
      <c r="D350" s="372"/>
      <c r="E350" s="360"/>
      <c r="F350" s="373" t="s">
        <v>216</v>
      </c>
      <c r="G350" s="373" t="s">
        <v>217</v>
      </c>
      <c r="H350" s="373" t="s">
        <v>276</v>
      </c>
      <c r="I350" s="374" t="s">
        <v>223</v>
      </c>
      <c r="J350" s="374"/>
      <c r="K350" s="374"/>
    </row>
    <row r="351" s="190" customFormat="true" ht="15" hidden="false" customHeight="true" outlineLevel="0" collapsed="false">
      <c r="B351" s="202" t="s">
        <v>348</v>
      </c>
      <c r="C351" s="203"/>
      <c r="D351" s="203"/>
      <c r="E351" s="264"/>
      <c r="F351" s="204" t="s">
        <v>239</v>
      </c>
      <c r="G351" s="357" t="n">
        <v>0.001</v>
      </c>
      <c r="H351" s="234" t="n">
        <v>3.81</v>
      </c>
      <c r="I351" s="210"/>
      <c r="J351" s="212"/>
      <c r="K351" s="421" t="n">
        <f aca="false">ROUND(G351*H351,2)</f>
        <v>0</v>
      </c>
    </row>
    <row r="352" s="190" customFormat="true" ht="15" hidden="false" customHeight="true" outlineLevel="0" collapsed="false">
      <c r="B352" s="202" t="s">
        <v>240</v>
      </c>
      <c r="C352" s="203"/>
      <c r="D352" s="203"/>
      <c r="E352" s="264"/>
      <c r="F352" s="204" t="s">
        <v>239</v>
      </c>
      <c r="G352" s="357" t="n">
        <f aca="false">G351</f>
        <v>0.001</v>
      </c>
      <c r="H352" s="234" t="n">
        <f aca="false">'Folha Rosto Comp. P. Unit. '!D8</f>
        <v>1.64</v>
      </c>
      <c r="I352" s="219"/>
      <c r="J352" s="220"/>
      <c r="K352" s="421" t="n">
        <f aca="false">ROUND(G352*H352,2)</f>
        <v>0</v>
      </c>
    </row>
    <row r="353" s="190" customFormat="true" ht="15" hidden="false" customHeight="true" outlineLevel="0" collapsed="false">
      <c r="B353" s="202"/>
      <c r="C353" s="203"/>
      <c r="D353" s="237" t="s">
        <v>241</v>
      </c>
      <c r="E353" s="264"/>
      <c r="F353" s="204"/>
      <c r="G353" s="250"/>
      <c r="H353" s="250"/>
      <c r="I353" s="305"/>
      <c r="J353" s="251"/>
      <c r="K353" s="252" t="n">
        <f aca="false">SUM(K351:K352)</f>
        <v>0</v>
      </c>
    </row>
    <row r="354" s="190" customFormat="true" ht="15" hidden="false" customHeight="true" outlineLevel="0" collapsed="false">
      <c r="B354" s="202" t="s">
        <v>349</v>
      </c>
      <c r="C354" s="203"/>
      <c r="D354" s="203"/>
      <c r="E354" s="264"/>
      <c r="F354" s="204"/>
      <c r="G354" s="375" t="n">
        <f aca="false">'Folha Rosto Comp. P. Unit. '!B4</f>
        <v>1.26</v>
      </c>
      <c r="H354" s="373"/>
      <c r="I354" s="372"/>
      <c r="J354" s="255"/>
      <c r="K354" s="376" t="n">
        <f aca="false">K353*G354</f>
        <v>0</v>
      </c>
    </row>
    <row r="355" s="190" customFormat="true" ht="15" hidden="false" customHeight="true" outlineLevel="0" collapsed="false">
      <c r="B355" s="202"/>
      <c r="C355" s="203"/>
      <c r="D355" s="203"/>
      <c r="E355" s="203"/>
      <c r="F355" s="245"/>
      <c r="G355" s="213" t="s">
        <v>243</v>
      </c>
      <c r="H355" s="214"/>
      <c r="I355" s="215"/>
      <c r="J355" s="215"/>
      <c r="K355" s="422" t="n">
        <f aca="false">SUM(K353:K354)</f>
        <v>0</v>
      </c>
    </row>
    <row r="356" s="190" customFormat="true" ht="15" hidden="false" customHeight="true" outlineLevel="0" collapsed="false">
      <c r="B356" s="355" t="s">
        <v>302</v>
      </c>
      <c r="C356" s="355"/>
      <c r="D356" s="204" t="s">
        <v>216</v>
      </c>
      <c r="E356" s="204" t="s">
        <v>350</v>
      </c>
      <c r="F356" s="204" t="s">
        <v>327</v>
      </c>
      <c r="G356" s="204"/>
      <c r="H356" s="204" t="s">
        <v>351</v>
      </c>
      <c r="I356" s="204"/>
      <c r="J356" s="205" t="s">
        <v>223</v>
      </c>
      <c r="K356" s="205"/>
    </row>
    <row r="357" s="190" customFormat="true" ht="15" hidden="false" customHeight="true" outlineLevel="0" collapsed="false">
      <c r="B357" s="355"/>
      <c r="C357" s="355"/>
      <c r="D357" s="204"/>
      <c r="E357" s="204"/>
      <c r="F357" s="217" t="s">
        <v>329</v>
      </c>
      <c r="G357" s="217" t="s">
        <v>330</v>
      </c>
      <c r="H357" s="313" t="s">
        <v>329</v>
      </c>
      <c r="I357" s="217" t="s">
        <v>330</v>
      </c>
      <c r="J357" s="205"/>
      <c r="K357" s="205"/>
    </row>
    <row r="358" s="190" customFormat="true" ht="24.75" hidden="false" customHeight="true" outlineLevel="0" collapsed="false">
      <c r="B358" s="377"/>
      <c r="C358" s="377"/>
      <c r="D358" s="217"/>
      <c r="E358" s="235"/>
      <c r="F358" s="235"/>
      <c r="G358" s="235"/>
      <c r="H358" s="235"/>
      <c r="I358" s="217"/>
      <c r="J358" s="231"/>
      <c r="K358" s="236"/>
    </row>
    <row r="359" s="190" customFormat="true" ht="22.9" hidden="false" customHeight="true" outlineLevel="0" collapsed="false">
      <c r="B359" s="378"/>
      <c r="C359" s="378"/>
      <c r="D359" s="204"/>
      <c r="E359" s="207"/>
      <c r="F359" s="207"/>
      <c r="G359" s="207"/>
      <c r="H359" s="234"/>
      <c r="I359" s="204"/>
      <c r="J359" s="203"/>
      <c r="K359" s="221"/>
    </row>
    <row r="360" s="190" customFormat="true" ht="30.75" hidden="false" customHeight="true" outlineLevel="0" collapsed="false">
      <c r="B360" s="379"/>
      <c r="C360" s="379"/>
      <c r="D360" s="204"/>
      <c r="E360" s="299"/>
      <c r="F360" s="299"/>
      <c r="G360" s="299"/>
      <c r="H360" s="235"/>
      <c r="I360" s="217"/>
      <c r="J360" s="231"/>
      <c r="K360" s="236"/>
    </row>
    <row r="361" s="190" customFormat="true" ht="23.25" hidden="false" customHeight="true" outlineLevel="0" collapsed="false">
      <c r="B361" s="377"/>
      <c r="C361" s="377"/>
      <c r="D361" s="204"/>
      <c r="E361" s="299"/>
      <c r="F361" s="235"/>
      <c r="G361" s="266"/>
      <c r="H361" s="250"/>
      <c r="I361" s="373"/>
      <c r="J361" s="188"/>
      <c r="K361" s="236"/>
    </row>
    <row r="362" s="190" customFormat="true" ht="15" hidden="false" customHeight="true" outlineLevel="0" collapsed="false">
      <c r="B362" s="202"/>
      <c r="C362" s="203"/>
      <c r="D362" s="232"/>
      <c r="E362" s="264"/>
      <c r="F362" s="204"/>
      <c r="G362" s="213" t="s">
        <v>301</v>
      </c>
      <c r="H362" s="329"/>
      <c r="I362" s="215"/>
      <c r="J362" s="215"/>
      <c r="K362" s="242" t="n">
        <f aca="false">SUM(K358:K361)</f>
        <v>0</v>
      </c>
    </row>
    <row r="363" s="190" customFormat="true" ht="15" hidden="false" customHeight="true" outlineLevel="0" collapsed="false">
      <c r="B363" s="273" t="s">
        <v>265</v>
      </c>
      <c r="C363" s="273"/>
      <c r="D363" s="217" t="s">
        <v>216</v>
      </c>
      <c r="E363" s="217" t="s">
        <v>350</v>
      </c>
      <c r="F363" s="217" t="s">
        <v>218</v>
      </c>
      <c r="G363" s="380"/>
      <c r="H363" s="381"/>
      <c r="I363" s="380"/>
      <c r="J363" s="380"/>
      <c r="K363" s="382"/>
    </row>
    <row r="364" s="190" customFormat="true" ht="25.5" hidden="false" customHeight="true" outlineLevel="0" collapsed="false">
      <c r="B364" s="379" t="s">
        <v>386</v>
      </c>
      <c r="C364" s="379"/>
      <c r="D364" s="217" t="s">
        <v>236</v>
      </c>
      <c r="E364" s="204" t="n">
        <v>1</v>
      </c>
      <c r="F364" s="359" t="n">
        <f aca="false">4.3*1.1</f>
        <v>4.73</v>
      </c>
      <c r="G364" s="367"/>
      <c r="H364" s="383"/>
      <c r="I364" s="367"/>
      <c r="J364" s="367"/>
      <c r="K364" s="280" t="n">
        <f aca="false">E364*F364</f>
        <v>4.73</v>
      </c>
    </row>
    <row r="365" s="190" customFormat="true" ht="15" hidden="false" customHeight="true" outlineLevel="0" collapsed="false">
      <c r="B365" s="202"/>
      <c r="C365" s="203"/>
      <c r="D365" s="231"/>
      <c r="E365" s="203"/>
      <c r="F365" s="212"/>
      <c r="G365" s="213" t="s">
        <v>305</v>
      </c>
      <c r="H365" s="329"/>
      <c r="I365" s="215"/>
      <c r="J365" s="215"/>
      <c r="K365" s="242" t="n">
        <f aca="false">SUM(K364)</f>
        <v>4.73</v>
      </c>
    </row>
    <row r="366" s="190" customFormat="true" ht="15" hidden="false" customHeight="true" outlineLevel="0" collapsed="false">
      <c r="B366" s="332" t="s">
        <v>306</v>
      </c>
      <c r="C366" s="302"/>
      <c r="D366" s="231"/>
      <c r="E366" s="231"/>
      <c r="F366" s="239"/>
      <c r="G366" s="231"/>
      <c r="H366" s="239"/>
      <c r="I366" s="231"/>
      <c r="J366" s="231"/>
      <c r="K366" s="280" t="n">
        <f aca="false">SUM(K355,K362,K365)</f>
        <v>4.73</v>
      </c>
    </row>
    <row r="367" s="190" customFormat="true" ht="15" hidden="false" customHeight="true" outlineLevel="0" collapsed="false">
      <c r="B367" s="384" t="s">
        <v>229</v>
      </c>
      <c r="C367" s="385"/>
      <c r="D367" s="386" t="n">
        <f aca="false">'Folha Rosto Comp. P. Unit. '!B5</f>
        <v>0.3</v>
      </c>
      <c r="E367" s="387"/>
      <c r="F367" s="388"/>
      <c r="G367" s="387"/>
      <c r="H367" s="388"/>
      <c r="I367" s="387"/>
      <c r="J367" s="188"/>
      <c r="K367" s="222" t="n">
        <f aca="false">ROUND(K366*D367,2)</f>
        <v>1.42</v>
      </c>
    </row>
    <row r="368" s="190" customFormat="true" ht="15" hidden="false" customHeight="true" outlineLevel="0" collapsed="false">
      <c r="B368" s="224" t="s">
        <v>230</v>
      </c>
      <c r="C368" s="224"/>
      <c r="D368" s="224"/>
      <c r="E368" s="224"/>
      <c r="F368" s="224"/>
      <c r="G368" s="224"/>
      <c r="H368" s="224"/>
      <c r="I368" s="224"/>
      <c r="J368" s="224"/>
      <c r="K368" s="242" t="n">
        <f aca="false">SUM(K366:K367)</f>
        <v>6.15</v>
      </c>
    </row>
    <row r="369" s="190" customFormat="true" ht="15" hidden="false" customHeight="true" outlineLevel="0" collapsed="false">
      <c r="B369" s="282"/>
      <c r="C369" s="282"/>
      <c r="D369" s="282"/>
      <c r="E369" s="282"/>
      <c r="F369" s="282"/>
      <c r="G369" s="282"/>
      <c r="H369" s="282"/>
      <c r="I369" s="282"/>
      <c r="J369" s="282"/>
      <c r="K369" s="283"/>
    </row>
    <row r="370" s="190" customFormat="true" ht="15" hidden="false" customHeight="true" outlineLevel="0" collapsed="false">
      <c r="B370" s="227" t="n">
        <v>21</v>
      </c>
      <c r="C370" s="198" t="s">
        <v>339</v>
      </c>
      <c r="D370" s="416" t="s">
        <v>387</v>
      </c>
      <c r="E370" s="416"/>
      <c r="F370" s="416"/>
      <c r="G370" s="416"/>
      <c r="H370" s="416"/>
      <c r="I370" s="416"/>
      <c r="J370" s="200" t="s">
        <v>213</v>
      </c>
      <c r="K370" s="263" t="s">
        <v>335</v>
      </c>
    </row>
    <row r="371" s="190" customFormat="true" ht="15" hidden="false" customHeight="true" outlineLevel="0" collapsed="false">
      <c r="B371" s="202"/>
      <c r="C371" s="203"/>
      <c r="D371" s="203"/>
      <c r="E371" s="264"/>
      <c r="F371" s="204" t="s">
        <v>216</v>
      </c>
      <c r="G371" s="204" t="s">
        <v>217</v>
      </c>
      <c r="H371" s="244" t="s">
        <v>218</v>
      </c>
      <c r="I371" s="218" t="s">
        <v>219</v>
      </c>
      <c r="J371" s="218"/>
      <c r="K371" s="218"/>
    </row>
    <row r="372" s="190" customFormat="true" ht="15" hidden="false" customHeight="true" outlineLevel="0" collapsed="false">
      <c r="B372" s="202" t="s">
        <v>240</v>
      </c>
      <c r="C372" s="203"/>
      <c r="D372" s="203"/>
      <c r="E372" s="203"/>
      <c r="F372" s="204" t="s">
        <v>239</v>
      </c>
      <c r="G372" s="234" t="n">
        <v>0.15</v>
      </c>
      <c r="H372" s="235" t="n">
        <f aca="false">'Folha Rosto Comp. P. Unit. '!D8</f>
        <v>1.64</v>
      </c>
      <c r="I372" s="220"/>
      <c r="J372" s="220"/>
      <c r="K372" s="236" t="n">
        <f aca="false">ROUND(G372*H372,2)</f>
        <v>0.25</v>
      </c>
    </row>
    <row r="373" s="190" customFormat="true" ht="15" hidden="false" customHeight="true" outlineLevel="0" collapsed="false">
      <c r="B373" s="202" t="s">
        <v>368</v>
      </c>
      <c r="C373" s="203"/>
      <c r="D373" s="203"/>
      <c r="E373" s="203"/>
      <c r="F373" s="204" t="s">
        <v>239</v>
      </c>
      <c r="G373" s="234" t="n">
        <v>0.15</v>
      </c>
      <c r="H373" s="234" t="n">
        <f aca="false">'Folha Rosto Comp. P. Unit. '!D7</f>
        <v>2.56</v>
      </c>
      <c r="I373" s="220"/>
      <c r="J373" s="220"/>
      <c r="K373" s="236" t="n">
        <f aca="false">ROUND(G373*H373,2)</f>
        <v>0.38</v>
      </c>
    </row>
    <row r="374" s="190" customFormat="true" ht="15" hidden="false" customHeight="true" outlineLevel="0" collapsed="false">
      <c r="B374" s="202"/>
      <c r="C374" s="203"/>
      <c r="D374" s="237" t="s">
        <v>241</v>
      </c>
      <c r="E374" s="203"/>
      <c r="F374" s="204"/>
      <c r="G374" s="234"/>
      <c r="H374" s="234"/>
      <c r="I374" s="220"/>
      <c r="J374" s="220"/>
      <c r="K374" s="221" t="n">
        <f aca="false">SUM(K372:K373)</f>
        <v>0.63</v>
      </c>
    </row>
    <row r="375" s="190" customFormat="true" ht="15" hidden="false" customHeight="true" outlineLevel="0" collapsed="false">
      <c r="B375" s="202" t="s">
        <v>388</v>
      </c>
      <c r="C375" s="203"/>
      <c r="D375" s="203"/>
      <c r="E375" s="203"/>
      <c r="F375" s="204" t="s">
        <v>239</v>
      </c>
      <c r="G375" s="238" t="n">
        <f aca="false">'Folha Rosto Comp. P. Unit. '!B4</f>
        <v>1.26</v>
      </c>
      <c r="H375" s="204"/>
      <c r="I375" s="203"/>
      <c r="J375" s="203"/>
      <c r="K375" s="221" t="n">
        <f aca="false">K374*G375</f>
        <v>0.7938</v>
      </c>
    </row>
    <row r="376" s="190" customFormat="true" ht="15" hidden="false" customHeight="true" outlineLevel="0" collapsed="false">
      <c r="B376" s="230"/>
      <c r="C376" s="231"/>
      <c r="D376" s="231"/>
      <c r="E376" s="231"/>
      <c r="F376" s="231"/>
      <c r="G376" s="213" t="s">
        <v>243</v>
      </c>
      <c r="H376" s="214"/>
      <c r="I376" s="240" t="n">
        <f aca="false">SUM(I372:I375)</f>
        <v>0</v>
      </c>
      <c r="J376" s="240"/>
      <c r="K376" s="242" t="n">
        <f aca="false">SUM(K374:K375)</f>
        <v>1.4238</v>
      </c>
    </row>
    <row r="377" s="190" customFormat="true" ht="15" hidden="false" customHeight="true" outlineLevel="0" collapsed="false">
      <c r="B377" s="273" t="s">
        <v>277</v>
      </c>
      <c r="C377" s="273"/>
      <c r="D377" s="273"/>
      <c r="E377" s="273"/>
      <c r="F377" s="243" t="s">
        <v>216</v>
      </c>
      <c r="G377" s="243" t="s">
        <v>389</v>
      </c>
      <c r="H377" s="243" t="s">
        <v>218</v>
      </c>
      <c r="I377" s="218" t="s">
        <v>219</v>
      </c>
      <c r="J377" s="218"/>
      <c r="K377" s="218"/>
    </row>
    <row r="378" s="190" customFormat="true" ht="15" hidden="false" customHeight="true" outlineLevel="0" collapsed="false">
      <c r="B378" s="202" t="s">
        <v>390</v>
      </c>
      <c r="C378" s="203"/>
      <c r="D378" s="203"/>
      <c r="E378" s="264"/>
      <c r="F378" s="243" t="s">
        <v>236</v>
      </c>
      <c r="G378" s="243" t="n">
        <f aca="false">1*0.1*0.7</f>
        <v>0.07</v>
      </c>
      <c r="H378" s="315" t="n">
        <f aca="false">K603</f>
        <v>274.6048</v>
      </c>
      <c r="I378" s="274"/>
      <c r="J378" s="231"/>
      <c r="K378" s="236" t="n">
        <f aca="false">ROUND(G378*H378,2)</f>
        <v>19.22</v>
      </c>
    </row>
    <row r="379" s="190" customFormat="true" ht="15" hidden="false" customHeight="true" outlineLevel="0" collapsed="false">
      <c r="B379" s="202" t="s">
        <v>391</v>
      </c>
      <c r="C379" s="203"/>
      <c r="D379" s="231"/>
      <c r="E379" s="231"/>
      <c r="F379" s="217" t="s">
        <v>236</v>
      </c>
      <c r="G379" s="235" t="n">
        <v>1</v>
      </c>
      <c r="H379" s="235" t="n">
        <f aca="false">K635</f>
        <v>26.5596</v>
      </c>
      <c r="I379" s="277"/>
      <c r="J379" s="278"/>
      <c r="K379" s="236" t="n">
        <f aca="false">ROUND(G379*H379,2)</f>
        <v>26.56</v>
      </c>
    </row>
    <row r="380" s="190" customFormat="true" ht="15" hidden="false" customHeight="true" outlineLevel="0" collapsed="false">
      <c r="B380" s="202"/>
      <c r="C380" s="203"/>
      <c r="D380" s="203"/>
      <c r="E380" s="203"/>
      <c r="F380" s="326"/>
      <c r="G380" s="213" t="s">
        <v>392</v>
      </c>
      <c r="H380" s="214"/>
      <c r="I380" s="423"/>
      <c r="J380" s="240"/>
      <c r="K380" s="242" t="n">
        <f aca="false">SUM(K378:K379)</f>
        <v>45.78</v>
      </c>
    </row>
    <row r="381" s="190" customFormat="true" ht="15" hidden="false" customHeight="true" outlineLevel="0" collapsed="false">
      <c r="B381" s="230" t="s">
        <v>393</v>
      </c>
      <c r="C381" s="231"/>
      <c r="D381" s="231"/>
      <c r="E381" s="231"/>
      <c r="F381" s="231"/>
      <c r="G381" s="231"/>
      <c r="H381" s="239"/>
      <c r="I381" s="231"/>
      <c r="J381" s="231"/>
      <c r="K381" s="280" t="n">
        <f aca="false">SUM(K376,K380)</f>
        <v>47.2038</v>
      </c>
    </row>
    <row r="382" s="190" customFormat="true" ht="15" hidden="false" customHeight="true" outlineLevel="0" collapsed="false">
      <c r="B382" s="230" t="s">
        <v>229</v>
      </c>
      <c r="C382" s="231"/>
      <c r="D382" s="223" t="n">
        <f aca="false">'Folha Rosto Comp. P. Unit. '!B5</f>
        <v>0.3</v>
      </c>
      <c r="E382" s="231"/>
      <c r="F382" s="231"/>
      <c r="G382" s="231"/>
      <c r="H382" s="239"/>
      <c r="I382" s="231"/>
      <c r="J382" s="203"/>
      <c r="K382" s="222" t="n">
        <f aca="false">K381*D382</f>
        <v>14.16114</v>
      </c>
    </row>
    <row r="383" s="190" customFormat="true" ht="15" hidden="false" customHeight="true" outlineLevel="0" collapsed="false">
      <c r="B383" s="224" t="s">
        <v>230</v>
      </c>
      <c r="C383" s="224"/>
      <c r="D383" s="224"/>
      <c r="E383" s="224"/>
      <c r="F383" s="224"/>
      <c r="G383" s="224"/>
      <c r="H383" s="224"/>
      <c r="I383" s="224"/>
      <c r="J383" s="224"/>
      <c r="K383" s="242" t="n">
        <f aca="false">SUM(K381:K382)</f>
        <v>61.36494</v>
      </c>
    </row>
    <row r="384" s="190" customFormat="true" ht="15" hidden="false" customHeight="true" outlineLevel="0" collapsed="false">
      <c r="B384" s="310"/>
      <c r="C384" s="310"/>
      <c r="D384" s="310"/>
      <c r="E384" s="310"/>
      <c r="F384" s="310"/>
      <c r="G384" s="310"/>
      <c r="H384" s="282"/>
      <c r="I384" s="311"/>
      <c r="J384" s="311"/>
      <c r="K384" s="312"/>
    </row>
    <row r="385" s="190" customFormat="true" ht="15" hidden="false" customHeight="true" outlineLevel="0" collapsed="false">
      <c r="B385" s="227" t="n">
        <v>22</v>
      </c>
      <c r="C385" s="198" t="s">
        <v>339</v>
      </c>
      <c r="D385" s="215" t="s">
        <v>394</v>
      </c>
      <c r="E385" s="215"/>
      <c r="F385" s="215"/>
      <c r="G385" s="215"/>
      <c r="H385" s="214"/>
      <c r="I385" s="228"/>
      <c r="J385" s="200" t="s">
        <v>213</v>
      </c>
      <c r="K385" s="263" t="s">
        <v>335</v>
      </c>
    </row>
    <row r="386" s="190" customFormat="true" ht="15" hidden="false" customHeight="true" outlineLevel="0" collapsed="false">
      <c r="B386" s="292" t="s">
        <v>215</v>
      </c>
      <c r="C386" s="293"/>
      <c r="D386" s="293"/>
      <c r="E386" s="393"/>
      <c r="F386" s="294" t="s">
        <v>216</v>
      </c>
      <c r="G386" s="294" t="s">
        <v>217</v>
      </c>
      <c r="H386" s="294" t="s">
        <v>218</v>
      </c>
      <c r="I386" s="218" t="s">
        <v>219</v>
      </c>
      <c r="J386" s="218"/>
      <c r="K386" s="218"/>
    </row>
    <row r="387" s="190" customFormat="true" ht="15" hidden="false" customHeight="true" outlineLevel="0" collapsed="false">
      <c r="B387" s="202" t="s">
        <v>240</v>
      </c>
      <c r="C387" s="203"/>
      <c r="D387" s="203"/>
      <c r="E387" s="203"/>
      <c r="F387" s="204" t="s">
        <v>239</v>
      </c>
      <c r="G387" s="234" t="n">
        <v>0.1</v>
      </c>
      <c r="H387" s="234" t="n">
        <f aca="false">'Folha Rosto Comp. P. Unit. '!D8</f>
        <v>1.64</v>
      </c>
      <c r="I387" s="220"/>
      <c r="J387" s="220"/>
      <c r="K387" s="221" t="n">
        <f aca="false">ROUND(G387*H387,2)</f>
        <v>0.16</v>
      </c>
    </row>
    <row r="388" s="190" customFormat="true" ht="15" hidden="false" customHeight="true" outlineLevel="0" collapsed="false">
      <c r="B388" s="202" t="s">
        <v>368</v>
      </c>
      <c r="C388" s="203"/>
      <c r="D388" s="203"/>
      <c r="E388" s="203"/>
      <c r="F388" s="204" t="s">
        <v>239</v>
      </c>
      <c r="G388" s="234" t="n">
        <v>0.1</v>
      </c>
      <c r="H388" s="234" t="n">
        <f aca="false">'Folha Rosto Comp. P. Unit. '!D7</f>
        <v>2.56</v>
      </c>
      <c r="I388" s="220"/>
      <c r="J388" s="220"/>
      <c r="K388" s="221" t="n">
        <f aca="false">ROUND(G388*H388,2)</f>
        <v>0.26</v>
      </c>
    </row>
    <row r="389" s="190" customFormat="true" ht="15" hidden="false" customHeight="true" outlineLevel="0" collapsed="false">
      <c r="B389" s="202"/>
      <c r="C389" s="203"/>
      <c r="D389" s="237" t="s">
        <v>241</v>
      </c>
      <c r="E389" s="203"/>
      <c r="F389" s="204"/>
      <c r="G389" s="250"/>
      <c r="H389" s="250"/>
      <c r="I389" s="251"/>
      <c r="J389" s="251"/>
      <c r="K389" s="252" t="n">
        <f aca="false">SUM(K387:K388)</f>
        <v>0.42</v>
      </c>
    </row>
    <row r="390" s="190" customFormat="true" ht="15" hidden="false" customHeight="true" outlineLevel="0" collapsed="false">
      <c r="B390" s="202" t="s">
        <v>388</v>
      </c>
      <c r="C390" s="203"/>
      <c r="D390" s="203"/>
      <c r="E390" s="203"/>
      <c r="F390" s="204" t="s">
        <v>239</v>
      </c>
      <c r="G390" s="375" t="n">
        <f aca="false">'Folha Rosto Comp. P. Unit. '!B4</f>
        <v>1.26</v>
      </c>
      <c r="H390" s="373"/>
      <c r="I390" s="255"/>
      <c r="J390" s="255"/>
      <c r="K390" s="376" t="n">
        <f aca="false">K389*G390</f>
        <v>0.5292</v>
      </c>
    </row>
    <row r="391" s="190" customFormat="true" ht="15" hidden="false" customHeight="true" outlineLevel="0" collapsed="false">
      <c r="B391" s="202"/>
      <c r="C391" s="203"/>
      <c r="D391" s="203"/>
      <c r="E391" s="203"/>
      <c r="F391" s="203"/>
      <c r="G391" s="213" t="s">
        <v>243</v>
      </c>
      <c r="H391" s="214"/>
      <c r="I391" s="240"/>
      <c r="J391" s="240"/>
      <c r="K391" s="242" t="n">
        <f aca="false">SUM(K389:K390)</f>
        <v>0.9492</v>
      </c>
    </row>
    <row r="392" s="190" customFormat="true" ht="15" hidden="false" customHeight="true" outlineLevel="0" collapsed="false">
      <c r="B392" s="273" t="s">
        <v>277</v>
      </c>
      <c r="C392" s="273"/>
      <c r="D392" s="273"/>
      <c r="E392" s="273"/>
      <c r="F392" s="243" t="s">
        <v>216</v>
      </c>
      <c r="G392" s="243" t="s">
        <v>389</v>
      </c>
      <c r="H392" s="243" t="s">
        <v>218</v>
      </c>
      <c r="I392" s="284" t="s">
        <v>219</v>
      </c>
      <c r="J392" s="284"/>
      <c r="K392" s="284"/>
    </row>
    <row r="393" s="190" customFormat="true" ht="15" hidden="false" customHeight="true" outlineLevel="0" collapsed="false">
      <c r="B393" s="202" t="s">
        <v>390</v>
      </c>
      <c r="C393" s="203"/>
      <c r="D393" s="203"/>
      <c r="E393" s="264"/>
      <c r="F393" s="243" t="s">
        <v>311</v>
      </c>
      <c r="G393" s="243" t="n">
        <f aca="false">0.05+0.3*0.2</f>
        <v>0.11</v>
      </c>
      <c r="H393" s="315" t="n">
        <f aca="false">K603</f>
        <v>274.6048</v>
      </c>
      <c r="I393" s="274"/>
      <c r="J393" s="231"/>
      <c r="K393" s="236" t="n">
        <f aca="false">ROUND(G393*H393,2)</f>
        <v>30.21</v>
      </c>
    </row>
    <row r="394" s="190" customFormat="true" ht="15" hidden="false" customHeight="true" outlineLevel="0" collapsed="false">
      <c r="B394" s="202" t="s">
        <v>391</v>
      </c>
      <c r="C394" s="203"/>
      <c r="D394" s="231"/>
      <c r="E394" s="231"/>
      <c r="F394" s="217" t="s">
        <v>236</v>
      </c>
      <c r="G394" s="235" t="n">
        <v>1</v>
      </c>
      <c r="H394" s="235" t="n">
        <f aca="false">K635</f>
        <v>26.5596</v>
      </c>
      <c r="I394" s="277"/>
      <c r="J394" s="278"/>
      <c r="K394" s="236" t="n">
        <f aca="false">ROUND(G394*H394,2)</f>
        <v>26.56</v>
      </c>
    </row>
    <row r="395" s="190" customFormat="true" ht="15" hidden="false" customHeight="true" outlineLevel="0" collapsed="false">
      <c r="B395" s="202"/>
      <c r="C395" s="203"/>
      <c r="D395" s="203"/>
      <c r="E395" s="203"/>
      <c r="F395" s="326"/>
      <c r="G395" s="213" t="s">
        <v>392</v>
      </c>
      <c r="H395" s="214"/>
      <c r="I395" s="423"/>
      <c r="J395" s="240"/>
      <c r="K395" s="242" t="n">
        <f aca="false">SUM(K393:K394)</f>
        <v>56.77</v>
      </c>
    </row>
    <row r="396" s="190" customFormat="true" ht="15" hidden="false" customHeight="true" outlineLevel="0" collapsed="false">
      <c r="B396" s="230" t="s">
        <v>393</v>
      </c>
      <c r="C396" s="231"/>
      <c r="D396" s="231"/>
      <c r="E396" s="231"/>
      <c r="F396" s="231"/>
      <c r="G396" s="231"/>
      <c r="H396" s="239"/>
      <c r="I396" s="231"/>
      <c r="J396" s="231"/>
      <c r="K396" s="280" t="n">
        <f aca="false">SUM(K391,K395)</f>
        <v>57.7192</v>
      </c>
    </row>
    <row r="397" s="190" customFormat="true" ht="15" hidden="false" customHeight="true" outlineLevel="0" collapsed="false">
      <c r="B397" s="230" t="s">
        <v>229</v>
      </c>
      <c r="C397" s="231"/>
      <c r="D397" s="223" t="n">
        <f aca="false">'Folha Rosto Comp. P. Unit. '!B5</f>
        <v>0.3</v>
      </c>
      <c r="E397" s="231"/>
      <c r="F397" s="231"/>
      <c r="G397" s="231"/>
      <c r="H397" s="239"/>
      <c r="I397" s="231"/>
      <c r="J397" s="203"/>
      <c r="K397" s="222" t="n">
        <f aca="false">K396*D397</f>
        <v>17.31576</v>
      </c>
    </row>
    <row r="398" s="190" customFormat="true" ht="15" hidden="false" customHeight="true" outlineLevel="0" collapsed="false">
      <c r="B398" s="224" t="s">
        <v>230</v>
      </c>
      <c r="C398" s="224"/>
      <c r="D398" s="224"/>
      <c r="E398" s="224"/>
      <c r="F398" s="224"/>
      <c r="G398" s="224"/>
      <c r="H398" s="224"/>
      <c r="I398" s="224"/>
      <c r="J398" s="224"/>
      <c r="K398" s="242" t="n">
        <f aca="false">SUM(K396:K397)</f>
        <v>75.03496</v>
      </c>
    </row>
    <row r="399" s="190" customFormat="true" ht="15" hidden="false" customHeight="true" outlineLevel="0" collapsed="false">
      <c r="B399" s="310"/>
      <c r="C399" s="310"/>
      <c r="D399" s="310"/>
      <c r="E399" s="310"/>
      <c r="F399" s="310"/>
      <c r="G399" s="310"/>
      <c r="H399" s="282"/>
      <c r="I399" s="311"/>
      <c r="J399" s="311"/>
      <c r="K399" s="312"/>
    </row>
    <row r="400" s="190" customFormat="true" ht="15" hidden="false" customHeight="true" outlineLevel="0" collapsed="false">
      <c r="B400" s="227" t="n">
        <v>23</v>
      </c>
      <c r="C400" s="198" t="s">
        <v>339</v>
      </c>
      <c r="D400" s="215" t="s">
        <v>395</v>
      </c>
      <c r="E400" s="215"/>
      <c r="F400" s="215"/>
      <c r="G400" s="215"/>
      <c r="H400" s="214"/>
      <c r="I400" s="228"/>
      <c r="J400" s="200" t="s">
        <v>213</v>
      </c>
      <c r="K400" s="263" t="s">
        <v>335</v>
      </c>
    </row>
    <row r="401" s="190" customFormat="true" ht="15" hidden="false" customHeight="true" outlineLevel="0" collapsed="false">
      <c r="B401" s="292" t="s">
        <v>215</v>
      </c>
      <c r="C401" s="293"/>
      <c r="D401" s="293"/>
      <c r="E401" s="393"/>
      <c r="F401" s="294" t="s">
        <v>216</v>
      </c>
      <c r="G401" s="294" t="s">
        <v>217</v>
      </c>
      <c r="H401" s="294" t="s">
        <v>218</v>
      </c>
      <c r="I401" s="218" t="s">
        <v>219</v>
      </c>
      <c r="J401" s="218"/>
      <c r="K401" s="218"/>
    </row>
    <row r="402" s="190" customFormat="true" ht="15" hidden="false" customHeight="true" outlineLevel="0" collapsed="false">
      <c r="B402" s="202" t="s">
        <v>240</v>
      </c>
      <c r="C402" s="203"/>
      <c r="D402" s="203"/>
      <c r="E402" s="203"/>
      <c r="F402" s="204" t="s">
        <v>239</v>
      </c>
      <c r="G402" s="234" t="n">
        <v>0.1</v>
      </c>
      <c r="H402" s="234" t="n">
        <f aca="false">'Folha Rosto Comp. P. Unit. '!D8</f>
        <v>1.64</v>
      </c>
      <c r="I402" s="220"/>
      <c r="J402" s="220"/>
      <c r="K402" s="221" t="n">
        <f aca="false">ROUND(G402*H402,2)</f>
        <v>0.16</v>
      </c>
    </row>
    <row r="403" s="190" customFormat="true" ht="15" hidden="false" customHeight="true" outlineLevel="0" collapsed="false">
      <c r="B403" s="202" t="s">
        <v>368</v>
      </c>
      <c r="C403" s="203"/>
      <c r="D403" s="203"/>
      <c r="E403" s="203"/>
      <c r="F403" s="204" t="s">
        <v>239</v>
      </c>
      <c r="G403" s="234" t="n">
        <v>0.1</v>
      </c>
      <c r="H403" s="234" t="n">
        <f aca="false">'Folha Rosto Comp. P. Unit. '!D7</f>
        <v>2.56</v>
      </c>
      <c r="I403" s="220"/>
      <c r="J403" s="220"/>
      <c r="K403" s="221" t="n">
        <f aca="false">ROUND(G403*H403,2)</f>
        <v>0.26</v>
      </c>
    </row>
    <row r="404" s="190" customFormat="true" ht="15" hidden="false" customHeight="true" outlineLevel="0" collapsed="false">
      <c r="B404" s="202"/>
      <c r="C404" s="203"/>
      <c r="D404" s="237" t="s">
        <v>241</v>
      </c>
      <c r="E404" s="203"/>
      <c r="F404" s="204"/>
      <c r="G404" s="250"/>
      <c r="H404" s="250"/>
      <c r="I404" s="251"/>
      <c r="J404" s="251"/>
      <c r="K404" s="252" t="n">
        <f aca="false">SUM(K402:K403)</f>
        <v>0.42</v>
      </c>
    </row>
    <row r="405" s="190" customFormat="true" ht="15" hidden="false" customHeight="true" outlineLevel="0" collapsed="false">
      <c r="B405" s="202" t="s">
        <v>388</v>
      </c>
      <c r="C405" s="203"/>
      <c r="D405" s="203"/>
      <c r="E405" s="203"/>
      <c r="F405" s="204" t="s">
        <v>239</v>
      </c>
      <c r="G405" s="375" t="n">
        <f aca="false">'Folha Rosto Comp. P. Unit. '!B4</f>
        <v>1.26</v>
      </c>
      <c r="H405" s="373"/>
      <c r="I405" s="255"/>
      <c r="J405" s="255"/>
      <c r="K405" s="376" t="n">
        <f aca="false">K404*G405</f>
        <v>0.5292</v>
      </c>
    </row>
    <row r="406" s="190" customFormat="true" ht="15" hidden="false" customHeight="true" outlineLevel="0" collapsed="false">
      <c r="B406" s="202"/>
      <c r="C406" s="203"/>
      <c r="D406" s="203"/>
      <c r="E406" s="203"/>
      <c r="F406" s="203"/>
      <c r="G406" s="213" t="s">
        <v>243</v>
      </c>
      <c r="H406" s="214"/>
      <c r="I406" s="240"/>
      <c r="J406" s="240"/>
      <c r="K406" s="242" t="n">
        <f aca="false">SUM(K404:K405)</f>
        <v>0.9492</v>
      </c>
    </row>
    <row r="407" s="190" customFormat="true" ht="15" hidden="false" customHeight="true" outlineLevel="0" collapsed="false">
      <c r="B407" s="273" t="s">
        <v>277</v>
      </c>
      <c r="C407" s="273"/>
      <c r="D407" s="273"/>
      <c r="E407" s="273"/>
      <c r="F407" s="243" t="s">
        <v>216</v>
      </c>
      <c r="G407" s="243" t="s">
        <v>389</v>
      </c>
      <c r="H407" s="243" t="s">
        <v>218</v>
      </c>
      <c r="I407" s="284" t="s">
        <v>219</v>
      </c>
      <c r="J407" s="284"/>
      <c r="K407" s="284"/>
    </row>
    <row r="408" s="190" customFormat="true" ht="15" hidden="false" customHeight="true" outlineLevel="0" collapsed="false">
      <c r="B408" s="202" t="s">
        <v>390</v>
      </c>
      <c r="C408" s="203"/>
      <c r="D408" s="203"/>
      <c r="E408" s="264"/>
      <c r="F408" s="243" t="s">
        <v>236</v>
      </c>
      <c r="G408" s="243" t="n">
        <f aca="false">0.05+1*0.3*0.1</f>
        <v>0.08</v>
      </c>
      <c r="H408" s="315" t="n">
        <f aca="false">K603</f>
        <v>274.6048</v>
      </c>
      <c r="I408" s="274"/>
      <c r="J408" s="231"/>
      <c r="K408" s="236" t="n">
        <f aca="false">ROUND(G408*H408,2)</f>
        <v>21.97</v>
      </c>
    </row>
    <row r="409" s="190" customFormat="true" ht="15" hidden="false" customHeight="true" outlineLevel="0" collapsed="false">
      <c r="B409" s="202" t="s">
        <v>391</v>
      </c>
      <c r="C409" s="203"/>
      <c r="D409" s="231"/>
      <c r="E409" s="231"/>
      <c r="F409" s="217" t="s">
        <v>236</v>
      </c>
      <c r="G409" s="235" t="n">
        <v>1</v>
      </c>
      <c r="H409" s="235" t="n">
        <f aca="false">K635</f>
        <v>26.5596</v>
      </c>
      <c r="I409" s="277"/>
      <c r="J409" s="278"/>
      <c r="K409" s="236" t="n">
        <f aca="false">ROUND(G409*H409,2)</f>
        <v>26.56</v>
      </c>
    </row>
    <row r="410" s="190" customFormat="true" ht="15" hidden="false" customHeight="true" outlineLevel="0" collapsed="false">
      <c r="B410" s="202"/>
      <c r="C410" s="203"/>
      <c r="D410" s="203"/>
      <c r="E410" s="203"/>
      <c r="F410" s="326"/>
      <c r="G410" s="213" t="s">
        <v>392</v>
      </c>
      <c r="H410" s="214"/>
      <c r="I410" s="423"/>
      <c r="J410" s="240"/>
      <c r="K410" s="242" t="n">
        <f aca="false">SUM(K408:K409)</f>
        <v>48.53</v>
      </c>
    </row>
    <row r="411" s="190" customFormat="true" ht="15" hidden="false" customHeight="true" outlineLevel="0" collapsed="false">
      <c r="B411" s="230" t="s">
        <v>393</v>
      </c>
      <c r="C411" s="231"/>
      <c r="D411" s="231"/>
      <c r="E411" s="231"/>
      <c r="F411" s="231"/>
      <c r="G411" s="231"/>
      <c r="H411" s="239"/>
      <c r="I411" s="231"/>
      <c r="J411" s="231"/>
      <c r="K411" s="280" t="n">
        <f aca="false">SUM(K406,K410)</f>
        <v>49.4792</v>
      </c>
    </row>
    <row r="412" s="190" customFormat="true" ht="15" hidden="false" customHeight="true" outlineLevel="0" collapsed="false">
      <c r="B412" s="230" t="s">
        <v>229</v>
      </c>
      <c r="C412" s="231"/>
      <c r="D412" s="223" t="n">
        <f aca="false">'Folha Rosto Comp. P. Unit. '!B5</f>
        <v>0.3</v>
      </c>
      <c r="E412" s="231"/>
      <c r="F412" s="231"/>
      <c r="G412" s="231"/>
      <c r="H412" s="239"/>
      <c r="I412" s="231"/>
      <c r="J412" s="203"/>
      <c r="K412" s="222" t="n">
        <f aca="false">K411*D412</f>
        <v>14.84376</v>
      </c>
    </row>
    <row r="413" s="190" customFormat="true" ht="15" hidden="false" customHeight="true" outlineLevel="0" collapsed="false">
      <c r="B413" s="224" t="s">
        <v>230</v>
      </c>
      <c r="C413" s="224"/>
      <c r="D413" s="224"/>
      <c r="E413" s="224"/>
      <c r="F413" s="224"/>
      <c r="G413" s="224"/>
      <c r="H413" s="224"/>
      <c r="I413" s="224"/>
      <c r="J413" s="224"/>
      <c r="K413" s="242" t="n">
        <f aca="false">SUM(K411:K412)</f>
        <v>64.32296</v>
      </c>
    </row>
    <row r="414" s="190" customFormat="true" ht="15" hidden="false" customHeight="true" outlineLevel="0" collapsed="false">
      <c r="B414" s="310"/>
      <c r="C414" s="310"/>
      <c r="D414" s="310"/>
      <c r="E414" s="310"/>
      <c r="F414" s="310"/>
      <c r="G414" s="310"/>
      <c r="H414" s="282"/>
      <c r="I414" s="311"/>
      <c r="J414" s="311"/>
      <c r="K414" s="283"/>
    </row>
    <row r="415" s="190" customFormat="true" ht="15" hidden="false" customHeight="true" outlineLevel="0" collapsed="false">
      <c r="B415" s="227" t="n">
        <v>24</v>
      </c>
      <c r="C415" s="214" t="s">
        <v>396</v>
      </c>
      <c r="D415" s="215" t="s">
        <v>397</v>
      </c>
      <c r="E415" s="215"/>
      <c r="F415" s="215"/>
      <c r="G415" s="215"/>
      <c r="H415" s="214"/>
      <c r="I415" s="228"/>
      <c r="J415" s="200" t="s">
        <v>213</v>
      </c>
      <c r="K415" s="263" t="s">
        <v>236</v>
      </c>
    </row>
    <row r="416" s="190" customFormat="true" ht="15" hidden="false" customHeight="true" outlineLevel="0" collapsed="false">
      <c r="B416" s="202" t="s">
        <v>215</v>
      </c>
      <c r="C416" s="203"/>
      <c r="D416" s="203"/>
      <c r="E416" s="264"/>
      <c r="F416" s="204" t="s">
        <v>216</v>
      </c>
      <c r="G416" s="204" t="s">
        <v>217</v>
      </c>
      <c r="H416" s="204" t="s">
        <v>218</v>
      </c>
      <c r="I416" s="205" t="s">
        <v>219</v>
      </c>
      <c r="J416" s="205"/>
      <c r="K416" s="205"/>
    </row>
    <row r="417" s="190" customFormat="true" ht="15" hidden="false" customHeight="true" outlineLevel="0" collapsed="false">
      <c r="B417" s="202" t="s">
        <v>264</v>
      </c>
      <c r="C417" s="203"/>
      <c r="D417" s="203"/>
      <c r="E417" s="203"/>
      <c r="F417" s="204" t="s">
        <v>239</v>
      </c>
      <c r="G417" s="234" t="n">
        <v>0.2</v>
      </c>
      <c r="H417" s="235" t="n">
        <f aca="false">'Folha Rosto Comp. P. Unit. '!D7</f>
        <v>2.56</v>
      </c>
      <c r="I417" s="220"/>
      <c r="J417" s="220"/>
      <c r="K417" s="236" t="n">
        <f aca="false">G417*H417</f>
        <v>0.512</v>
      </c>
    </row>
    <row r="418" s="190" customFormat="true" ht="15" hidden="false" customHeight="true" outlineLevel="0" collapsed="false">
      <c r="B418" s="202" t="s">
        <v>295</v>
      </c>
      <c r="C418" s="203"/>
      <c r="D418" s="203"/>
      <c r="E418" s="203"/>
      <c r="F418" s="204" t="s">
        <v>239</v>
      </c>
      <c r="G418" s="234" t="n">
        <v>0.2</v>
      </c>
      <c r="H418" s="235" t="n">
        <f aca="false">'Folha Rosto Comp. P. Unit. '!D8</f>
        <v>1.64</v>
      </c>
      <c r="I418" s="220"/>
      <c r="J418" s="220"/>
      <c r="K418" s="236" t="n">
        <f aca="false">G418*H418</f>
        <v>0.328</v>
      </c>
    </row>
    <row r="419" s="190" customFormat="true" ht="15" hidden="false" customHeight="true" outlineLevel="0" collapsed="false">
      <c r="B419" s="202"/>
      <c r="C419" s="203"/>
      <c r="D419" s="237" t="s">
        <v>241</v>
      </c>
      <c r="E419" s="203"/>
      <c r="F419" s="204"/>
      <c r="G419" s="234"/>
      <c r="H419" s="234"/>
      <c r="I419" s="220"/>
      <c r="J419" s="220"/>
      <c r="K419" s="221" t="n">
        <f aca="false">SUM(K417:K418)</f>
        <v>0.84</v>
      </c>
    </row>
    <row r="420" s="190" customFormat="true" ht="15" hidden="false" customHeight="true" outlineLevel="0" collapsed="false">
      <c r="B420" s="202" t="s">
        <v>388</v>
      </c>
      <c r="C420" s="203"/>
      <c r="D420" s="203"/>
      <c r="E420" s="203"/>
      <c r="F420" s="326"/>
      <c r="G420" s="211" t="n">
        <f aca="false">'[2]Folha Rosto Comp. P. Unit. '!$B$4</f>
        <v>1.26</v>
      </c>
      <c r="H420" s="204"/>
      <c r="I420" s="203"/>
      <c r="J420" s="203"/>
      <c r="K420" s="221" t="n">
        <f aca="false">K419*G420</f>
        <v>1.0584</v>
      </c>
    </row>
    <row r="421" s="190" customFormat="true" ht="15" hidden="false" customHeight="true" outlineLevel="0" collapsed="false">
      <c r="B421" s="230"/>
      <c r="C421" s="231"/>
      <c r="D421" s="231"/>
      <c r="E421" s="231"/>
      <c r="F421" s="231"/>
      <c r="G421" s="213" t="s">
        <v>243</v>
      </c>
      <c r="H421" s="214"/>
      <c r="I421" s="423"/>
      <c r="J421" s="240"/>
      <c r="K421" s="424" t="n">
        <f aca="false">SUM(K419:K420)</f>
        <v>1.8984</v>
      </c>
    </row>
    <row r="422" s="190" customFormat="true" ht="15" hidden="false" customHeight="true" outlineLevel="0" collapsed="false">
      <c r="B422" s="355" t="s">
        <v>277</v>
      </c>
      <c r="C422" s="355"/>
      <c r="D422" s="355"/>
      <c r="E422" s="355"/>
      <c r="F422" s="204" t="s">
        <v>216</v>
      </c>
      <c r="G422" s="243" t="s">
        <v>244</v>
      </c>
      <c r="H422" s="294" t="s">
        <v>218</v>
      </c>
      <c r="I422" s="284" t="s">
        <v>219</v>
      </c>
      <c r="J422" s="284"/>
      <c r="K422" s="284"/>
    </row>
    <row r="423" s="190" customFormat="true" ht="15" hidden="false" customHeight="true" outlineLevel="0" collapsed="false">
      <c r="B423" s="230" t="s">
        <v>398</v>
      </c>
      <c r="C423" s="231"/>
      <c r="D423" s="231"/>
      <c r="E423" s="232"/>
      <c r="F423" s="217" t="s">
        <v>399</v>
      </c>
      <c r="G423" s="235" t="n">
        <f aca="false">1/40</f>
        <v>0.025</v>
      </c>
      <c r="H423" s="425" t="n">
        <v>1</v>
      </c>
      <c r="I423" s="277"/>
      <c r="J423" s="278"/>
      <c r="K423" s="426" t="n">
        <f aca="false">ROUND(G423*H423,2)</f>
        <v>0.03</v>
      </c>
    </row>
    <row r="424" s="190" customFormat="true" ht="15" hidden="false" customHeight="true" outlineLevel="0" collapsed="false">
      <c r="B424" s="202" t="s">
        <v>400</v>
      </c>
      <c r="C424" s="203"/>
      <c r="D424" s="203"/>
      <c r="E424" s="264"/>
      <c r="F424" s="244" t="s">
        <v>401</v>
      </c>
      <c r="G424" s="357" t="n">
        <v>1</v>
      </c>
      <c r="H424" s="356" t="n">
        <v>1</v>
      </c>
      <c r="I424" s="219"/>
      <c r="J424" s="220"/>
      <c r="K424" s="427" t="n">
        <f aca="false">ROUND(G424*H424,2)</f>
        <v>1</v>
      </c>
    </row>
    <row r="425" s="190" customFormat="true" ht="15" hidden="false" customHeight="true" outlineLevel="0" collapsed="false">
      <c r="B425" s="202"/>
      <c r="C425" s="203"/>
      <c r="D425" s="203"/>
      <c r="E425" s="264"/>
      <c r="F425" s="204"/>
      <c r="G425" s="234"/>
      <c r="H425" s="356"/>
      <c r="I425" s="219"/>
      <c r="J425" s="220"/>
      <c r="K425" s="427"/>
    </row>
    <row r="426" s="190" customFormat="true" ht="15" hidden="false" customHeight="true" outlineLevel="0" collapsed="false">
      <c r="B426" s="202"/>
      <c r="C426" s="203"/>
      <c r="D426" s="203"/>
      <c r="E426" s="264"/>
      <c r="F426" s="204"/>
      <c r="G426" s="234"/>
      <c r="H426" s="356"/>
      <c r="I426" s="219"/>
      <c r="J426" s="220"/>
      <c r="K426" s="427"/>
    </row>
    <row r="427" s="190" customFormat="true" ht="15" hidden="false" customHeight="true" outlineLevel="0" collapsed="false">
      <c r="B427" s="230"/>
      <c r="C427" s="231"/>
      <c r="D427" s="231"/>
      <c r="E427" s="231"/>
      <c r="F427" s="419"/>
      <c r="G427" s="213" t="s">
        <v>227</v>
      </c>
      <c r="H427" s="214"/>
      <c r="I427" s="428"/>
      <c r="J427" s="429"/>
      <c r="K427" s="424" t="n">
        <f aca="false">SUM(K423:K426)</f>
        <v>1.03</v>
      </c>
    </row>
    <row r="428" s="190" customFormat="true" ht="15" hidden="false" customHeight="true" outlineLevel="0" collapsed="false">
      <c r="B428" s="202" t="s">
        <v>402</v>
      </c>
      <c r="C428" s="203"/>
      <c r="D428" s="203"/>
      <c r="E428" s="203"/>
      <c r="F428" s="203"/>
      <c r="G428" s="203"/>
      <c r="H428" s="212"/>
      <c r="I428" s="203"/>
      <c r="J428" s="203"/>
      <c r="K428" s="430" t="n">
        <f aca="false">SUM(K421+K427)</f>
        <v>2.9284</v>
      </c>
    </row>
    <row r="429" s="190" customFormat="true" ht="15" hidden="false" customHeight="true" outlineLevel="0" collapsed="false">
      <c r="B429" s="230" t="s">
        <v>229</v>
      </c>
      <c r="C429" s="231"/>
      <c r="D429" s="223" t="n">
        <f aca="false">'[2]Folha Rosto Comp. P. Unit. '!$B$5</f>
        <v>0.3</v>
      </c>
      <c r="E429" s="231"/>
      <c r="F429" s="231"/>
      <c r="G429" s="231"/>
      <c r="H429" s="239"/>
      <c r="I429" s="231"/>
      <c r="J429" s="203"/>
      <c r="K429" s="430" t="n">
        <f aca="false">ROUND(K428*D429,2)</f>
        <v>0.88</v>
      </c>
    </row>
    <row r="430" s="190" customFormat="true" ht="15" hidden="false" customHeight="true" outlineLevel="0" collapsed="false">
      <c r="B430" s="224" t="s">
        <v>230</v>
      </c>
      <c r="C430" s="224"/>
      <c r="D430" s="224"/>
      <c r="E430" s="224"/>
      <c r="F430" s="224"/>
      <c r="G430" s="224"/>
      <c r="H430" s="224"/>
      <c r="I430" s="224"/>
      <c r="J430" s="224"/>
      <c r="K430" s="424" t="n">
        <f aca="false">SUM(K428:K429)</f>
        <v>3.8084</v>
      </c>
    </row>
    <row r="431" s="190" customFormat="true" ht="15" hidden="false" customHeight="true" outlineLevel="0" collapsed="false">
      <c r="B431" s="282"/>
      <c r="C431" s="282"/>
      <c r="D431" s="282"/>
      <c r="E431" s="282"/>
      <c r="F431" s="282"/>
      <c r="G431" s="282"/>
      <c r="H431" s="282"/>
      <c r="I431" s="282"/>
      <c r="J431" s="282"/>
      <c r="K431" s="283"/>
    </row>
    <row r="432" s="190" customFormat="true" ht="42" hidden="false" customHeight="true" outlineLevel="0" collapsed="false">
      <c r="B432" s="227" t="n">
        <v>25</v>
      </c>
      <c r="C432" s="321" t="s">
        <v>211</v>
      </c>
      <c r="D432" s="416" t="s">
        <v>403</v>
      </c>
      <c r="E432" s="416"/>
      <c r="F432" s="416"/>
      <c r="G432" s="416"/>
      <c r="H432" s="416"/>
      <c r="I432" s="416"/>
      <c r="J432" s="200" t="s">
        <v>213</v>
      </c>
      <c r="K432" s="263" t="s">
        <v>214</v>
      </c>
    </row>
    <row r="433" s="190" customFormat="true" ht="15" hidden="false" customHeight="true" outlineLevel="0" collapsed="false">
      <c r="B433" s="431" t="s">
        <v>215</v>
      </c>
      <c r="C433" s="432"/>
      <c r="D433" s="433"/>
      <c r="E433" s="288"/>
      <c r="F433" s="289" t="s">
        <v>216</v>
      </c>
      <c r="G433" s="289" t="s">
        <v>217</v>
      </c>
      <c r="H433" s="289" t="s">
        <v>276</v>
      </c>
      <c r="I433" s="408" t="s">
        <v>219</v>
      </c>
      <c r="J433" s="408"/>
      <c r="K433" s="408"/>
    </row>
    <row r="434" s="190" customFormat="true" ht="15" hidden="false" customHeight="true" outlineLevel="0" collapsed="false">
      <c r="B434" s="292" t="s">
        <v>368</v>
      </c>
      <c r="C434" s="293"/>
      <c r="D434" s="293"/>
      <c r="E434" s="393"/>
      <c r="F434" s="294" t="s">
        <v>239</v>
      </c>
      <c r="G434" s="295" t="n">
        <f aca="false">2*0.4</f>
        <v>0.8</v>
      </c>
      <c r="H434" s="295" t="n">
        <f aca="false">'Folha Rosto Comp. P. Unit. '!D7</f>
        <v>2.56</v>
      </c>
      <c r="I434" s="394"/>
      <c r="J434" s="395"/>
      <c r="K434" s="396" t="n">
        <f aca="false">ROUND(G434*H434,2)</f>
        <v>2.05</v>
      </c>
    </row>
    <row r="435" s="190" customFormat="true" ht="15" hidden="false" customHeight="true" outlineLevel="0" collapsed="false">
      <c r="B435" s="230" t="s">
        <v>240</v>
      </c>
      <c r="C435" s="231"/>
      <c r="D435" s="231"/>
      <c r="E435" s="232"/>
      <c r="F435" s="217" t="s">
        <v>239</v>
      </c>
      <c r="G435" s="235" t="n">
        <f aca="false">4*0.4</f>
        <v>1.6</v>
      </c>
      <c r="H435" s="235" t="n">
        <f aca="false">'Folha Rosto Comp. P. Unit. '!D8</f>
        <v>1.64</v>
      </c>
      <c r="I435" s="277"/>
      <c r="J435" s="278"/>
      <c r="K435" s="236" t="n">
        <f aca="false">ROUND(G435*H435,2)</f>
        <v>2.62</v>
      </c>
    </row>
    <row r="436" s="190" customFormat="true" ht="15" hidden="false" customHeight="true" outlineLevel="0" collapsed="false">
      <c r="B436" s="202"/>
      <c r="C436" s="203"/>
      <c r="D436" s="237" t="s">
        <v>241</v>
      </c>
      <c r="E436" s="264"/>
      <c r="F436" s="204"/>
      <c r="G436" s="250"/>
      <c r="H436" s="250"/>
      <c r="I436" s="305"/>
      <c r="J436" s="251"/>
      <c r="K436" s="252" t="n">
        <f aca="false">SUM(K434:K435)</f>
        <v>4.67</v>
      </c>
    </row>
    <row r="437" s="190" customFormat="true" ht="15" hidden="false" customHeight="true" outlineLevel="0" collapsed="false">
      <c r="B437" s="202" t="s">
        <v>349</v>
      </c>
      <c r="C437" s="203"/>
      <c r="D437" s="203"/>
      <c r="E437" s="264"/>
      <c r="F437" s="204"/>
      <c r="G437" s="375" t="n">
        <f aca="false">'Folha Rosto Comp. P. Unit. '!B4</f>
        <v>1.26</v>
      </c>
      <c r="H437" s="373"/>
      <c r="I437" s="372"/>
      <c r="J437" s="255"/>
      <c r="K437" s="376" t="n">
        <f aca="false">K436*G437</f>
        <v>5.8842</v>
      </c>
    </row>
    <row r="438" s="190" customFormat="true" ht="15" hidden="false" customHeight="true" outlineLevel="0" collapsed="false">
      <c r="B438" s="202"/>
      <c r="C438" s="203"/>
      <c r="D438" s="203"/>
      <c r="E438" s="203"/>
      <c r="F438" s="212"/>
      <c r="G438" s="269" t="s">
        <v>243</v>
      </c>
      <c r="H438" s="270"/>
      <c r="I438" s="434"/>
      <c r="J438" s="434"/>
      <c r="K438" s="272" t="n">
        <f aca="false">SUM(K436:K437)</f>
        <v>10.5542</v>
      </c>
    </row>
    <row r="439" s="190" customFormat="true" ht="15" hidden="false" customHeight="true" outlineLevel="0" collapsed="false">
      <c r="B439" s="273" t="s">
        <v>277</v>
      </c>
      <c r="C439" s="273"/>
      <c r="D439" s="273"/>
      <c r="E439" s="273"/>
      <c r="F439" s="217" t="s">
        <v>216</v>
      </c>
      <c r="G439" s="217" t="s">
        <v>296</v>
      </c>
      <c r="H439" s="217" t="s">
        <v>218</v>
      </c>
      <c r="I439" s="284" t="s">
        <v>219</v>
      </c>
      <c r="J439" s="284"/>
      <c r="K439" s="284"/>
    </row>
    <row r="440" s="190" customFormat="true" ht="15" hidden="false" customHeight="true" outlineLevel="0" collapsed="false">
      <c r="B440" s="202" t="s">
        <v>404</v>
      </c>
      <c r="C440" s="203"/>
      <c r="D440" s="203"/>
      <c r="E440" s="264"/>
      <c r="F440" s="204" t="s">
        <v>236</v>
      </c>
      <c r="G440" s="234" t="n">
        <v>0.6</v>
      </c>
      <c r="H440" s="234" t="n">
        <v>120</v>
      </c>
      <c r="I440" s="219"/>
      <c r="J440" s="220"/>
      <c r="K440" s="236" t="n">
        <f aca="false">ROUND(G440*H440,2)</f>
        <v>72</v>
      </c>
    </row>
    <row r="441" s="190" customFormat="true" ht="15" hidden="false" customHeight="true" outlineLevel="0" collapsed="false">
      <c r="B441" s="202" t="s">
        <v>405</v>
      </c>
      <c r="C441" s="203"/>
      <c r="D441" s="203"/>
      <c r="E441" s="264"/>
      <c r="F441" s="204" t="s">
        <v>311</v>
      </c>
      <c r="G441" s="234" t="n">
        <v>3.2</v>
      </c>
      <c r="H441" s="234" t="n">
        <f aca="false">K709</f>
        <v>22.5668</v>
      </c>
      <c r="I441" s="219"/>
      <c r="J441" s="220"/>
      <c r="K441" s="236" t="n">
        <f aca="false">ROUND(G441*H441,2)</f>
        <v>72.21</v>
      </c>
    </row>
    <row r="442" s="190" customFormat="true" ht="15" hidden="false" customHeight="true" outlineLevel="0" collapsed="false">
      <c r="B442" s="202" t="s">
        <v>406</v>
      </c>
      <c r="C442" s="203"/>
      <c r="D442" s="203"/>
      <c r="E442" s="264"/>
      <c r="F442" s="204" t="s">
        <v>311</v>
      </c>
      <c r="G442" s="207" t="n">
        <f aca="false">0.28*0.5</f>
        <v>0.14</v>
      </c>
      <c r="H442" s="234" t="n">
        <f aca="false">K619</f>
        <v>305.0148</v>
      </c>
      <c r="I442" s="220"/>
      <c r="J442" s="220"/>
      <c r="K442" s="236" t="n">
        <f aca="false">ROUND(G442*H442,2)</f>
        <v>42.7</v>
      </c>
    </row>
    <row r="443" s="190" customFormat="true" ht="15" hidden="false" customHeight="true" outlineLevel="0" collapsed="false">
      <c r="B443" s="202"/>
      <c r="C443" s="203"/>
      <c r="D443" s="203"/>
      <c r="E443" s="264"/>
      <c r="F443" s="204"/>
      <c r="G443" s="213" t="s">
        <v>301</v>
      </c>
      <c r="H443" s="329"/>
      <c r="I443" s="215"/>
      <c r="J443" s="215"/>
      <c r="K443" s="242" t="n">
        <f aca="false">SUM(K440:K442)</f>
        <v>186.91</v>
      </c>
    </row>
    <row r="444" s="190" customFormat="true" ht="15" hidden="false" customHeight="true" outlineLevel="0" collapsed="false">
      <c r="B444" s="332" t="s">
        <v>306</v>
      </c>
      <c r="C444" s="302"/>
      <c r="D444" s="231"/>
      <c r="E444" s="231"/>
      <c r="F444" s="239"/>
      <c r="G444" s="231"/>
      <c r="H444" s="239"/>
      <c r="I444" s="231"/>
      <c r="J444" s="231"/>
      <c r="K444" s="280" t="n">
        <f aca="false">SUM(K438+K443)</f>
        <v>197.4642</v>
      </c>
    </row>
    <row r="445" s="190" customFormat="true" ht="15" hidden="false" customHeight="true" outlineLevel="0" collapsed="false">
      <c r="B445" s="404" t="s">
        <v>229</v>
      </c>
      <c r="C445" s="405"/>
      <c r="D445" s="386" t="n">
        <f aca="false">'Folha Rosto Comp. P. Unit. '!B5</f>
        <v>0.3</v>
      </c>
      <c r="E445" s="188"/>
      <c r="F445" s="353"/>
      <c r="G445" s="188"/>
      <c r="H445" s="353"/>
      <c r="I445" s="188"/>
      <c r="J445" s="188"/>
      <c r="K445" s="222" t="n">
        <f aca="false">ROUND(K444*D445,2)</f>
        <v>59.24</v>
      </c>
    </row>
    <row r="446" s="190" customFormat="true" ht="15" hidden="false" customHeight="true" outlineLevel="0" collapsed="false">
      <c r="B446" s="224" t="s">
        <v>230</v>
      </c>
      <c r="C446" s="224"/>
      <c r="D446" s="224"/>
      <c r="E446" s="224"/>
      <c r="F446" s="224"/>
      <c r="G446" s="224"/>
      <c r="H446" s="224"/>
      <c r="I446" s="224"/>
      <c r="J446" s="224"/>
      <c r="K446" s="242" t="n">
        <f aca="false">SUM(K444:K445)</f>
        <v>256.7042</v>
      </c>
    </row>
    <row r="447" s="190" customFormat="true" ht="15" hidden="false" customHeight="true" outlineLevel="0" collapsed="false">
      <c r="B447" s="282"/>
      <c r="C447" s="282"/>
      <c r="D447" s="282"/>
      <c r="E447" s="282"/>
      <c r="F447" s="282"/>
      <c r="G447" s="282"/>
      <c r="H447" s="282"/>
      <c r="I447" s="282"/>
      <c r="J447" s="282"/>
      <c r="K447" s="283"/>
    </row>
    <row r="448" s="190" customFormat="true" ht="35.25" hidden="false" customHeight="true" outlineLevel="0" collapsed="false">
      <c r="B448" s="227" t="n">
        <v>26</v>
      </c>
      <c r="C448" s="214" t="s">
        <v>396</v>
      </c>
      <c r="D448" s="416" t="s">
        <v>407</v>
      </c>
      <c r="E448" s="416"/>
      <c r="F448" s="416"/>
      <c r="G448" s="416"/>
      <c r="H448" s="416"/>
      <c r="I448" s="416"/>
      <c r="J448" s="200" t="s">
        <v>213</v>
      </c>
      <c r="K448" s="263" t="s">
        <v>236</v>
      </c>
    </row>
    <row r="449" s="190" customFormat="true" ht="15" hidden="false" customHeight="true" outlineLevel="0" collapsed="false">
      <c r="B449" s="202" t="s">
        <v>215</v>
      </c>
      <c r="C449" s="203"/>
      <c r="D449" s="203"/>
      <c r="E449" s="264"/>
      <c r="F449" s="204" t="s">
        <v>216</v>
      </c>
      <c r="G449" s="204" t="s">
        <v>217</v>
      </c>
      <c r="H449" s="204" t="s">
        <v>218</v>
      </c>
      <c r="I449" s="205" t="s">
        <v>219</v>
      </c>
      <c r="J449" s="205"/>
      <c r="K449" s="205"/>
    </row>
    <row r="450" s="190" customFormat="true" ht="15" hidden="false" customHeight="true" outlineLevel="0" collapsed="false">
      <c r="B450" s="202" t="s">
        <v>368</v>
      </c>
      <c r="C450" s="203"/>
      <c r="D450" s="203"/>
      <c r="E450" s="203"/>
      <c r="F450" s="204" t="s">
        <v>239</v>
      </c>
      <c r="G450" s="234" t="n">
        <v>0.8</v>
      </c>
      <c r="H450" s="234" t="n">
        <f aca="false">'Folha Rosto Comp. P. Unit. '!D7</f>
        <v>2.56</v>
      </c>
      <c r="I450" s="220"/>
      <c r="J450" s="220"/>
      <c r="K450" s="221" t="n">
        <f aca="false">ROUND(G450*H450,2)</f>
        <v>2.05</v>
      </c>
    </row>
    <row r="451" s="190" customFormat="true" ht="15" hidden="false" customHeight="true" outlineLevel="0" collapsed="false">
      <c r="B451" s="202" t="s">
        <v>240</v>
      </c>
      <c r="C451" s="203"/>
      <c r="D451" s="203"/>
      <c r="E451" s="203"/>
      <c r="F451" s="204" t="s">
        <v>239</v>
      </c>
      <c r="G451" s="234" t="n">
        <v>0.85</v>
      </c>
      <c r="H451" s="235" t="n">
        <f aca="false">'Folha Rosto Comp. P. Unit. '!D8</f>
        <v>1.64</v>
      </c>
      <c r="I451" s="220"/>
      <c r="J451" s="220"/>
      <c r="K451" s="236" t="n">
        <f aca="false">ROUND(G451*H451,2)</f>
        <v>1.39</v>
      </c>
    </row>
    <row r="452" s="190" customFormat="true" ht="15" hidden="false" customHeight="true" outlineLevel="0" collapsed="false">
      <c r="B452" s="202"/>
      <c r="C452" s="203"/>
      <c r="D452" s="237" t="s">
        <v>241</v>
      </c>
      <c r="E452" s="203"/>
      <c r="F452" s="204"/>
      <c r="G452" s="234"/>
      <c r="H452" s="234"/>
      <c r="I452" s="220"/>
      <c r="J452" s="220"/>
      <c r="K452" s="221" t="n">
        <f aca="false">SUM(K450:K451)</f>
        <v>3.44</v>
      </c>
    </row>
    <row r="453" s="190" customFormat="true" ht="15" hidden="false" customHeight="true" outlineLevel="0" collapsed="false">
      <c r="B453" s="202" t="s">
        <v>388</v>
      </c>
      <c r="C453" s="203"/>
      <c r="D453" s="203"/>
      <c r="E453" s="203"/>
      <c r="F453" s="326"/>
      <c r="G453" s="238" t="n">
        <f aca="false">'Folha Rosto Comp. P. Unit. '!B4</f>
        <v>1.26</v>
      </c>
      <c r="H453" s="204"/>
      <c r="I453" s="203"/>
      <c r="J453" s="203"/>
      <c r="K453" s="221" t="n">
        <f aca="false">K452*G453</f>
        <v>4.3344</v>
      </c>
    </row>
    <row r="454" s="190" customFormat="true" ht="15" hidden="false" customHeight="true" outlineLevel="0" collapsed="false">
      <c r="B454" s="230"/>
      <c r="C454" s="231"/>
      <c r="D454" s="231"/>
      <c r="E454" s="231"/>
      <c r="F454" s="231"/>
      <c r="G454" s="213" t="s">
        <v>243</v>
      </c>
      <c r="H454" s="214"/>
      <c r="I454" s="423"/>
      <c r="J454" s="240"/>
      <c r="K454" s="424" t="n">
        <f aca="false">SUM(K452:K453)</f>
        <v>7.7744</v>
      </c>
    </row>
    <row r="455" s="190" customFormat="true" ht="15" hidden="false" customHeight="true" outlineLevel="0" collapsed="false">
      <c r="B455" s="273" t="s">
        <v>277</v>
      </c>
      <c r="C455" s="273"/>
      <c r="D455" s="273"/>
      <c r="E455" s="273"/>
      <c r="F455" s="217" t="s">
        <v>216</v>
      </c>
      <c r="G455" s="435" t="s">
        <v>244</v>
      </c>
      <c r="H455" s="294" t="s">
        <v>218</v>
      </c>
      <c r="I455" s="284" t="s">
        <v>219</v>
      </c>
      <c r="J455" s="284"/>
      <c r="K455" s="284"/>
    </row>
    <row r="456" s="190" customFormat="true" ht="15" hidden="false" customHeight="true" outlineLevel="0" collapsed="false">
      <c r="B456" s="202" t="s">
        <v>408</v>
      </c>
      <c r="C456" s="203"/>
      <c r="D456" s="203"/>
      <c r="E456" s="232"/>
      <c r="F456" s="243" t="s">
        <v>236</v>
      </c>
      <c r="G456" s="235" t="n">
        <v>0.05</v>
      </c>
      <c r="H456" s="356" t="n">
        <f aca="false">K619</f>
        <v>305.0148</v>
      </c>
      <c r="I456" s="219"/>
      <c r="J456" s="220"/>
      <c r="K456" s="426" t="n">
        <f aca="false">ROUND(G456*H456,2)</f>
        <v>15.25</v>
      </c>
    </row>
    <row r="457" s="190" customFormat="true" ht="15" hidden="false" customHeight="true" outlineLevel="0" collapsed="false">
      <c r="B457" s="202" t="s">
        <v>409</v>
      </c>
      <c r="C457" s="203"/>
      <c r="D457" s="231"/>
      <c r="E457" s="232"/>
      <c r="F457" s="243" t="s">
        <v>335</v>
      </c>
      <c r="G457" s="235" t="n">
        <v>2.1</v>
      </c>
      <c r="H457" s="425" t="n">
        <v>2.05</v>
      </c>
      <c r="I457" s="277"/>
      <c r="J457" s="278"/>
      <c r="K457" s="426" t="n">
        <f aca="false">ROUND(G457*H457,2)</f>
        <v>4.31</v>
      </c>
    </row>
    <row r="458" s="190" customFormat="true" ht="15" hidden="false" customHeight="true" outlineLevel="0" collapsed="false">
      <c r="B458" s="230" t="s">
        <v>226</v>
      </c>
      <c r="C458" s="231"/>
      <c r="D458" s="231"/>
      <c r="E458" s="231"/>
      <c r="F458" s="231"/>
      <c r="G458" s="213" t="s">
        <v>227</v>
      </c>
      <c r="H458" s="214"/>
      <c r="I458" s="428"/>
      <c r="J458" s="429"/>
      <c r="K458" s="424" t="n">
        <f aca="false">SUM(K456:K457)</f>
        <v>19.56</v>
      </c>
    </row>
    <row r="459" s="190" customFormat="true" ht="15" hidden="false" customHeight="true" outlineLevel="0" collapsed="false">
      <c r="B459" s="230" t="s">
        <v>402</v>
      </c>
      <c r="C459" s="231"/>
      <c r="D459" s="231"/>
      <c r="E459" s="231"/>
      <c r="F459" s="231"/>
      <c r="G459" s="231"/>
      <c r="H459" s="239"/>
      <c r="I459" s="231"/>
      <c r="J459" s="231"/>
      <c r="K459" s="436" t="n">
        <f aca="false">SUM(K454+K458)</f>
        <v>27.3344</v>
      </c>
    </row>
    <row r="460" s="190" customFormat="true" ht="15" hidden="false" customHeight="true" outlineLevel="0" collapsed="false">
      <c r="B460" s="254" t="s">
        <v>229</v>
      </c>
      <c r="C460" s="255"/>
      <c r="D460" s="361" t="n">
        <f aca="false">'Folha Rosto Comp. P. Unit. '!B5</f>
        <v>0.3</v>
      </c>
      <c r="E460" s="255"/>
      <c r="F460" s="255"/>
      <c r="G460" s="255"/>
      <c r="H460" s="256"/>
      <c r="I460" s="255"/>
      <c r="J460" s="255"/>
      <c r="K460" s="437" t="n">
        <f aca="false">ROUND(K459*D460,2)</f>
        <v>8.2</v>
      </c>
    </row>
    <row r="461" s="190" customFormat="true" ht="15" hidden="false" customHeight="true" outlineLevel="0" collapsed="false">
      <c r="B461" s="224" t="s">
        <v>290</v>
      </c>
      <c r="C461" s="224"/>
      <c r="D461" s="224"/>
      <c r="E461" s="224"/>
      <c r="F461" s="224"/>
      <c r="G461" s="224"/>
      <c r="H461" s="224"/>
      <c r="I461" s="224"/>
      <c r="J461" s="224"/>
      <c r="K461" s="424" t="n">
        <f aca="false">SUM(K459:K460)</f>
        <v>35.5344</v>
      </c>
    </row>
    <row r="462" s="190" customFormat="true" ht="15" hidden="false" customHeight="true" outlineLevel="0" collapsed="false">
      <c r="B462" s="282"/>
      <c r="C462" s="282"/>
      <c r="D462" s="282"/>
      <c r="E462" s="282"/>
      <c r="F462" s="282"/>
      <c r="G462" s="282"/>
      <c r="H462" s="282"/>
      <c r="I462" s="282"/>
      <c r="J462" s="282"/>
      <c r="K462" s="283"/>
    </row>
    <row r="463" s="190" customFormat="true" ht="15" hidden="false" customHeight="true" outlineLevel="0" collapsed="false">
      <c r="B463" s="227" t="n">
        <v>27</v>
      </c>
      <c r="C463" s="214" t="s">
        <v>396</v>
      </c>
      <c r="D463" s="215" t="s">
        <v>410</v>
      </c>
      <c r="E463" s="215"/>
      <c r="F463" s="215"/>
      <c r="G463" s="215"/>
      <c r="H463" s="214"/>
      <c r="I463" s="228"/>
      <c r="J463" s="200" t="s">
        <v>213</v>
      </c>
      <c r="K463" s="263" t="s">
        <v>236</v>
      </c>
    </row>
    <row r="464" s="190" customFormat="true" ht="15" hidden="false" customHeight="true" outlineLevel="0" collapsed="false">
      <c r="B464" s="202" t="s">
        <v>215</v>
      </c>
      <c r="C464" s="203"/>
      <c r="D464" s="203"/>
      <c r="E464" s="264"/>
      <c r="F464" s="204" t="s">
        <v>216</v>
      </c>
      <c r="G464" s="204" t="s">
        <v>217</v>
      </c>
      <c r="H464" s="204" t="s">
        <v>218</v>
      </c>
      <c r="I464" s="205" t="s">
        <v>219</v>
      </c>
      <c r="J464" s="205"/>
      <c r="K464" s="205"/>
    </row>
    <row r="465" s="190" customFormat="true" ht="15" hidden="false" customHeight="true" outlineLevel="0" collapsed="false">
      <c r="B465" s="202" t="s">
        <v>264</v>
      </c>
      <c r="C465" s="203"/>
      <c r="D465" s="203"/>
      <c r="E465" s="203"/>
      <c r="F465" s="204" t="s">
        <v>239</v>
      </c>
      <c r="G465" s="234" t="n">
        <v>0.8</v>
      </c>
      <c r="H465" s="235" t="n">
        <f aca="false">'Folha Rosto Comp. P. Unit. '!D7</f>
        <v>2.56</v>
      </c>
      <c r="I465" s="220"/>
      <c r="J465" s="220"/>
      <c r="K465" s="236" t="n">
        <f aca="false">G465*H465</f>
        <v>2.048</v>
      </c>
    </row>
    <row r="466" s="190" customFormat="true" ht="15" hidden="false" customHeight="true" outlineLevel="0" collapsed="false">
      <c r="B466" s="202" t="s">
        <v>295</v>
      </c>
      <c r="C466" s="203"/>
      <c r="D466" s="203"/>
      <c r="E466" s="203"/>
      <c r="F466" s="204" t="s">
        <v>239</v>
      </c>
      <c r="G466" s="234" t="n">
        <v>1</v>
      </c>
      <c r="H466" s="235" t="n">
        <f aca="false">'Folha Rosto Comp. P. Unit. '!D8</f>
        <v>1.64</v>
      </c>
      <c r="I466" s="220"/>
      <c r="J466" s="220"/>
      <c r="K466" s="236" t="n">
        <f aca="false">G466*H466</f>
        <v>1.64</v>
      </c>
    </row>
    <row r="467" s="190" customFormat="true" ht="15" hidden="false" customHeight="true" outlineLevel="0" collapsed="false">
      <c r="B467" s="202"/>
      <c r="C467" s="203"/>
      <c r="D467" s="237" t="s">
        <v>241</v>
      </c>
      <c r="E467" s="203"/>
      <c r="F467" s="204"/>
      <c r="G467" s="234"/>
      <c r="H467" s="234"/>
      <c r="I467" s="220"/>
      <c r="J467" s="220"/>
      <c r="K467" s="221" t="n">
        <f aca="false">SUM(K465:K466)</f>
        <v>3.688</v>
      </c>
    </row>
    <row r="468" s="190" customFormat="true" ht="15" hidden="false" customHeight="true" outlineLevel="0" collapsed="false">
      <c r="B468" s="202" t="s">
        <v>388</v>
      </c>
      <c r="C468" s="203"/>
      <c r="D468" s="203"/>
      <c r="E468" s="203"/>
      <c r="F468" s="326"/>
      <c r="G468" s="211" t="n">
        <f aca="false">'[2]Folha Rosto Comp. P. Unit. '!$B$4</f>
        <v>1.26</v>
      </c>
      <c r="H468" s="204"/>
      <c r="I468" s="203"/>
      <c r="J468" s="203"/>
      <c r="K468" s="221" t="n">
        <f aca="false">K467*G468</f>
        <v>4.64688</v>
      </c>
    </row>
    <row r="469" s="190" customFormat="true" ht="15" hidden="false" customHeight="true" outlineLevel="0" collapsed="false">
      <c r="B469" s="230"/>
      <c r="C469" s="231"/>
      <c r="D469" s="231"/>
      <c r="E469" s="231"/>
      <c r="F469" s="231"/>
      <c r="G469" s="213" t="s">
        <v>243</v>
      </c>
      <c r="H469" s="214"/>
      <c r="I469" s="423"/>
      <c r="J469" s="240"/>
      <c r="K469" s="424" t="n">
        <f aca="false">SUM(K467:K468)</f>
        <v>8.33488</v>
      </c>
    </row>
    <row r="470" s="190" customFormat="true" ht="15" hidden="false" customHeight="true" outlineLevel="0" collapsed="false">
      <c r="B470" s="355" t="s">
        <v>277</v>
      </c>
      <c r="C470" s="355"/>
      <c r="D470" s="355"/>
      <c r="E470" s="355"/>
      <c r="F470" s="204" t="s">
        <v>216</v>
      </c>
      <c r="G470" s="243" t="s">
        <v>244</v>
      </c>
      <c r="H470" s="294" t="s">
        <v>218</v>
      </c>
      <c r="I470" s="284" t="s">
        <v>219</v>
      </c>
      <c r="J470" s="284"/>
      <c r="K470" s="284"/>
    </row>
    <row r="471" s="190" customFormat="true" ht="15" hidden="false" customHeight="true" outlineLevel="0" collapsed="false">
      <c r="B471" s="202" t="s">
        <v>411</v>
      </c>
      <c r="C471" s="203"/>
      <c r="D471" s="203"/>
      <c r="E471" s="264"/>
      <c r="F471" s="204" t="s">
        <v>412</v>
      </c>
      <c r="G471" s="234" t="n">
        <v>0.1</v>
      </c>
      <c r="H471" s="356" t="n">
        <v>100</v>
      </c>
      <c r="I471" s="219"/>
      <c r="J471" s="220"/>
      <c r="K471" s="427" t="n">
        <f aca="false">ROUND(G471*H471,2)</f>
        <v>10</v>
      </c>
    </row>
    <row r="472" s="190" customFormat="true" ht="15" hidden="false" customHeight="true" outlineLevel="0" collapsed="false">
      <c r="B472" s="230"/>
      <c r="C472" s="231"/>
      <c r="D472" s="231"/>
      <c r="E472" s="231"/>
      <c r="F472" s="419"/>
      <c r="G472" s="213" t="s">
        <v>227</v>
      </c>
      <c r="H472" s="214"/>
      <c r="I472" s="428"/>
      <c r="J472" s="429"/>
      <c r="K472" s="424" t="n">
        <f aca="false">SUM(K471:K471)</f>
        <v>10</v>
      </c>
    </row>
    <row r="473" s="190" customFormat="true" ht="15" hidden="false" customHeight="true" outlineLevel="0" collapsed="false">
      <c r="B473" s="202" t="s">
        <v>402</v>
      </c>
      <c r="C473" s="203"/>
      <c r="D473" s="203"/>
      <c r="E473" s="203"/>
      <c r="F473" s="203"/>
      <c r="G473" s="203"/>
      <c r="H473" s="212"/>
      <c r="I473" s="203"/>
      <c r="J473" s="203"/>
      <c r="K473" s="430" t="n">
        <f aca="false">SUM(K469+K472)</f>
        <v>18.33488</v>
      </c>
    </row>
    <row r="474" s="190" customFormat="true" ht="15" hidden="false" customHeight="true" outlineLevel="0" collapsed="false">
      <c r="B474" s="230" t="s">
        <v>229</v>
      </c>
      <c r="C474" s="231"/>
      <c r="D474" s="223" t="n">
        <f aca="false">'[2]Folha Rosto Comp. P. Unit. '!$B$5</f>
        <v>0.3</v>
      </c>
      <c r="E474" s="231"/>
      <c r="F474" s="231"/>
      <c r="G474" s="231"/>
      <c r="H474" s="239"/>
      <c r="I474" s="231"/>
      <c r="J474" s="203"/>
      <c r="K474" s="430" t="n">
        <f aca="false">ROUND(K473*D474,2)</f>
        <v>5.5</v>
      </c>
    </row>
    <row r="475" s="190" customFormat="true" ht="15" hidden="false" customHeight="true" outlineLevel="0" collapsed="false">
      <c r="B475" s="224" t="s">
        <v>230</v>
      </c>
      <c r="C475" s="224"/>
      <c r="D475" s="224"/>
      <c r="E475" s="224"/>
      <c r="F475" s="224"/>
      <c r="G475" s="224"/>
      <c r="H475" s="224"/>
      <c r="I475" s="224"/>
      <c r="J475" s="224"/>
      <c r="K475" s="424" t="n">
        <f aca="false">SUM(K473:K474)</f>
        <v>23.83488</v>
      </c>
    </row>
    <row r="476" s="190" customFormat="true" ht="15" hidden="false" customHeight="true" outlineLevel="0" collapsed="false">
      <c r="B476" s="282"/>
      <c r="C476" s="282"/>
      <c r="D476" s="282"/>
      <c r="E476" s="282"/>
      <c r="F476" s="282"/>
      <c r="G476" s="282"/>
      <c r="H476" s="282"/>
      <c r="I476" s="282"/>
      <c r="J476" s="282"/>
      <c r="K476" s="283"/>
    </row>
    <row r="477" s="190" customFormat="true" ht="15" hidden="false" customHeight="true" outlineLevel="0" collapsed="false">
      <c r="B477" s="227" t="n">
        <v>28</v>
      </c>
      <c r="C477" s="321" t="s">
        <v>211</v>
      </c>
      <c r="D477" s="406" t="s">
        <v>413</v>
      </c>
      <c r="E477" s="406"/>
      <c r="F477" s="406"/>
      <c r="G477" s="406"/>
      <c r="H477" s="406"/>
      <c r="I477" s="406"/>
      <c r="J477" s="323" t="s">
        <v>213</v>
      </c>
      <c r="K477" s="324" t="s">
        <v>214</v>
      </c>
    </row>
    <row r="478" s="190" customFormat="true" ht="15" hidden="false" customHeight="true" outlineLevel="0" collapsed="false">
      <c r="B478" s="325" t="s">
        <v>215</v>
      </c>
      <c r="C478" s="326"/>
      <c r="D478" s="208"/>
      <c r="E478" s="264"/>
      <c r="F478" s="204" t="s">
        <v>216</v>
      </c>
      <c r="G478" s="204" t="s">
        <v>217</v>
      </c>
      <c r="H478" s="204" t="s">
        <v>276</v>
      </c>
      <c r="I478" s="205" t="s">
        <v>219</v>
      </c>
      <c r="J478" s="205"/>
      <c r="K478" s="205"/>
    </row>
    <row r="479" s="190" customFormat="true" ht="15" hidden="false" customHeight="true" outlineLevel="0" collapsed="false">
      <c r="B479" s="202" t="s">
        <v>368</v>
      </c>
      <c r="C479" s="203"/>
      <c r="D479" s="203"/>
      <c r="E479" s="264"/>
      <c r="F479" s="204" t="s">
        <v>239</v>
      </c>
      <c r="G479" s="234" t="n">
        <v>0.4</v>
      </c>
      <c r="H479" s="235" t="n">
        <f aca="false">'Folha Rosto Comp. P. Unit. '!D7</f>
        <v>2.56</v>
      </c>
      <c r="I479" s="210"/>
      <c r="J479" s="212"/>
      <c r="K479" s="236" t="n">
        <f aca="false">ROUND(G479*H479,2)</f>
        <v>1.02</v>
      </c>
    </row>
    <row r="480" s="190" customFormat="true" ht="15" hidden="false" customHeight="true" outlineLevel="0" collapsed="false">
      <c r="B480" s="202" t="s">
        <v>240</v>
      </c>
      <c r="C480" s="203"/>
      <c r="D480" s="203"/>
      <c r="E480" s="264"/>
      <c r="F480" s="204" t="s">
        <v>239</v>
      </c>
      <c r="G480" s="234" t="n">
        <v>0.8</v>
      </c>
      <c r="H480" s="235" t="n">
        <f aca="false">'Folha Rosto Comp. P. Unit. '!D8</f>
        <v>1.64</v>
      </c>
      <c r="I480" s="219"/>
      <c r="J480" s="220"/>
      <c r="K480" s="236" t="n">
        <f aca="false">ROUND(G480*H480,2)</f>
        <v>1.31</v>
      </c>
    </row>
    <row r="481" s="190" customFormat="true" ht="15" hidden="false" customHeight="true" outlineLevel="0" collapsed="false">
      <c r="B481" s="202"/>
      <c r="C481" s="203"/>
      <c r="D481" s="237" t="s">
        <v>241</v>
      </c>
      <c r="E481" s="264"/>
      <c r="F481" s="204"/>
      <c r="G481" s="234"/>
      <c r="H481" s="234"/>
      <c r="I481" s="219"/>
      <c r="J481" s="220"/>
      <c r="K481" s="221" t="n">
        <f aca="false">SUM(K479:K480)</f>
        <v>2.33</v>
      </c>
    </row>
    <row r="482" s="190" customFormat="true" ht="15" hidden="false" customHeight="true" outlineLevel="0" collapsed="false">
      <c r="B482" s="202" t="s">
        <v>349</v>
      </c>
      <c r="C482" s="203"/>
      <c r="D482" s="203"/>
      <c r="E482" s="264"/>
      <c r="F482" s="204"/>
      <c r="G482" s="238" t="n">
        <f aca="false">'Folha Rosto Comp. P. Unit. '!B4</f>
        <v>1.26</v>
      </c>
      <c r="H482" s="204"/>
      <c r="I482" s="208"/>
      <c r="J482" s="203"/>
      <c r="K482" s="221" t="n">
        <f aca="false">K481*G482</f>
        <v>2.9358</v>
      </c>
    </row>
    <row r="483" s="190" customFormat="true" ht="15" hidden="false" customHeight="true" outlineLevel="0" collapsed="false">
      <c r="B483" s="230"/>
      <c r="C483" s="231"/>
      <c r="D483" s="231"/>
      <c r="E483" s="231"/>
      <c r="F483" s="239"/>
      <c r="G483" s="213" t="s">
        <v>243</v>
      </c>
      <c r="H483" s="214"/>
      <c r="I483" s="215"/>
      <c r="J483" s="215"/>
      <c r="K483" s="242" t="n">
        <f aca="false">SUM(K481:K482)</f>
        <v>5.2658</v>
      </c>
    </row>
    <row r="484" s="190" customFormat="true" ht="15" hidden="false" customHeight="true" outlineLevel="0" collapsed="false">
      <c r="B484" s="407" t="s">
        <v>265</v>
      </c>
      <c r="C484" s="407"/>
      <c r="D484" s="407"/>
      <c r="E484" s="407"/>
      <c r="F484" s="303" t="s">
        <v>216</v>
      </c>
      <c r="G484" s="303" t="s">
        <v>296</v>
      </c>
      <c r="H484" s="303" t="s">
        <v>218</v>
      </c>
      <c r="I484" s="408" t="s">
        <v>219</v>
      </c>
      <c r="J484" s="408"/>
      <c r="K484" s="408"/>
    </row>
    <row r="485" s="190" customFormat="true" ht="28.15" hidden="false" customHeight="true" outlineLevel="0" collapsed="false">
      <c r="B485" s="438" t="s">
        <v>414</v>
      </c>
      <c r="C485" s="438"/>
      <c r="D485" s="438"/>
      <c r="E485" s="438"/>
      <c r="F485" s="204" t="s">
        <v>214</v>
      </c>
      <c r="G485" s="295" t="n">
        <v>1</v>
      </c>
      <c r="H485" s="411" t="n">
        <f aca="false">14*1.2</f>
        <v>16.8</v>
      </c>
      <c r="I485" s="412"/>
      <c r="J485" s="293"/>
      <c r="K485" s="413" t="n">
        <f aca="false">ROUND(G485*H485,2)</f>
        <v>16.8</v>
      </c>
    </row>
    <row r="486" s="190" customFormat="true" ht="15" hidden="false" customHeight="true" outlineLevel="0" collapsed="false">
      <c r="B486" s="248" t="s">
        <v>415</v>
      </c>
      <c r="C486" s="212"/>
      <c r="D486" s="203"/>
      <c r="E486" s="264"/>
      <c r="F486" s="204" t="s">
        <v>311</v>
      </c>
      <c r="G486" s="234" t="n">
        <f aca="false">G487</f>
        <v>0.012</v>
      </c>
      <c r="H486" s="346" t="n">
        <f aca="false">K270</f>
        <v>5.84435</v>
      </c>
      <c r="I486" s="208"/>
      <c r="J486" s="203"/>
      <c r="K486" s="414" t="n">
        <f aca="false">ROUND(G486*H486,2)</f>
        <v>0.07</v>
      </c>
    </row>
    <row r="487" s="190" customFormat="true" ht="15" hidden="false" customHeight="true" outlineLevel="0" collapsed="false">
      <c r="B487" s="248" t="s">
        <v>416</v>
      </c>
      <c r="C487" s="212"/>
      <c r="D487" s="203"/>
      <c r="E487" s="264"/>
      <c r="F487" s="204" t="s">
        <v>311</v>
      </c>
      <c r="G487" s="234" t="n">
        <f aca="false">0.8*0.3*0.05</f>
        <v>0.012</v>
      </c>
      <c r="H487" s="346" t="n">
        <f aca="false">K603</f>
        <v>274.6048</v>
      </c>
      <c r="I487" s="208"/>
      <c r="J487" s="203"/>
      <c r="K487" s="414" t="n">
        <f aca="false">ROUND(G487*H487,2)</f>
        <v>3.3</v>
      </c>
    </row>
    <row r="488" s="190" customFormat="true" ht="15" hidden="false" customHeight="true" outlineLevel="0" collapsed="false">
      <c r="B488" s="248"/>
      <c r="C488" s="203"/>
      <c r="D488" s="203"/>
      <c r="E488" s="264"/>
      <c r="F488" s="204"/>
      <c r="G488" s="213"/>
      <c r="H488" s="329"/>
      <c r="I488" s="215"/>
      <c r="J488" s="215"/>
      <c r="K488" s="242" t="n">
        <f aca="false">SUM(K485:K487)</f>
        <v>20.17</v>
      </c>
    </row>
    <row r="489" s="190" customFormat="true" ht="15" hidden="false" customHeight="true" outlineLevel="0" collapsed="false">
      <c r="B489" s="332" t="s">
        <v>306</v>
      </c>
      <c r="C489" s="302"/>
      <c r="D489" s="231"/>
      <c r="E489" s="231"/>
      <c r="F489" s="239"/>
      <c r="G489" s="231"/>
      <c r="H489" s="239"/>
      <c r="I489" s="231"/>
      <c r="J489" s="231"/>
      <c r="K489" s="280" t="n">
        <f aca="false">SUM(K483+K488)</f>
        <v>25.4358</v>
      </c>
    </row>
    <row r="490" s="190" customFormat="true" ht="15" hidden="false" customHeight="true" outlineLevel="0" collapsed="false">
      <c r="B490" s="384" t="s">
        <v>229</v>
      </c>
      <c r="C490" s="385"/>
      <c r="D490" s="386" t="n">
        <f aca="false">'Folha Rosto Comp. P. Unit. '!B5</f>
        <v>0.3</v>
      </c>
      <c r="E490" s="387"/>
      <c r="F490" s="388"/>
      <c r="G490" s="387"/>
      <c r="H490" s="388"/>
      <c r="I490" s="387"/>
      <c r="J490" s="188"/>
      <c r="K490" s="222" t="n">
        <f aca="false">ROUND(K489*D490,2)</f>
        <v>7.63</v>
      </c>
    </row>
    <row r="491" s="190" customFormat="true" ht="15" hidden="false" customHeight="true" outlineLevel="0" collapsed="false">
      <c r="B491" s="224" t="s">
        <v>290</v>
      </c>
      <c r="C491" s="224"/>
      <c r="D491" s="224"/>
      <c r="E491" s="224"/>
      <c r="F491" s="224"/>
      <c r="G491" s="224"/>
      <c r="H491" s="224"/>
      <c r="I491" s="224"/>
      <c r="J491" s="224"/>
      <c r="K491" s="424" t="n">
        <f aca="false">SUM(K489:K490)</f>
        <v>33.0658</v>
      </c>
    </row>
    <row r="492" s="190" customFormat="true" ht="15" hidden="false" customHeight="true" outlineLevel="0" collapsed="false">
      <c r="B492" s="282"/>
      <c r="C492" s="282"/>
      <c r="D492" s="282"/>
      <c r="E492" s="282"/>
      <c r="F492" s="282"/>
      <c r="G492" s="282"/>
      <c r="H492" s="282"/>
      <c r="I492" s="282"/>
      <c r="J492" s="282"/>
      <c r="K492" s="283"/>
    </row>
    <row r="493" s="190" customFormat="true" ht="29.25" hidden="false" customHeight="true" outlineLevel="0" collapsed="false">
      <c r="B493" s="227" t="n">
        <v>29</v>
      </c>
      <c r="C493" s="198" t="s">
        <v>339</v>
      </c>
      <c r="D493" s="439" t="s">
        <v>417</v>
      </c>
      <c r="E493" s="439"/>
      <c r="F493" s="439"/>
      <c r="G493" s="439"/>
      <c r="H493" s="439"/>
      <c r="I493" s="439"/>
      <c r="J493" s="200" t="s">
        <v>213</v>
      </c>
      <c r="K493" s="263" t="s">
        <v>335</v>
      </c>
    </row>
    <row r="494" s="190" customFormat="true" ht="15" hidden="false" customHeight="true" outlineLevel="0" collapsed="false">
      <c r="B494" s="292" t="s">
        <v>215</v>
      </c>
      <c r="C494" s="293"/>
      <c r="D494" s="293"/>
      <c r="E494" s="393"/>
      <c r="F494" s="294" t="s">
        <v>216</v>
      </c>
      <c r="G494" s="294" t="s">
        <v>217</v>
      </c>
      <c r="H494" s="294" t="s">
        <v>218</v>
      </c>
      <c r="I494" s="218" t="s">
        <v>219</v>
      </c>
      <c r="J494" s="218"/>
      <c r="K494" s="218"/>
    </row>
    <row r="495" s="190" customFormat="true" ht="15" hidden="false" customHeight="true" outlineLevel="0" collapsed="false">
      <c r="B495" s="202" t="s">
        <v>240</v>
      </c>
      <c r="C495" s="203"/>
      <c r="D495" s="203"/>
      <c r="E495" s="203"/>
      <c r="F495" s="204" t="s">
        <v>239</v>
      </c>
      <c r="G495" s="234" t="n">
        <v>0.1</v>
      </c>
      <c r="H495" s="234" t="n">
        <f aca="false">'Folha Rosto Comp. P. Unit. '!D8</f>
        <v>1.64</v>
      </c>
      <c r="I495" s="220"/>
      <c r="J495" s="220"/>
      <c r="K495" s="221" t="n">
        <f aca="false">ROUND(G495*H495,2)</f>
        <v>0.16</v>
      </c>
    </row>
    <row r="496" s="190" customFormat="true" ht="15" hidden="false" customHeight="true" outlineLevel="0" collapsed="false">
      <c r="B496" s="202" t="s">
        <v>368</v>
      </c>
      <c r="C496" s="203"/>
      <c r="D496" s="203"/>
      <c r="E496" s="203"/>
      <c r="F496" s="204" t="s">
        <v>239</v>
      </c>
      <c r="G496" s="234" t="n">
        <v>0.1</v>
      </c>
      <c r="H496" s="234" t="n">
        <f aca="false">'Folha Rosto Comp. P. Unit. '!D7</f>
        <v>2.56</v>
      </c>
      <c r="I496" s="220"/>
      <c r="J496" s="220"/>
      <c r="K496" s="221" t="n">
        <f aca="false">ROUND(G496*H496,2)</f>
        <v>0.26</v>
      </c>
    </row>
    <row r="497" s="190" customFormat="true" ht="15" hidden="false" customHeight="true" outlineLevel="0" collapsed="false">
      <c r="B497" s="202"/>
      <c r="C497" s="203"/>
      <c r="D497" s="237" t="s">
        <v>241</v>
      </c>
      <c r="E497" s="203"/>
      <c r="F497" s="204"/>
      <c r="G497" s="250"/>
      <c r="H497" s="250"/>
      <c r="I497" s="251"/>
      <c r="J497" s="251"/>
      <c r="K497" s="252" t="n">
        <f aca="false">SUM(K495:K496)</f>
        <v>0.42</v>
      </c>
    </row>
    <row r="498" s="190" customFormat="true" ht="15" hidden="false" customHeight="true" outlineLevel="0" collapsed="false">
      <c r="B498" s="202" t="s">
        <v>388</v>
      </c>
      <c r="C498" s="203"/>
      <c r="D498" s="203"/>
      <c r="E498" s="203"/>
      <c r="F498" s="204" t="s">
        <v>239</v>
      </c>
      <c r="G498" s="375" t="n">
        <f aca="false">'Folha Rosto Comp. P. Unit. '!B111</f>
        <v>0</v>
      </c>
      <c r="H498" s="373"/>
      <c r="I498" s="255"/>
      <c r="J498" s="255"/>
      <c r="K498" s="376" t="n">
        <f aca="false">K497*G498</f>
        <v>0</v>
      </c>
    </row>
    <row r="499" s="190" customFormat="true" ht="15" hidden="false" customHeight="true" outlineLevel="0" collapsed="false">
      <c r="B499" s="202"/>
      <c r="C499" s="203"/>
      <c r="D499" s="203"/>
      <c r="E499" s="203"/>
      <c r="F499" s="203"/>
      <c r="G499" s="213" t="s">
        <v>243</v>
      </c>
      <c r="H499" s="214"/>
      <c r="I499" s="240"/>
      <c r="J499" s="240"/>
      <c r="K499" s="242" t="n">
        <f aca="false">SUM(K497:K498)</f>
        <v>0.42</v>
      </c>
    </row>
    <row r="500" s="190" customFormat="true" ht="15" hidden="false" customHeight="true" outlineLevel="0" collapsed="false">
      <c r="B500" s="273" t="s">
        <v>277</v>
      </c>
      <c r="C500" s="273"/>
      <c r="D500" s="273"/>
      <c r="E500" s="273"/>
      <c r="F500" s="243" t="s">
        <v>216</v>
      </c>
      <c r="G500" s="243" t="s">
        <v>389</v>
      </c>
      <c r="H500" s="243" t="s">
        <v>218</v>
      </c>
      <c r="I500" s="284" t="s">
        <v>219</v>
      </c>
      <c r="J500" s="284"/>
      <c r="K500" s="284"/>
    </row>
    <row r="501" s="190" customFormat="true" ht="15" hidden="false" customHeight="true" outlineLevel="0" collapsed="false">
      <c r="B501" s="202" t="s">
        <v>390</v>
      </c>
      <c r="C501" s="203"/>
      <c r="D501" s="203"/>
      <c r="E501" s="264"/>
      <c r="F501" s="243" t="s">
        <v>236</v>
      </c>
      <c r="G501" s="243" t="n">
        <f aca="false">1*0.2*0.1</f>
        <v>0.02</v>
      </c>
      <c r="H501" s="315" t="n">
        <f aca="false">K603</f>
        <v>274.6048</v>
      </c>
      <c r="I501" s="274"/>
      <c r="J501" s="231"/>
      <c r="K501" s="236" t="n">
        <f aca="false">ROUND(G501*H501,2)</f>
        <v>5.49</v>
      </c>
    </row>
    <row r="502" s="190" customFormat="true" ht="15" hidden="false" customHeight="true" outlineLevel="0" collapsed="false">
      <c r="B502" s="202" t="s">
        <v>391</v>
      </c>
      <c r="C502" s="203"/>
      <c r="D502" s="231"/>
      <c r="E502" s="231"/>
      <c r="F502" s="217" t="s">
        <v>236</v>
      </c>
      <c r="G502" s="235" t="n">
        <v>1</v>
      </c>
      <c r="H502" s="235" t="n">
        <f aca="false">K635</f>
        <v>26.5596</v>
      </c>
      <c r="I502" s="277"/>
      <c r="J502" s="278"/>
      <c r="K502" s="236" t="n">
        <f aca="false">ROUND(G502*H502,2)</f>
        <v>26.56</v>
      </c>
    </row>
    <row r="503" s="190" customFormat="true" ht="15" hidden="false" customHeight="true" outlineLevel="0" collapsed="false">
      <c r="B503" s="202"/>
      <c r="C503" s="203"/>
      <c r="D503" s="203"/>
      <c r="E503" s="203"/>
      <c r="F503" s="326"/>
      <c r="G503" s="213" t="s">
        <v>392</v>
      </c>
      <c r="H503" s="214"/>
      <c r="I503" s="423"/>
      <c r="J503" s="240"/>
      <c r="K503" s="242" t="n">
        <f aca="false">SUM(K501:K502)</f>
        <v>32.05</v>
      </c>
    </row>
    <row r="504" s="190" customFormat="true" ht="15" hidden="false" customHeight="true" outlineLevel="0" collapsed="false">
      <c r="B504" s="230" t="s">
        <v>393</v>
      </c>
      <c r="C504" s="231"/>
      <c r="D504" s="231"/>
      <c r="E504" s="231"/>
      <c r="F504" s="231"/>
      <c r="G504" s="231"/>
      <c r="H504" s="239"/>
      <c r="I504" s="231"/>
      <c r="J504" s="231"/>
      <c r="K504" s="280" t="n">
        <f aca="false">SUM(K499,K503)</f>
        <v>32.47</v>
      </c>
    </row>
    <row r="505" s="190" customFormat="true" ht="15" hidden="false" customHeight="true" outlineLevel="0" collapsed="false">
      <c r="B505" s="230" t="s">
        <v>229</v>
      </c>
      <c r="C505" s="231"/>
      <c r="D505" s="223" t="n">
        <f aca="false">'Folha Rosto Comp. P. Unit. '!B5</f>
        <v>0.3</v>
      </c>
      <c r="E505" s="231"/>
      <c r="F505" s="231"/>
      <c r="G505" s="231"/>
      <c r="H505" s="239"/>
      <c r="I505" s="231"/>
      <c r="J505" s="203"/>
      <c r="K505" s="222" t="n">
        <f aca="false">K504*D505</f>
        <v>9.741</v>
      </c>
    </row>
    <row r="506" s="190" customFormat="true" ht="15" hidden="false" customHeight="true" outlineLevel="0" collapsed="false">
      <c r="B506" s="224" t="s">
        <v>230</v>
      </c>
      <c r="C506" s="224"/>
      <c r="D506" s="224"/>
      <c r="E506" s="224"/>
      <c r="F506" s="224"/>
      <c r="G506" s="224"/>
      <c r="H506" s="224"/>
      <c r="I506" s="224"/>
      <c r="J506" s="224"/>
      <c r="K506" s="242" t="n">
        <f aca="false">SUM(K504:K505)</f>
        <v>42.211</v>
      </c>
    </row>
    <row r="507" s="190" customFormat="true" ht="15" hidden="false" customHeight="true" outlineLevel="0" collapsed="false">
      <c r="B507" s="282"/>
      <c r="C507" s="282"/>
      <c r="D507" s="282"/>
      <c r="E507" s="282"/>
      <c r="F507" s="282"/>
      <c r="G507" s="282"/>
      <c r="H507" s="282"/>
      <c r="I507" s="282"/>
      <c r="J507" s="282"/>
      <c r="K507" s="283"/>
    </row>
    <row r="508" s="190" customFormat="true" ht="15" hidden="false" customHeight="true" outlineLevel="0" collapsed="false">
      <c r="B508" s="227" t="n">
        <v>30</v>
      </c>
      <c r="C508" s="198" t="s">
        <v>339</v>
      </c>
      <c r="D508" s="439" t="s">
        <v>418</v>
      </c>
      <c r="E508" s="439"/>
      <c r="F508" s="439"/>
      <c r="G508" s="439"/>
      <c r="H508" s="439"/>
      <c r="I508" s="439"/>
      <c r="J508" s="200" t="s">
        <v>213</v>
      </c>
      <c r="K508" s="263" t="s">
        <v>335</v>
      </c>
    </row>
    <row r="509" s="190" customFormat="true" ht="15" hidden="false" customHeight="true" outlineLevel="0" collapsed="false">
      <c r="B509" s="292" t="s">
        <v>215</v>
      </c>
      <c r="C509" s="293"/>
      <c r="D509" s="293"/>
      <c r="E509" s="393"/>
      <c r="F509" s="294" t="s">
        <v>216</v>
      </c>
      <c r="G509" s="294" t="s">
        <v>217</v>
      </c>
      <c r="H509" s="294" t="s">
        <v>218</v>
      </c>
      <c r="I509" s="218" t="s">
        <v>219</v>
      </c>
      <c r="J509" s="218"/>
      <c r="K509" s="218"/>
    </row>
    <row r="510" s="190" customFormat="true" ht="15" hidden="false" customHeight="true" outlineLevel="0" collapsed="false">
      <c r="B510" s="202" t="s">
        <v>240</v>
      </c>
      <c r="C510" s="203"/>
      <c r="D510" s="203"/>
      <c r="E510" s="203"/>
      <c r="F510" s="204" t="s">
        <v>239</v>
      </c>
      <c r="G510" s="234" t="n">
        <v>0.1</v>
      </c>
      <c r="H510" s="234" t="n">
        <f aca="false">'Folha Rosto Comp. P. Unit. '!D8</f>
        <v>1.64</v>
      </c>
      <c r="I510" s="220"/>
      <c r="J510" s="220"/>
      <c r="K510" s="221" t="n">
        <f aca="false">ROUND(G510*H510,2)</f>
        <v>0.16</v>
      </c>
    </row>
    <row r="511" s="190" customFormat="true" ht="15" hidden="false" customHeight="true" outlineLevel="0" collapsed="false">
      <c r="B511" s="202" t="s">
        <v>368</v>
      </c>
      <c r="C511" s="203"/>
      <c r="D511" s="203"/>
      <c r="E511" s="203"/>
      <c r="F511" s="204" t="s">
        <v>239</v>
      </c>
      <c r="G511" s="234" t="n">
        <v>0.1</v>
      </c>
      <c r="H511" s="234" t="n">
        <f aca="false">'Folha Rosto Comp. P. Unit. '!D7</f>
        <v>2.56</v>
      </c>
      <c r="I511" s="220"/>
      <c r="J511" s="220"/>
      <c r="K511" s="221" t="n">
        <f aca="false">ROUND(G511*H511,2)</f>
        <v>0.26</v>
      </c>
    </row>
    <row r="512" s="190" customFormat="true" ht="15" hidden="false" customHeight="true" outlineLevel="0" collapsed="false">
      <c r="B512" s="202"/>
      <c r="C512" s="203"/>
      <c r="D512" s="237" t="s">
        <v>241</v>
      </c>
      <c r="E512" s="203"/>
      <c r="F512" s="204"/>
      <c r="G512" s="250"/>
      <c r="H512" s="250"/>
      <c r="I512" s="251"/>
      <c r="J512" s="251"/>
      <c r="K512" s="252" t="n">
        <f aca="false">SUM(K510:K511)</f>
        <v>0.42</v>
      </c>
    </row>
    <row r="513" s="190" customFormat="true" ht="15" hidden="false" customHeight="true" outlineLevel="0" collapsed="false">
      <c r="B513" s="202" t="s">
        <v>388</v>
      </c>
      <c r="C513" s="203"/>
      <c r="D513" s="203"/>
      <c r="E513" s="203"/>
      <c r="F513" s="204" t="s">
        <v>239</v>
      </c>
      <c r="G513" s="375" t="n">
        <f aca="false">'Folha Rosto Comp. P. Unit. '!B4</f>
        <v>1.26</v>
      </c>
      <c r="H513" s="373"/>
      <c r="I513" s="255"/>
      <c r="J513" s="255"/>
      <c r="K513" s="376" t="n">
        <f aca="false">K512*G513</f>
        <v>0.5292</v>
      </c>
    </row>
    <row r="514" s="190" customFormat="true" ht="15" hidden="false" customHeight="true" outlineLevel="0" collapsed="false">
      <c r="B514" s="202"/>
      <c r="C514" s="203"/>
      <c r="D514" s="203"/>
      <c r="E514" s="203"/>
      <c r="F514" s="203"/>
      <c r="G514" s="213" t="s">
        <v>243</v>
      </c>
      <c r="H514" s="214"/>
      <c r="I514" s="240"/>
      <c r="J514" s="240"/>
      <c r="K514" s="242" t="n">
        <f aca="false">SUM(K512:K513)</f>
        <v>0.9492</v>
      </c>
    </row>
    <row r="515" s="190" customFormat="true" ht="15" hidden="false" customHeight="true" outlineLevel="0" collapsed="false">
      <c r="B515" s="273" t="s">
        <v>277</v>
      </c>
      <c r="C515" s="273"/>
      <c r="D515" s="273"/>
      <c r="E515" s="273"/>
      <c r="F515" s="243" t="s">
        <v>216</v>
      </c>
      <c r="G515" s="243" t="s">
        <v>389</v>
      </c>
      <c r="H515" s="243" t="s">
        <v>218</v>
      </c>
      <c r="I515" s="284" t="s">
        <v>219</v>
      </c>
      <c r="J515" s="284"/>
      <c r="K515" s="284"/>
    </row>
    <row r="516" s="190" customFormat="true" ht="15" hidden="false" customHeight="true" outlineLevel="0" collapsed="false">
      <c r="B516" s="202" t="s">
        <v>390</v>
      </c>
      <c r="C516" s="203"/>
      <c r="D516" s="203"/>
      <c r="E516" s="264"/>
      <c r="F516" s="243" t="s">
        <v>236</v>
      </c>
      <c r="G516" s="243" t="n">
        <f aca="false">1*0.2*0.1</f>
        <v>0.02</v>
      </c>
      <c r="H516" s="315" t="n">
        <f aca="false">K603</f>
        <v>274.6048</v>
      </c>
      <c r="I516" s="274"/>
      <c r="J516" s="231"/>
      <c r="K516" s="236" t="n">
        <f aca="false">ROUND(G516*H516,2)</f>
        <v>5.49</v>
      </c>
    </row>
    <row r="517" s="190" customFormat="true" ht="15" hidden="false" customHeight="true" outlineLevel="0" collapsed="false">
      <c r="B517" s="202" t="s">
        <v>391</v>
      </c>
      <c r="C517" s="203"/>
      <c r="D517" s="231"/>
      <c r="E517" s="231"/>
      <c r="F517" s="217" t="s">
        <v>236</v>
      </c>
      <c r="G517" s="235" t="n">
        <v>1</v>
      </c>
      <c r="H517" s="235" t="n">
        <v>18.15</v>
      </c>
      <c r="I517" s="277"/>
      <c r="J517" s="278"/>
      <c r="K517" s="236" t="n">
        <f aca="false">ROUND(G517*H517,2)</f>
        <v>18.15</v>
      </c>
    </row>
    <row r="518" s="190" customFormat="true" ht="15" hidden="false" customHeight="true" outlineLevel="0" collapsed="false">
      <c r="B518" s="202"/>
      <c r="C518" s="203"/>
      <c r="D518" s="203"/>
      <c r="E518" s="203"/>
      <c r="F518" s="326"/>
      <c r="G518" s="213" t="s">
        <v>392</v>
      </c>
      <c r="H518" s="214"/>
      <c r="I518" s="423"/>
      <c r="J518" s="240"/>
      <c r="K518" s="242" t="n">
        <f aca="false">SUM(K516:K517)</f>
        <v>23.64</v>
      </c>
    </row>
    <row r="519" s="190" customFormat="true" ht="15" hidden="false" customHeight="true" outlineLevel="0" collapsed="false">
      <c r="B519" s="230" t="s">
        <v>393</v>
      </c>
      <c r="C519" s="231"/>
      <c r="D519" s="231"/>
      <c r="E519" s="231"/>
      <c r="F519" s="231"/>
      <c r="G519" s="231"/>
      <c r="H519" s="239"/>
      <c r="I519" s="231"/>
      <c r="J519" s="231"/>
      <c r="K519" s="280" t="n">
        <f aca="false">SUM(K514,K518)</f>
        <v>24.5892</v>
      </c>
    </row>
    <row r="520" s="190" customFormat="true" ht="15" hidden="false" customHeight="true" outlineLevel="0" collapsed="false">
      <c r="B520" s="230" t="s">
        <v>229</v>
      </c>
      <c r="C520" s="231"/>
      <c r="D520" s="223" t="n">
        <f aca="false">'Folha Rosto Comp. P. Unit. '!B5</f>
        <v>0.3</v>
      </c>
      <c r="E520" s="231"/>
      <c r="F520" s="231"/>
      <c r="G520" s="231"/>
      <c r="H520" s="239"/>
      <c r="I520" s="231"/>
      <c r="J520" s="203"/>
      <c r="K520" s="222" t="n">
        <f aca="false">K519*D520</f>
        <v>7.37676</v>
      </c>
    </row>
    <row r="521" s="190" customFormat="true" ht="15" hidden="false" customHeight="true" outlineLevel="0" collapsed="false">
      <c r="B521" s="224" t="s">
        <v>230</v>
      </c>
      <c r="C521" s="224"/>
      <c r="D521" s="224"/>
      <c r="E521" s="224"/>
      <c r="F521" s="224"/>
      <c r="G521" s="224"/>
      <c r="H521" s="224"/>
      <c r="I521" s="224"/>
      <c r="J521" s="224"/>
      <c r="K521" s="242" t="n">
        <f aca="false">SUM(K519:K520)</f>
        <v>31.96596</v>
      </c>
    </row>
    <row r="522" s="190" customFormat="true" ht="15" hidden="false" customHeight="true" outlineLevel="0" collapsed="false">
      <c r="B522" s="282"/>
      <c r="C522" s="282"/>
      <c r="D522" s="282"/>
      <c r="E522" s="282"/>
      <c r="F522" s="282"/>
      <c r="G522" s="282"/>
      <c r="H522" s="282"/>
      <c r="I522" s="282"/>
      <c r="J522" s="282"/>
      <c r="K522" s="283"/>
    </row>
    <row r="523" s="190" customFormat="true" ht="15" hidden="false" customHeight="true" outlineLevel="0" collapsed="false">
      <c r="B523" s="227" t="n">
        <v>31</v>
      </c>
      <c r="C523" s="198" t="s">
        <v>339</v>
      </c>
      <c r="D523" s="439" t="s">
        <v>419</v>
      </c>
      <c r="E523" s="439"/>
      <c r="F523" s="439"/>
      <c r="G523" s="439"/>
      <c r="H523" s="439"/>
      <c r="I523" s="439"/>
      <c r="J523" s="200" t="s">
        <v>213</v>
      </c>
      <c r="K523" s="263" t="s">
        <v>214</v>
      </c>
    </row>
    <row r="524" s="190" customFormat="true" ht="15" hidden="false" customHeight="true" outlineLevel="0" collapsed="false">
      <c r="B524" s="292" t="s">
        <v>215</v>
      </c>
      <c r="C524" s="293"/>
      <c r="D524" s="293"/>
      <c r="E524" s="393"/>
      <c r="F524" s="294" t="s">
        <v>216</v>
      </c>
      <c r="G524" s="294" t="s">
        <v>217</v>
      </c>
      <c r="H524" s="294" t="s">
        <v>218</v>
      </c>
      <c r="I524" s="218" t="s">
        <v>219</v>
      </c>
      <c r="J524" s="218"/>
      <c r="K524" s="218"/>
    </row>
    <row r="525" s="190" customFormat="true" ht="15" hidden="false" customHeight="true" outlineLevel="0" collapsed="false">
      <c r="B525" s="202" t="s">
        <v>240</v>
      </c>
      <c r="C525" s="203"/>
      <c r="D525" s="203"/>
      <c r="E525" s="203"/>
      <c r="F525" s="204" t="s">
        <v>239</v>
      </c>
      <c r="G525" s="234" t="n">
        <v>0.1</v>
      </c>
      <c r="H525" s="234" t="n">
        <f aca="false">'Folha Rosto Comp. P. Unit. '!D8</f>
        <v>1.64</v>
      </c>
      <c r="I525" s="220"/>
      <c r="J525" s="220"/>
      <c r="K525" s="221" t="n">
        <f aca="false">ROUND(G525*H525,2)</f>
        <v>0.16</v>
      </c>
    </row>
    <row r="526" s="190" customFormat="true" ht="15" hidden="false" customHeight="true" outlineLevel="0" collapsed="false">
      <c r="B526" s="202" t="s">
        <v>368</v>
      </c>
      <c r="C526" s="203"/>
      <c r="D526" s="203"/>
      <c r="E526" s="203"/>
      <c r="F526" s="204" t="s">
        <v>239</v>
      </c>
      <c r="G526" s="234" t="n">
        <v>0.1</v>
      </c>
      <c r="H526" s="234" t="n">
        <f aca="false">'Folha Rosto Comp. P. Unit. '!D7</f>
        <v>2.56</v>
      </c>
      <c r="I526" s="220"/>
      <c r="J526" s="220"/>
      <c r="K526" s="221" t="n">
        <f aca="false">ROUND(G526*H526,2)</f>
        <v>0.26</v>
      </c>
    </row>
    <row r="527" s="190" customFormat="true" ht="15" hidden="false" customHeight="true" outlineLevel="0" collapsed="false">
      <c r="B527" s="202"/>
      <c r="C527" s="203"/>
      <c r="D527" s="237" t="s">
        <v>241</v>
      </c>
      <c r="E527" s="203"/>
      <c r="F527" s="204"/>
      <c r="G527" s="250"/>
      <c r="H527" s="250"/>
      <c r="I527" s="251"/>
      <c r="J527" s="251"/>
      <c r="K527" s="252" t="n">
        <f aca="false">SUM(K525:K526)</f>
        <v>0.42</v>
      </c>
    </row>
    <row r="528" s="190" customFormat="true" ht="15" hidden="false" customHeight="true" outlineLevel="0" collapsed="false">
      <c r="B528" s="202" t="s">
        <v>388</v>
      </c>
      <c r="C528" s="203"/>
      <c r="D528" s="203"/>
      <c r="E528" s="203"/>
      <c r="F528" s="204" t="s">
        <v>239</v>
      </c>
      <c r="G528" s="375" t="n">
        <f aca="false">'Folha Rosto Comp. P. Unit. '!B4</f>
        <v>1.26</v>
      </c>
      <c r="H528" s="373"/>
      <c r="I528" s="255"/>
      <c r="J528" s="255"/>
      <c r="K528" s="376" t="n">
        <f aca="false">K527*G528</f>
        <v>0.5292</v>
      </c>
    </row>
    <row r="529" s="190" customFormat="true" ht="15" hidden="false" customHeight="true" outlineLevel="0" collapsed="false">
      <c r="B529" s="202"/>
      <c r="C529" s="203"/>
      <c r="D529" s="203"/>
      <c r="E529" s="203"/>
      <c r="F529" s="203"/>
      <c r="G529" s="213" t="s">
        <v>243</v>
      </c>
      <c r="H529" s="214"/>
      <c r="I529" s="240"/>
      <c r="J529" s="240"/>
      <c r="K529" s="242" t="n">
        <f aca="false">SUM(K527:K528)</f>
        <v>0.9492</v>
      </c>
    </row>
    <row r="530" s="190" customFormat="true" ht="15" hidden="false" customHeight="true" outlineLevel="0" collapsed="false">
      <c r="B530" s="273" t="s">
        <v>277</v>
      </c>
      <c r="C530" s="273"/>
      <c r="D530" s="273"/>
      <c r="E530" s="273"/>
      <c r="F530" s="243" t="s">
        <v>216</v>
      </c>
      <c r="G530" s="243" t="s">
        <v>389</v>
      </c>
      <c r="H530" s="243" t="s">
        <v>218</v>
      </c>
      <c r="I530" s="284" t="s">
        <v>219</v>
      </c>
      <c r="J530" s="284"/>
      <c r="K530" s="284"/>
    </row>
    <row r="531" s="190" customFormat="true" ht="15" hidden="false" customHeight="true" outlineLevel="0" collapsed="false">
      <c r="B531" s="202" t="s">
        <v>390</v>
      </c>
      <c r="C531" s="203"/>
      <c r="D531" s="203"/>
      <c r="E531" s="264"/>
      <c r="F531" s="243" t="s">
        <v>236</v>
      </c>
      <c r="G531" s="243" t="n">
        <f aca="false">0.5*0.1*0.1*2</f>
        <v>0.01</v>
      </c>
      <c r="H531" s="315" t="n">
        <f aca="false">K603</f>
        <v>274.6048</v>
      </c>
      <c r="I531" s="302"/>
      <c r="J531" s="302"/>
      <c r="K531" s="301" t="n">
        <f aca="false">ROUND(G531*H531,2)</f>
        <v>2.75</v>
      </c>
    </row>
    <row r="532" s="190" customFormat="true" ht="15" hidden="false" customHeight="true" outlineLevel="0" collapsed="false">
      <c r="B532" s="202" t="s">
        <v>420</v>
      </c>
      <c r="C532" s="203"/>
      <c r="D532" s="203"/>
      <c r="E532" s="203"/>
      <c r="F532" s="204" t="s">
        <v>214</v>
      </c>
      <c r="G532" s="235" t="n">
        <v>1</v>
      </c>
      <c r="H532" s="235" t="n">
        <f aca="false">128/2*1.1</f>
        <v>70.4</v>
      </c>
      <c r="I532" s="300"/>
      <c r="J532" s="300"/>
      <c r="K532" s="236" t="n">
        <f aca="false">ROUND(G532*H532,2)</f>
        <v>70.4</v>
      </c>
    </row>
    <row r="533" s="190" customFormat="true" ht="15" hidden="false" customHeight="true" outlineLevel="0" collapsed="false">
      <c r="B533" s="202" t="s">
        <v>421</v>
      </c>
      <c r="C533" s="203"/>
      <c r="D533" s="203"/>
      <c r="E533" s="203"/>
      <c r="F533" s="243" t="s">
        <v>236</v>
      </c>
      <c r="G533" s="235" t="n">
        <f aca="false">1.6*(2*3.14*0.25)</f>
        <v>2.512</v>
      </c>
      <c r="H533" s="235" t="n">
        <f aca="false">K726</f>
        <v>27.87712</v>
      </c>
      <c r="I533" s="300"/>
      <c r="J533" s="300"/>
      <c r="K533" s="236" t="n">
        <f aca="false">ROUND(G533*H533,2)</f>
        <v>70.03</v>
      </c>
    </row>
    <row r="534" s="190" customFormat="true" ht="15" hidden="false" customHeight="true" outlineLevel="0" collapsed="false">
      <c r="B534" s="202" t="s">
        <v>422</v>
      </c>
      <c r="C534" s="203"/>
      <c r="D534" s="203"/>
      <c r="E534" s="203"/>
      <c r="F534" s="243" t="s">
        <v>236</v>
      </c>
      <c r="G534" s="235" t="n">
        <f aca="false">G533</f>
        <v>2.512</v>
      </c>
      <c r="H534" s="235" t="n">
        <f aca="false">K743</f>
        <v>24.95712</v>
      </c>
      <c r="I534" s="300"/>
      <c r="J534" s="300"/>
      <c r="K534" s="236" t="n">
        <f aca="false">ROUND(G534*H534,2)</f>
        <v>62.69</v>
      </c>
    </row>
    <row r="535" s="190" customFormat="true" ht="15" hidden="false" customHeight="true" outlineLevel="0" collapsed="false">
      <c r="B535" s="202"/>
      <c r="C535" s="203"/>
      <c r="D535" s="203"/>
      <c r="E535" s="203"/>
      <c r="F535" s="326"/>
      <c r="G535" s="269" t="s">
        <v>392</v>
      </c>
      <c r="H535" s="270"/>
      <c r="I535" s="440"/>
      <c r="J535" s="271"/>
      <c r="K535" s="272" t="n">
        <f aca="false">SUM(K531:K534)</f>
        <v>205.87</v>
      </c>
    </row>
    <row r="536" s="190" customFormat="true" ht="15" hidden="false" customHeight="true" outlineLevel="0" collapsed="false">
      <c r="B536" s="230" t="s">
        <v>393</v>
      </c>
      <c r="C536" s="231"/>
      <c r="D536" s="231"/>
      <c r="E536" s="231"/>
      <c r="F536" s="231"/>
      <c r="G536" s="231"/>
      <c r="H536" s="239"/>
      <c r="I536" s="231"/>
      <c r="J536" s="231"/>
      <c r="K536" s="280" t="n">
        <f aca="false">SUM(K529,K535)</f>
        <v>206.8192</v>
      </c>
    </row>
    <row r="537" s="190" customFormat="true" ht="15" hidden="false" customHeight="true" outlineLevel="0" collapsed="false">
      <c r="B537" s="230" t="s">
        <v>229</v>
      </c>
      <c r="C537" s="231"/>
      <c r="D537" s="223" t="n">
        <f aca="false">'Folha Rosto Comp. P. Unit. '!B5</f>
        <v>0.3</v>
      </c>
      <c r="E537" s="231"/>
      <c r="F537" s="231"/>
      <c r="G537" s="231"/>
      <c r="H537" s="239"/>
      <c r="I537" s="231"/>
      <c r="J537" s="203"/>
      <c r="K537" s="222" t="n">
        <f aca="false">K536*D537</f>
        <v>62.04576</v>
      </c>
    </row>
    <row r="538" s="190" customFormat="true" ht="15" hidden="false" customHeight="true" outlineLevel="0" collapsed="false">
      <c r="B538" s="224" t="s">
        <v>230</v>
      </c>
      <c r="C538" s="224"/>
      <c r="D538" s="224"/>
      <c r="E538" s="224"/>
      <c r="F538" s="224"/>
      <c r="G538" s="224"/>
      <c r="H538" s="224"/>
      <c r="I538" s="224"/>
      <c r="J538" s="224"/>
      <c r="K538" s="242" t="n">
        <f aca="false">SUM(K536:K537)</f>
        <v>268.86496</v>
      </c>
    </row>
    <row r="539" s="190" customFormat="true" ht="15" hidden="false" customHeight="true" outlineLevel="0" collapsed="false">
      <c r="B539" s="282"/>
      <c r="C539" s="282"/>
      <c r="D539" s="282"/>
      <c r="E539" s="282"/>
      <c r="F539" s="282"/>
      <c r="G539" s="282"/>
      <c r="H539" s="282"/>
      <c r="I539" s="282"/>
      <c r="J539" s="282"/>
      <c r="K539" s="283"/>
    </row>
    <row r="540" s="190" customFormat="true" ht="15" hidden="false" customHeight="true" outlineLevel="0" collapsed="false">
      <c r="B540" s="227" t="n">
        <v>32</v>
      </c>
      <c r="C540" s="198" t="s">
        <v>339</v>
      </c>
      <c r="D540" s="439" t="s">
        <v>423</v>
      </c>
      <c r="E540" s="439"/>
      <c r="F540" s="439"/>
      <c r="G540" s="439"/>
      <c r="H540" s="439"/>
      <c r="I540" s="439"/>
      <c r="J540" s="200" t="s">
        <v>213</v>
      </c>
      <c r="K540" s="324" t="s">
        <v>214</v>
      </c>
    </row>
    <row r="541" s="190" customFormat="true" ht="15" hidden="false" customHeight="true" outlineLevel="0" collapsed="false">
      <c r="B541" s="292" t="s">
        <v>215</v>
      </c>
      <c r="C541" s="293"/>
      <c r="D541" s="293"/>
      <c r="E541" s="393"/>
      <c r="F541" s="294" t="s">
        <v>216</v>
      </c>
      <c r="G541" s="294" t="s">
        <v>217</v>
      </c>
      <c r="H541" s="294" t="s">
        <v>218</v>
      </c>
      <c r="I541" s="218" t="s">
        <v>219</v>
      </c>
      <c r="J541" s="218"/>
      <c r="K541" s="218"/>
    </row>
    <row r="542" s="190" customFormat="true" ht="15" hidden="false" customHeight="true" outlineLevel="0" collapsed="false">
      <c r="B542" s="202" t="s">
        <v>240</v>
      </c>
      <c r="C542" s="203"/>
      <c r="D542" s="203"/>
      <c r="E542" s="203"/>
      <c r="F542" s="204" t="s">
        <v>239</v>
      </c>
      <c r="G542" s="234" t="n">
        <v>0.1</v>
      </c>
      <c r="H542" s="234" t="n">
        <f aca="false">'Folha Rosto Comp. P. Unit. '!D8</f>
        <v>1.64</v>
      </c>
      <c r="I542" s="220"/>
      <c r="J542" s="220"/>
      <c r="K542" s="221" t="n">
        <f aca="false">ROUND(G542*H542,2)</f>
        <v>0.16</v>
      </c>
    </row>
    <row r="543" s="190" customFormat="true" ht="15" hidden="false" customHeight="true" outlineLevel="0" collapsed="false">
      <c r="B543" s="202" t="s">
        <v>368</v>
      </c>
      <c r="C543" s="203"/>
      <c r="D543" s="203"/>
      <c r="E543" s="203"/>
      <c r="F543" s="204" t="s">
        <v>239</v>
      </c>
      <c r="G543" s="234" t="n">
        <v>0.1</v>
      </c>
      <c r="H543" s="234" t="n">
        <f aca="false">'Folha Rosto Comp. P. Unit. '!D7</f>
        <v>2.56</v>
      </c>
      <c r="I543" s="220"/>
      <c r="J543" s="220"/>
      <c r="K543" s="221" t="n">
        <f aca="false">ROUND(G543*H543,2)</f>
        <v>0.26</v>
      </c>
    </row>
    <row r="544" s="190" customFormat="true" ht="15" hidden="false" customHeight="true" outlineLevel="0" collapsed="false">
      <c r="B544" s="202"/>
      <c r="C544" s="203"/>
      <c r="D544" s="237" t="s">
        <v>241</v>
      </c>
      <c r="E544" s="203"/>
      <c r="F544" s="204"/>
      <c r="G544" s="250"/>
      <c r="H544" s="250"/>
      <c r="I544" s="251"/>
      <c r="J544" s="251"/>
      <c r="K544" s="252" t="n">
        <f aca="false">SUM(K542:K543)</f>
        <v>0.42</v>
      </c>
    </row>
    <row r="545" s="190" customFormat="true" ht="15" hidden="false" customHeight="true" outlineLevel="0" collapsed="false">
      <c r="B545" s="202" t="s">
        <v>388</v>
      </c>
      <c r="C545" s="203"/>
      <c r="D545" s="203"/>
      <c r="E545" s="203"/>
      <c r="F545" s="204" t="s">
        <v>239</v>
      </c>
      <c r="G545" s="375" t="n">
        <f aca="false">'Folha Rosto Comp. P. Unit. '!B4</f>
        <v>1.26</v>
      </c>
      <c r="H545" s="373"/>
      <c r="I545" s="255"/>
      <c r="J545" s="255"/>
      <c r="K545" s="376" t="n">
        <f aca="false">K544*G545</f>
        <v>0.5292</v>
      </c>
    </row>
    <row r="546" s="190" customFormat="true" ht="15" hidden="false" customHeight="true" outlineLevel="0" collapsed="false">
      <c r="B546" s="202"/>
      <c r="C546" s="203"/>
      <c r="D546" s="203"/>
      <c r="E546" s="203"/>
      <c r="F546" s="203"/>
      <c r="G546" s="213" t="s">
        <v>243</v>
      </c>
      <c r="H546" s="214"/>
      <c r="I546" s="240"/>
      <c r="J546" s="240"/>
      <c r="K546" s="242" t="n">
        <f aca="false">SUM(K544:K545)</f>
        <v>0.9492</v>
      </c>
    </row>
    <row r="547" s="190" customFormat="true" ht="15" hidden="false" customHeight="true" outlineLevel="0" collapsed="false">
      <c r="B547" s="273" t="s">
        <v>277</v>
      </c>
      <c r="C547" s="273"/>
      <c r="D547" s="273"/>
      <c r="E547" s="273"/>
      <c r="F547" s="243" t="s">
        <v>216</v>
      </c>
      <c r="G547" s="243" t="s">
        <v>389</v>
      </c>
      <c r="H547" s="243" t="s">
        <v>218</v>
      </c>
      <c r="I547" s="284" t="s">
        <v>219</v>
      </c>
      <c r="J547" s="284"/>
      <c r="K547" s="284"/>
    </row>
    <row r="548" s="190" customFormat="true" ht="15" hidden="false" customHeight="true" outlineLevel="0" collapsed="false">
      <c r="B548" s="202" t="s">
        <v>424</v>
      </c>
      <c r="C548" s="203"/>
      <c r="D548" s="203"/>
      <c r="E548" s="264"/>
      <c r="F548" s="243" t="s">
        <v>236</v>
      </c>
      <c r="G548" s="243" t="n">
        <f aca="false">0.6*0.1*1.7+0.1*1.2*1.2</f>
        <v>0.246</v>
      </c>
      <c r="H548" s="315" t="n">
        <f aca="false">K619</f>
        <v>305.0148</v>
      </c>
      <c r="I548" s="274"/>
      <c r="J548" s="231"/>
      <c r="K548" s="236" t="n">
        <f aca="false">ROUND(G548*H548,2)</f>
        <v>75.03</v>
      </c>
    </row>
    <row r="549" s="190" customFormat="true" ht="15" hidden="false" customHeight="true" outlineLevel="0" collapsed="false">
      <c r="B549" s="202" t="s">
        <v>391</v>
      </c>
      <c r="C549" s="203"/>
      <c r="D549" s="231"/>
      <c r="E549" s="231"/>
      <c r="F549" s="217" t="s">
        <v>236</v>
      </c>
      <c r="G549" s="235" t="n">
        <f aca="false">G548*12</f>
        <v>2.952</v>
      </c>
      <c r="H549" s="235" t="n">
        <v>18.15</v>
      </c>
      <c r="I549" s="277"/>
      <c r="J549" s="278"/>
      <c r="K549" s="236" t="n">
        <f aca="false">ROUND(G549*H549,2)</f>
        <v>53.58</v>
      </c>
    </row>
    <row r="550" s="190" customFormat="true" ht="15" hidden="false" customHeight="true" outlineLevel="0" collapsed="false">
      <c r="B550" s="202" t="s">
        <v>425</v>
      </c>
      <c r="C550" s="203"/>
      <c r="D550" s="203"/>
      <c r="E550" s="203"/>
      <c r="F550" s="204" t="s">
        <v>399</v>
      </c>
      <c r="G550" s="235" t="n">
        <f aca="false">G548*60</f>
        <v>14.76</v>
      </c>
      <c r="H550" s="235" t="n">
        <f aca="false">K696</f>
        <v>7.6342</v>
      </c>
      <c r="I550" s="300"/>
      <c r="J550" s="300"/>
      <c r="K550" s="236" t="n">
        <f aca="false">ROUND(G550*H550,2)</f>
        <v>112.68</v>
      </c>
    </row>
    <row r="551" s="190" customFormat="true" ht="27" hidden="false" customHeight="true" outlineLevel="0" collapsed="false">
      <c r="B551" s="441" t="s">
        <v>426</v>
      </c>
      <c r="C551" s="441"/>
      <c r="D551" s="441"/>
      <c r="E551" s="441"/>
      <c r="F551" s="204" t="s">
        <v>214</v>
      </c>
      <c r="G551" s="235" t="n">
        <v>1</v>
      </c>
      <c r="H551" s="235" t="n">
        <v>1250</v>
      </c>
      <c r="I551" s="300"/>
      <c r="J551" s="300"/>
      <c r="K551" s="236" t="n">
        <f aca="false">ROUND(G551*H551,2)</f>
        <v>1250</v>
      </c>
    </row>
    <row r="552" s="190" customFormat="true" ht="15" hidden="false" customHeight="true" outlineLevel="0" collapsed="false">
      <c r="B552" s="202"/>
      <c r="C552" s="203"/>
      <c r="D552" s="203"/>
      <c r="E552" s="203"/>
      <c r="F552" s="326"/>
      <c r="G552" s="269" t="s">
        <v>392</v>
      </c>
      <c r="H552" s="270"/>
      <c r="I552" s="440"/>
      <c r="J552" s="271"/>
      <c r="K552" s="242" t="n">
        <f aca="false">SUM(K548:K551)</f>
        <v>1491.29</v>
      </c>
    </row>
    <row r="553" s="190" customFormat="true" ht="15" hidden="false" customHeight="true" outlineLevel="0" collapsed="false">
      <c r="B553" s="230" t="s">
        <v>393</v>
      </c>
      <c r="C553" s="231"/>
      <c r="D553" s="231"/>
      <c r="E553" s="231"/>
      <c r="F553" s="231"/>
      <c r="G553" s="231"/>
      <c r="H553" s="239"/>
      <c r="I553" s="231"/>
      <c r="J553" s="231"/>
      <c r="K553" s="280" t="n">
        <f aca="false">SUM(K546,K552)</f>
        <v>1492.2392</v>
      </c>
    </row>
    <row r="554" s="190" customFormat="true" ht="15" hidden="false" customHeight="true" outlineLevel="0" collapsed="false">
      <c r="B554" s="230" t="s">
        <v>229</v>
      </c>
      <c r="C554" s="231"/>
      <c r="D554" s="223" t="n">
        <f aca="false">'Folha Rosto Comp. P. Unit. '!B5</f>
        <v>0.3</v>
      </c>
      <c r="E554" s="231"/>
      <c r="F554" s="231"/>
      <c r="G554" s="231"/>
      <c r="H554" s="239"/>
      <c r="I554" s="231"/>
      <c r="J554" s="203"/>
      <c r="K554" s="222" t="n">
        <f aca="false">K553*D554</f>
        <v>447.67176</v>
      </c>
    </row>
    <row r="555" s="190" customFormat="true" ht="15" hidden="false" customHeight="true" outlineLevel="0" collapsed="false">
      <c r="B555" s="224" t="s">
        <v>230</v>
      </c>
      <c r="C555" s="224"/>
      <c r="D555" s="224"/>
      <c r="E555" s="224"/>
      <c r="F555" s="224"/>
      <c r="G555" s="224"/>
      <c r="H555" s="224"/>
      <c r="I555" s="224"/>
      <c r="J555" s="224"/>
      <c r="K555" s="242" t="n">
        <f aca="false">SUM(K553:K554)</f>
        <v>1939.91096</v>
      </c>
    </row>
    <row r="556" s="190" customFormat="true" ht="15" hidden="false" customHeight="true" outlineLevel="0" collapsed="false">
      <c r="B556" s="282"/>
      <c r="C556" s="282"/>
      <c r="D556" s="282"/>
      <c r="E556" s="282"/>
      <c r="F556" s="282"/>
      <c r="G556" s="282"/>
      <c r="H556" s="282"/>
      <c r="I556" s="282"/>
      <c r="J556" s="282"/>
      <c r="K556" s="283"/>
    </row>
    <row r="557" s="190" customFormat="true" ht="15" hidden="false" customHeight="true" outlineLevel="0" collapsed="false">
      <c r="B557" s="227" t="n">
        <v>33</v>
      </c>
      <c r="C557" s="321" t="s">
        <v>211</v>
      </c>
      <c r="D557" s="322" t="s">
        <v>427</v>
      </c>
      <c r="E557" s="322"/>
      <c r="F557" s="322"/>
      <c r="G557" s="322"/>
      <c r="H557" s="322"/>
      <c r="I557" s="322"/>
      <c r="J557" s="200" t="s">
        <v>213</v>
      </c>
      <c r="K557" s="263" t="s">
        <v>214</v>
      </c>
    </row>
    <row r="558" s="190" customFormat="true" ht="15" hidden="false" customHeight="true" outlineLevel="0" collapsed="false">
      <c r="B558" s="341"/>
      <c r="C558" s="341"/>
      <c r="D558" s="341"/>
      <c r="E558" s="341"/>
      <c r="F558" s="204" t="s">
        <v>216</v>
      </c>
      <c r="G558" s="204" t="s">
        <v>217</v>
      </c>
      <c r="H558" s="204" t="s">
        <v>276</v>
      </c>
      <c r="I558" s="218" t="s">
        <v>223</v>
      </c>
      <c r="J558" s="218"/>
      <c r="K558" s="218"/>
    </row>
    <row r="559" s="190" customFormat="true" ht="15" hidden="false" customHeight="true" outlineLevel="0" collapsed="false">
      <c r="B559" s="202" t="s">
        <v>240</v>
      </c>
      <c r="C559" s="203"/>
      <c r="D559" s="203"/>
      <c r="E559" s="264"/>
      <c r="F559" s="204" t="s">
        <v>239</v>
      </c>
      <c r="G559" s="234" t="n">
        <v>8</v>
      </c>
      <c r="H559" s="235" t="n">
        <f aca="false">'Folha Rosto Comp. P. Unit. '!D8</f>
        <v>1.64</v>
      </c>
      <c r="I559" s="210"/>
      <c r="J559" s="212"/>
      <c r="K559" s="236" t="n">
        <f aca="false">ROUND(G559*H559,2)</f>
        <v>13.12</v>
      </c>
    </row>
    <row r="560" s="190" customFormat="true" ht="15" hidden="false" customHeight="true" outlineLevel="0" collapsed="false">
      <c r="B560" s="202"/>
      <c r="C560" s="203"/>
      <c r="D560" s="237" t="s">
        <v>241</v>
      </c>
      <c r="E560" s="264"/>
      <c r="F560" s="204"/>
      <c r="G560" s="250"/>
      <c r="H560" s="315"/>
      <c r="I560" s="442"/>
      <c r="J560" s="353"/>
      <c r="K560" s="443" t="n">
        <f aca="false">SUM(K559)</f>
        <v>13.12</v>
      </c>
    </row>
    <row r="561" s="190" customFormat="true" ht="15" hidden="false" customHeight="true" outlineLevel="0" collapsed="false">
      <c r="B561" s="230" t="s">
        <v>349</v>
      </c>
      <c r="C561" s="231"/>
      <c r="D561" s="231"/>
      <c r="E561" s="232"/>
      <c r="F561" s="217"/>
      <c r="G561" s="444" t="n">
        <f aca="false">'Folha Rosto Comp. P. Unit. '!B4</f>
        <v>1.26</v>
      </c>
      <c r="H561" s="303"/>
      <c r="I561" s="334"/>
      <c r="J561" s="336"/>
      <c r="K561" s="392" t="n">
        <f aca="false">K560*G561</f>
        <v>16.5312</v>
      </c>
    </row>
    <row r="562" s="190" customFormat="true" ht="15" hidden="false" customHeight="true" outlineLevel="0" collapsed="false">
      <c r="B562" s="202"/>
      <c r="C562" s="203"/>
      <c r="D562" s="203"/>
      <c r="E562" s="203"/>
      <c r="F562" s="245"/>
      <c r="G562" s="213" t="s">
        <v>243</v>
      </c>
      <c r="H562" s="214"/>
      <c r="I562" s="215"/>
      <c r="J562" s="215"/>
      <c r="K562" s="242" t="n">
        <f aca="false">SUM(K560:K561)</f>
        <v>29.6512</v>
      </c>
    </row>
    <row r="563" s="190" customFormat="true" ht="15" hidden="false" customHeight="true" outlineLevel="0" collapsed="false">
      <c r="B563" s="273" t="s">
        <v>265</v>
      </c>
      <c r="C563" s="273"/>
      <c r="D563" s="273"/>
      <c r="E563" s="273"/>
      <c r="F563" s="204" t="s">
        <v>216</v>
      </c>
      <c r="G563" s="217" t="s">
        <v>296</v>
      </c>
      <c r="H563" s="217" t="s">
        <v>218</v>
      </c>
      <c r="I563" s="218" t="s">
        <v>223</v>
      </c>
      <c r="J563" s="218"/>
      <c r="K563" s="218"/>
    </row>
    <row r="564" s="190" customFormat="true" ht="15" hidden="false" customHeight="true" outlineLevel="0" collapsed="false">
      <c r="B564" s="202" t="s">
        <v>428</v>
      </c>
      <c r="C564" s="212"/>
      <c r="D564" s="203"/>
      <c r="E564" s="264"/>
      <c r="F564" s="204" t="s">
        <v>311</v>
      </c>
      <c r="G564" s="234" t="n">
        <f aca="false">1*1*2</f>
        <v>2</v>
      </c>
      <c r="H564" s="234" t="n">
        <v>8.75</v>
      </c>
      <c r="I564" s="219"/>
      <c r="J564" s="220"/>
      <c r="K564" s="236" t="n">
        <f aca="false">ROUND(G564*H564,2)</f>
        <v>17.5</v>
      </c>
    </row>
    <row r="565" s="190" customFormat="true" ht="15" hidden="false" customHeight="true" outlineLevel="0" collapsed="false">
      <c r="B565" s="248"/>
      <c r="C565" s="203"/>
      <c r="D565" s="203"/>
      <c r="E565" s="264"/>
      <c r="F565" s="204"/>
      <c r="G565" s="269" t="s">
        <v>301</v>
      </c>
      <c r="H565" s="445"/>
      <c r="I565" s="434"/>
      <c r="J565" s="434"/>
      <c r="K565" s="272" t="n">
        <f aca="false">SUM(K564:K564)</f>
        <v>17.5</v>
      </c>
    </row>
    <row r="566" s="190" customFormat="true" ht="15" hidden="false" customHeight="true" outlineLevel="0" collapsed="false">
      <c r="B566" s="332" t="s">
        <v>429</v>
      </c>
      <c r="C566" s="302"/>
      <c r="D566" s="231"/>
      <c r="E566" s="231"/>
      <c r="F566" s="239"/>
      <c r="G566" s="231"/>
      <c r="H566" s="239"/>
      <c r="I566" s="231"/>
      <c r="J566" s="231"/>
      <c r="K566" s="280" t="n">
        <f aca="false">SUM(K562,K565)</f>
        <v>47.1512</v>
      </c>
    </row>
    <row r="567" s="190" customFormat="true" ht="15" hidden="false" customHeight="true" outlineLevel="0" collapsed="false">
      <c r="B567" s="384" t="s">
        <v>229</v>
      </c>
      <c r="C567" s="385"/>
      <c r="D567" s="386" t="n">
        <f aca="false">'Folha Rosto Comp. P. Unit. '!B5</f>
        <v>0.3</v>
      </c>
      <c r="E567" s="387"/>
      <c r="F567" s="388"/>
      <c r="G567" s="387"/>
      <c r="H567" s="388"/>
      <c r="I567" s="387"/>
      <c r="J567" s="188"/>
      <c r="K567" s="222" t="n">
        <f aca="false">ROUND(K566*D567,2)</f>
        <v>14.15</v>
      </c>
    </row>
    <row r="568" s="190" customFormat="true" ht="15" hidden="false" customHeight="true" outlineLevel="0" collapsed="false">
      <c r="B568" s="224" t="s">
        <v>230</v>
      </c>
      <c r="C568" s="224"/>
      <c r="D568" s="224"/>
      <c r="E568" s="224"/>
      <c r="F568" s="224"/>
      <c r="G568" s="224"/>
      <c r="H568" s="224"/>
      <c r="I568" s="224"/>
      <c r="J568" s="224"/>
      <c r="K568" s="242" t="n">
        <f aca="false">SUM(K566:K567)</f>
        <v>61.3012</v>
      </c>
    </row>
    <row r="569" s="190" customFormat="true" ht="15" hidden="false" customHeight="true" outlineLevel="0" collapsed="false">
      <c r="B569" s="350"/>
      <c r="C569" s="214"/>
      <c r="D569" s="214"/>
      <c r="E569" s="214"/>
      <c r="F569" s="214"/>
      <c r="G569" s="214"/>
      <c r="H569" s="214"/>
      <c r="I569" s="214"/>
      <c r="J569" s="281"/>
      <c r="K569" s="446"/>
    </row>
    <row r="570" s="190" customFormat="true" ht="15" hidden="false" customHeight="true" outlineLevel="0" collapsed="false">
      <c r="B570" s="227" t="n">
        <v>34</v>
      </c>
      <c r="C570" s="214" t="s">
        <v>396</v>
      </c>
      <c r="D570" s="416" t="s">
        <v>430</v>
      </c>
      <c r="E570" s="416"/>
      <c r="F570" s="416"/>
      <c r="G570" s="416"/>
      <c r="H570" s="416"/>
      <c r="I570" s="416"/>
      <c r="J570" s="262" t="s">
        <v>213</v>
      </c>
      <c r="K570" s="263" t="s">
        <v>214</v>
      </c>
    </row>
    <row r="571" s="190" customFormat="true" ht="15" hidden="false" customHeight="true" outlineLevel="0" collapsed="false">
      <c r="B571" s="202" t="s">
        <v>215</v>
      </c>
      <c r="C571" s="203"/>
      <c r="D571" s="203"/>
      <c r="E571" s="264"/>
      <c r="F571" s="204" t="s">
        <v>216</v>
      </c>
      <c r="G571" s="204" t="s">
        <v>217</v>
      </c>
      <c r="H571" s="204" t="s">
        <v>218</v>
      </c>
      <c r="I571" s="205" t="s">
        <v>219</v>
      </c>
      <c r="J571" s="205"/>
      <c r="K571" s="205"/>
    </row>
    <row r="572" s="190" customFormat="true" ht="15" hidden="false" customHeight="true" outlineLevel="0" collapsed="false">
      <c r="B572" s="202" t="s">
        <v>240</v>
      </c>
      <c r="C572" s="203"/>
      <c r="D572" s="203"/>
      <c r="E572" s="203"/>
      <c r="F572" s="204" t="s">
        <v>239</v>
      </c>
      <c r="G572" s="234" t="n">
        <v>0.48</v>
      </c>
      <c r="H572" s="235" t="n">
        <f aca="false">'Folha Rosto Comp. P. Unit. '!D8</f>
        <v>1.64</v>
      </c>
      <c r="I572" s="220"/>
      <c r="J572" s="220"/>
      <c r="K572" s="236" t="n">
        <f aca="false">ROUND(G572*H572,2)</f>
        <v>0.79</v>
      </c>
    </row>
    <row r="573" s="190" customFormat="true" ht="15" hidden="false" customHeight="true" outlineLevel="0" collapsed="false">
      <c r="B573" s="202"/>
      <c r="C573" s="203"/>
      <c r="D573" s="203"/>
      <c r="E573" s="203"/>
      <c r="F573" s="204"/>
      <c r="G573" s="234"/>
      <c r="H573" s="235"/>
      <c r="I573" s="220"/>
      <c r="J573" s="220"/>
      <c r="K573" s="447" t="n">
        <f aca="false">ROUND(G573*H573,2)</f>
        <v>0</v>
      </c>
    </row>
    <row r="574" s="190" customFormat="true" ht="15" hidden="false" customHeight="true" outlineLevel="0" collapsed="false">
      <c r="B574" s="202"/>
      <c r="C574" s="203"/>
      <c r="D574" s="237" t="s">
        <v>241</v>
      </c>
      <c r="E574" s="203"/>
      <c r="F574" s="204"/>
      <c r="G574" s="234"/>
      <c r="H574" s="234"/>
      <c r="I574" s="220"/>
      <c r="J574" s="220"/>
      <c r="K574" s="221" t="n">
        <f aca="false">SUM(K572:K573)</f>
        <v>0.79</v>
      </c>
    </row>
    <row r="575" s="190" customFormat="true" ht="15" hidden="false" customHeight="true" outlineLevel="0" collapsed="false">
      <c r="B575" s="202" t="s">
        <v>388</v>
      </c>
      <c r="C575" s="203"/>
      <c r="D575" s="203"/>
      <c r="E575" s="203"/>
      <c r="F575" s="326"/>
      <c r="G575" s="238" t="n">
        <f aca="false">'Folha Rosto Comp. P. Unit. '!B4</f>
        <v>1.26</v>
      </c>
      <c r="H575" s="204"/>
      <c r="I575" s="203"/>
      <c r="J575" s="203"/>
      <c r="K575" s="221" t="n">
        <f aca="false">K574*G575</f>
        <v>0.9954</v>
      </c>
    </row>
    <row r="576" s="190" customFormat="true" ht="15" hidden="false" customHeight="true" outlineLevel="0" collapsed="false">
      <c r="B576" s="230"/>
      <c r="C576" s="231"/>
      <c r="D576" s="231"/>
      <c r="E576" s="231"/>
      <c r="F576" s="231"/>
      <c r="G576" s="213" t="s">
        <v>243</v>
      </c>
      <c r="H576" s="214"/>
      <c r="I576" s="423"/>
      <c r="J576" s="240"/>
      <c r="K576" s="424" t="n">
        <f aca="false">SUM(K574:K575)</f>
        <v>1.7854</v>
      </c>
    </row>
    <row r="577" s="190" customFormat="true" ht="15" hidden="false" customHeight="true" outlineLevel="0" collapsed="false">
      <c r="B577" s="273" t="s">
        <v>265</v>
      </c>
      <c r="C577" s="273"/>
      <c r="D577" s="273"/>
      <c r="E577" s="273"/>
      <c r="F577" s="217" t="s">
        <v>216</v>
      </c>
      <c r="G577" s="217" t="s">
        <v>333</v>
      </c>
      <c r="H577" s="217" t="s">
        <v>218</v>
      </c>
      <c r="I577" s="218" t="s">
        <v>219</v>
      </c>
      <c r="J577" s="218"/>
      <c r="K577" s="218"/>
    </row>
    <row r="578" s="190" customFormat="true" ht="15" hidden="false" customHeight="true" outlineLevel="0" collapsed="false">
      <c r="B578" s="202"/>
      <c r="C578" s="203"/>
      <c r="D578" s="203"/>
      <c r="E578" s="203"/>
      <c r="F578" s="217"/>
      <c r="G578" s="235"/>
      <c r="H578" s="235"/>
      <c r="I578" s="277"/>
      <c r="J578" s="278"/>
      <c r="K578" s="447" t="n">
        <f aca="false">ROUND(G578*H578,2)</f>
        <v>0</v>
      </c>
    </row>
    <row r="579" s="190" customFormat="true" ht="15" hidden="false" customHeight="true" outlineLevel="0" collapsed="false">
      <c r="B579" s="202" t="s">
        <v>332</v>
      </c>
      <c r="C579" s="203"/>
      <c r="D579" s="203"/>
      <c r="E579" s="203"/>
      <c r="F579" s="217" t="s">
        <v>311</v>
      </c>
      <c r="G579" s="235"/>
      <c r="H579" s="235"/>
      <c r="I579" s="277"/>
      <c r="J579" s="278"/>
      <c r="K579" s="447" t="n">
        <f aca="false">ROUND(G579*H579,2)</f>
        <v>0</v>
      </c>
    </row>
    <row r="580" s="190" customFormat="true" ht="15" hidden="false" customHeight="true" outlineLevel="0" collapsed="false">
      <c r="B580" s="202"/>
      <c r="C580" s="203"/>
      <c r="D580" s="203"/>
      <c r="E580" s="203"/>
      <c r="F580" s="217"/>
      <c r="G580" s="235"/>
      <c r="H580" s="235"/>
      <c r="I580" s="277"/>
      <c r="J580" s="278"/>
      <c r="K580" s="447" t="n">
        <f aca="false">ROUND(G580*H580,2)</f>
        <v>0</v>
      </c>
    </row>
    <row r="581" s="190" customFormat="true" ht="15" hidden="false" customHeight="true" outlineLevel="0" collapsed="false">
      <c r="B581" s="202"/>
      <c r="C581" s="203"/>
      <c r="D581" s="203"/>
      <c r="E581" s="203"/>
      <c r="F581" s="217"/>
      <c r="G581" s="235"/>
      <c r="H581" s="235"/>
      <c r="I581" s="277"/>
      <c r="J581" s="278"/>
      <c r="K581" s="447" t="n">
        <f aca="false">ROUND(G581*H581,2)</f>
        <v>0</v>
      </c>
    </row>
    <row r="582" s="190" customFormat="true" ht="15" hidden="false" customHeight="true" outlineLevel="0" collapsed="false">
      <c r="B582" s="202"/>
      <c r="C582" s="203"/>
      <c r="D582" s="203"/>
      <c r="E582" s="232"/>
      <c r="F582" s="243"/>
      <c r="G582" s="448"/>
      <c r="H582" s="356"/>
      <c r="I582" s="219"/>
      <c r="J582" s="220"/>
      <c r="K582" s="447" t="n">
        <f aca="false">ROUND(G582*H582,2)</f>
        <v>0</v>
      </c>
    </row>
    <row r="583" s="190" customFormat="true" ht="15" hidden="false" customHeight="true" outlineLevel="0" collapsed="false">
      <c r="B583" s="351"/>
      <c r="C583" s="336"/>
      <c r="D583" s="336"/>
      <c r="E583" s="389"/>
      <c r="F583" s="303"/>
      <c r="G583" s="390"/>
      <c r="H583" s="449"/>
      <c r="I583" s="339"/>
      <c r="J583" s="450"/>
      <c r="K583" s="451" t="n">
        <f aca="false">ROUND(G583*H583,2)</f>
        <v>0</v>
      </c>
    </row>
    <row r="584" s="190" customFormat="true" ht="15" hidden="false" customHeight="true" outlineLevel="0" collapsed="false">
      <c r="B584" s="230" t="s">
        <v>226</v>
      </c>
      <c r="C584" s="231"/>
      <c r="D584" s="231"/>
      <c r="E584" s="231"/>
      <c r="F584" s="231"/>
      <c r="G584" s="213" t="s">
        <v>227</v>
      </c>
      <c r="H584" s="214"/>
      <c r="I584" s="428"/>
      <c r="J584" s="429"/>
      <c r="K584" s="424" t="n">
        <f aca="false">SUM(K578:K583)</f>
        <v>0</v>
      </c>
    </row>
    <row r="585" s="190" customFormat="true" ht="15" hidden="false" customHeight="true" outlineLevel="0" collapsed="false">
      <c r="B585" s="230" t="s">
        <v>372</v>
      </c>
      <c r="C585" s="231"/>
      <c r="D585" s="231"/>
      <c r="E585" s="231"/>
      <c r="F585" s="231"/>
      <c r="G585" s="231"/>
      <c r="H585" s="239"/>
      <c r="I585" s="231"/>
      <c r="J585" s="231"/>
      <c r="K585" s="436" t="n">
        <f aca="false">SUM(K576+K584)</f>
        <v>1.7854</v>
      </c>
    </row>
    <row r="586" s="190" customFormat="true" ht="15" hidden="false" customHeight="true" outlineLevel="0" collapsed="false">
      <c r="B586" s="230" t="s">
        <v>229</v>
      </c>
      <c r="C586" s="231"/>
      <c r="D586" s="223" t="n">
        <f aca="false">'Folha Rosto Comp. P. Unit. '!B5</f>
        <v>0.3</v>
      </c>
      <c r="E586" s="231"/>
      <c r="F586" s="231"/>
      <c r="G586" s="231"/>
      <c r="H586" s="239"/>
      <c r="I586" s="231"/>
      <c r="J586" s="203"/>
      <c r="K586" s="430" t="n">
        <f aca="false">ROUND(K585*D586,2)</f>
        <v>0.54</v>
      </c>
    </row>
    <row r="587" s="190" customFormat="true" ht="15" hidden="false" customHeight="true" outlineLevel="0" collapsed="false">
      <c r="B587" s="224" t="s">
        <v>230</v>
      </c>
      <c r="C587" s="224"/>
      <c r="D587" s="224"/>
      <c r="E587" s="224"/>
      <c r="F587" s="224"/>
      <c r="G587" s="224"/>
      <c r="H587" s="224"/>
      <c r="I587" s="224"/>
      <c r="J587" s="224"/>
      <c r="K587" s="424" t="n">
        <f aca="false">SUM(K585:K586)</f>
        <v>2.3254</v>
      </c>
    </row>
    <row r="588" s="190" customFormat="true" ht="15" hidden="false" customHeight="true" outlineLevel="0" collapsed="false">
      <c r="B588" s="214"/>
      <c r="C588" s="214"/>
      <c r="D588" s="214"/>
      <c r="E588" s="214"/>
      <c r="F588" s="214"/>
      <c r="G588" s="214"/>
      <c r="H588" s="214"/>
      <c r="I588" s="214"/>
      <c r="J588" s="281"/>
      <c r="K588" s="452"/>
    </row>
    <row r="589" s="190" customFormat="true" ht="15" hidden="false" customHeight="true" outlineLevel="0" collapsed="false">
      <c r="B589" s="227" t="n">
        <v>35</v>
      </c>
      <c r="C589" s="321" t="s">
        <v>211</v>
      </c>
      <c r="D589" s="322" t="s">
        <v>431</v>
      </c>
      <c r="E589" s="322"/>
      <c r="F589" s="322"/>
      <c r="G589" s="322"/>
      <c r="H589" s="322"/>
      <c r="I589" s="322"/>
      <c r="J589" s="323" t="s">
        <v>213</v>
      </c>
      <c r="K589" s="324" t="s">
        <v>311</v>
      </c>
    </row>
    <row r="590" s="190" customFormat="true" ht="15" hidden="false" customHeight="true" outlineLevel="0" collapsed="false">
      <c r="B590" s="453" t="s">
        <v>215</v>
      </c>
      <c r="C590" s="454"/>
      <c r="D590" s="412"/>
      <c r="E590" s="393"/>
      <c r="F590" s="294" t="s">
        <v>216</v>
      </c>
      <c r="G590" s="294" t="s">
        <v>217</v>
      </c>
      <c r="H590" s="294" t="s">
        <v>276</v>
      </c>
      <c r="I590" s="218" t="s">
        <v>219</v>
      </c>
      <c r="J590" s="218"/>
      <c r="K590" s="218"/>
    </row>
    <row r="591" s="190" customFormat="true" ht="15" hidden="false" customHeight="true" outlineLevel="0" collapsed="false">
      <c r="B591" s="202" t="s">
        <v>368</v>
      </c>
      <c r="C591" s="203"/>
      <c r="D591" s="203"/>
      <c r="E591" s="264"/>
      <c r="F591" s="204" t="s">
        <v>239</v>
      </c>
      <c r="G591" s="234" t="n">
        <v>2.6</v>
      </c>
      <c r="H591" s="234" t="n">
        <f aca="false">'Folha Rosto Comp. P. Unit. '!D7</f>
        <v>2.56</v>
      </c>
      <c r="I591" s="219"/>
      <c r="J591" s="220"/>
      <c r="K591" s="252" t="n">
        <f aca="false">ROUND(G591*H591,2)</f>
        <v>6.66</v>
      </c>
    </row>
    <row r="592" s="190" customFormat="true" ht="15" hidden="false" customHeight="true" outlineLevel="0" collapsed="false">
      <c r="B592" s="202" t="s">
        <v>240</v>
      </c>
      <c r="C592" s="203"/>
      <c r="D592" s="203"/>
      <c r="E592" s="264"/>
      <c r="F592" s="204" t="s">
        <v>239</v>
      </c>
      <c r="G592" s="234" t="n">
        <v>13</v>
      </c>
      <c r="H592" s="234" t="n">
        <f aca="false">'Folha Rosto Comp. P. Unit. '!D8</f>
        <v>1.64</v>
      </c>
      <c r="I592" s="219"/>
      <c r="J592" s="220"/>
      <c r="K592" s="236" t="n">
        <f aca="false">ROUND(G592*H592,2)</f>
        <v>21.32</v>
      </c>
    </row>
    <row r="593" s="190" customFormat="true" ht="15" hidden="false" customHeight="true" outlineLevel="0" collapsed="false">
      <c r="B593" s="202"/>
      <c r="C593" s="203"/>
      <c r="D593" s="237" t="s">
        <v>241</v>
      </c>
      <c r="E593" s="264"/>
      <c r="F593" s="204"/>
      <c r="G593" s="234"/>
      <c r="H593" s="234"/>
      <c r="I593" s="219"/>
      <c r="J593" s="220"/>
      <c r="K593" s="221" t="n">
        <f aca="false">SUM(K591:K592)</f>
        <v>27.98</v>
      </c>
    </row>
    <row r="594" s="190" customFormat="true" ht="15" hidden="false" customHeight="true" outlineLevel="0" collapsed="false">
      <c r="B594" s="202" t="s">
        <v>349</v>
      </c>
      <c r="C594" s="203"/>
      <c r="D594" s="203"/>
      <c r="E594" s="264"/>
      <c r="F594" s="204"/>
      <c r="G594" s="238" t="n">
        <f aca="false">'Folha Rosto Comp. P. Unit. '!B4</f>
        <v>1.26</v>
      </c>
      <c r="H594" s="204"/>
      <c r="I594" s="208"/>
      <c r="J594" s="203"/>
      <c r="K594" s="221" t="n">
        <f aca="false">K593*G594</f>
        <v>35.2548</v>
      </c>
    </row>
    <row r="595" s="190" customFormat="true" ht="15" hidden="false" customHeight="true" outlineLevel="0" collapsed="false">
      <c r="B595" s="230"/>
      <c r="C595" s="231"/>
      <c r="D595" s="231"/>
      <c r="E595" s="231"/>
      <c r="F595" s="253"/>
      <c r="G595" s="213" t="s">
        <v>243</v>
      </c>
      <c r="H595" s="214"/>
      <c r="I595" s="215"/>
      <c r="J595" s="215"/>
      <c r="K595" s="242" t="n">
        <f aca="false">SUM(K593:K594)</f>
        <v>63.2348</v>
      </c>
    </row>
    <row r="596" s="190" customFormat="true" ht="15" hidden="false" customHeight="true" outlineLevel="0" collapsed="false">
      <c r="B596" s="273" t="s">
        <v>265</v>
      </c>
      <c r="C596" s="273"/>
      <c r="D596" s="273"/>
      <c r="E596" s="273"/>
      <c r="F596" s="204" t="s">
        <v>216</v>
      </c>
      <c r="G596" s="204" t="s">
        <v>296</v>
      </c>
      <c r="H596" s="204" t="s">
        <v>218</v>
      </c>
      <c r="I596" s="205" t="s">
        <v>219</v>
      </c>
      <c r="J596" s="205"/>
      <c r="K596" s="205"/>
    </row>
    <row r="597" s="190" customFormat="true" ht="15" hidden="false" customHeight="true" outlineLevel="0" collapsed="false">
      <c r="B597" s="202" t="s">
        <v>369</v>
      </c>
      <c r="C597" s="203"/>
      <c r="D597" s="203"/>
      <c r="E597" s="264"/>
      <c r="F597" s="204" t="s">
        <v>370</v>
      </c>
      <c r="G597" s="234" t="n">
        <v>5</v>
      </c>
      <c r="H597" s="234" t="n">
        <v>18</v>
      </c>
      <c r="I597" s="219"/>
      <c r="J597" s="220"/>
      <c r="K597" s="236" t="n">
        <f aca="false">ROUND(G597*H597,2)</f>
        <v>90</v>
      </c>
    </row>
    <row r="598" s="190" customFormat="true" ht="15" hidden="false" customHeight="true" outlineLevel="0" collapsed="false">
      <c r="B598" s="202" t="s">
        <v>366</v>
      </c>
      <c r="C598" s="203"/>
      <c r="D598" s="203"/>
      <c r="E598" s="264"/>
      <c r="F598" s="204" t="s">
        <v>311</v>
      </c>
      <c r="G598" s="234" t="n">
        <v>0.65</v>
      </c>
      <c r="H598" s="234" t="n">
        <v>20</v>
      </c>
      <c r="I598" s="219"/>
      <c r="J598" s="220"/>
      <c r="K598" s="236" t="n">
        <f aca="false">ROUND(G598*H598,2)</f>
        <v>13</v>
      </c>
    </row>
    <row r="599" s="190" customFormat="true" ht="15" hidden="false" customHeight="true" outlineLevel="0" collapsed="false">
      <c r="B599" s="202" t="s">
        <v>371</v>
      </c>
      <c r="C599" s="203"/>
      <c r="D599" s="203"/>
      <c r="E599" s="264"/>
      <c r="F599" s="204" t="s">
        <v>311</v>
      </c>
      <c r="G599" s="234" t="n">
        <v>0.9</v>
      </c>
      <c r="H599" s="234" t="n">
        <v>50</v>
      </c>
      <c r="I599" s="219"/>
      <c r="J599" s="220"/>
      <c r="K599" s="236" t="n">
        <f aca="false">ROUND(G599*H599,2)</f>
        <v>45</v>
      </c>
    </row>
    <row r="600" s="190" customFormat="true" ht="15" hidden="false" customHeight="true" outlineLevel="0" collapsed="false">
      <c r="B600" s="202"/>
      <c r="C600" s="203"/>
      <c r="D600" s="203"/>
      <c r="E600" s="264"/>
      <c r="F600" s="204"/>
      <c r="G600" s="213" t="s">
        <v>301</v>
      </c>
      <c r="H600" s="329"/>
      <c r="I600" s="215"/>
      <c r="J600" s="215"/>
      <c r="K600" s="242" t="n">
        <f aca="false">SUM(K597:K599)</f>
        <v>148</v>
      </c>
    </row>
    <row r="601" s="190" customFormat="true" ht="15" hidden="false" customHeight="true" outlineLevel="0" collapsed="false">
      <c r="B601" s="230" t="s">
        <v>372</v>
      </c>
      <c r="C601" s="302"/>
      <c r="D601" s="231"/>
      <c r="E601" s="231"/>
      <c r="F601" s="239"/>
      <c r="G601" s="231"/>
      <c r="H601" s="239"/>
      <c r="I601" s="231"/>
      <c r="J601" s="231"/>
      <c r="K601" s="280" t="n">
        <f aca="false">SUM(K595+K600)</f>
        <v>211.2348</v>
      </c>
    </row>
    <row r="602" s="190" customFormat="true" ht="15" hidden="false" customHeight="true" outlineLevel="0" collapsed="false">
      <c r="B602" s="384" t="s">
        <v>229</v>
      </c>
      <c r="C602" s="385"/>
      <c r="D602" s="386" t="n">
        <f aca="false">'Folha Rosto Comp. P. Unit. '!B5</f>
        <v>0.3</v>
      </c>
      <c r="E602" s="387"/>
      <c r="F602" s="388"/>
      <c r="G602" s="387"/>
      <c r="H602" s="388"/>
      <c r="I602" s="387"/>
      <c r="J602" s="188"/>
      <c r="K602" s="222" t="n">
        <f aca="false">ROUND(K601*D602,2)</f>
        <v>63.37</v>
      </c>
    </row>
    <row r="603" s="190" customFormat="true" ht="15" hidden="false" customHeight="true" outlineLevel="0" collapsed="false">
      <c r="B603" s="224" t="s">
        <v>230</v>
      </c>
      <c r="C603" s="224"/>
      <c r="D603" s="224"/>
      <c r="E603" s="224"/>
      <c r="F603" s="224"/>
      <c r="G603" s="224"/>
      <c r="H603" s="224"/>
      <c r="I603" s="224"/>
      <c r="J603" s="224"/>
      <c r="K603" s="242" t="n">
        <f aca="false">SUM(K601:K602)</f>
        <v>274.6048</v>
      </c>
    </row>
    <row r="604" s="190" customFormat="true" ht="15" hidden="false" customHeight="true" outlineLevel="0" collapsed="false">
      <c r="F604" s="192"/>
      <c r="H604" s="192"/>
      <c r="K604" s="193"/>
    </row>
    <row r="605" s="190" customFormat="true" ht="15" hidden="false" customHeight="true" outlineLevel="0" collapsed="false">
      <c r="B605" s="227" t="n">
        <v>36</v>
      </c>
      <c r="C605" s="321" t="s">
        <v>211</v>
      </c>
      <c r="D605" s="322" t="s">
        <v>432</v>
      </c>
      <c r="E605" s="322"/>
      <c r="F605" s="322"/>
      <c r="G605" s="322"/>
      <c r="H605" s="322"/>
      <c r="I605" s="322"/>
      <c r="J605" s="323" t="s">
        <v>213</v>
      </c>
      <c r="K605" s="324" t="s">
        <v>311</v>
      </c>
    </row>
    <row r="606" s="190" customFormat="true" ht="15" hidden="false" customHeight="true" outlineLevel="0" collapsed="false">
      <c r="B606" s="325" t="s">
        <v>215</v>
      </c>
      <c r="C606" s="326"/>
      <c r="D606" s="208"/>
      <c r="E606" s="264"/>
      <c r="F606" s="204" t="s">
        <v>216</v>
      </c>
      <c r="G606" s="204" t="s">
        <v>217</v>
      </c>
      <c r="H606" s="204" t="s">
        <v>276</v>
      </c>
      <c r="I606" s="205" t="s">
        <v>219</v>
      </c>
      <c r="J606" s="205"/>
      <c r="K606" s="205"/>
    </row>
    <row r="607" s="190" customFormat="true" ht="15" hidden="false" customHeight="true" outlineLevel="0" collapsed="false">
      <c r="B607" s="230" t="s">
        <v>368</v>
      </c>
      <c r="C607" s="231"/>
      <c r="D607" s="231"/>
      <c r="E607" s="232"/>
      <c r="F607" s="217" t="s">
        <v>239</v>
      </c>
      <c r="G607" s="235" t="n">
        <v>2.6</v>
      </c>
      <c r="H607" s="235" t="n">
        <f aca="false">'Folha Rosto Comp. P. Unit. '!D7</f>
        <v>2.56</v>
      </c>
      <c r="I607" s="277"/>
      <c r="J607" s="278"/>
      <c r="K607" s="252" t="n">
        <f aca="false">ROUND(G607*H607,2)</f>
        <v>6.66</v>
      </c>
    </row>
    <row r="608" s="190" customFormat="true" ht="15" hidden="false" customHeight="true" outlineLevel="0" collapsed="false">
      <c r="B608" s="202" t="s">
        <v>240</v>
      </c>
      <c r="C608" s="203"/>
      <c r="D608" s="203"/>
      <c r="E608" s="264"/>
      <c r="F608" s="204" t="s">
        <v>239</v>
      </c>
      <c r="G608" s="234" t="n">
        <v>13</v>
      </c>
      <c r="H608" s="234" t="n">
        <f aca="false">'Folha Rosto Comp. P. Unit. '!D8</f>
        <v>1.64</v>
      </c>
      <c r="I608" s="219"/>
      <c r="J608" s="220"/>
      <c r="K608" s="236" t="n">
        <f aca="false">ROUND(G608*H608,2)</f>
        <v>21.32</v>
      </c>
    </row>
    <row r="609" s="190" customFormat="true" ht="15" hidden="false" customHeight="true" outlineLevel="0" collapsed="false">
      <c r="B609" s="202"/>
      <c r="C609" s="203"/>
      <c r="D609" s="237" t="s">
        <v>241</v>
      </c>
      <c r="E609" s="264"/>
      <c r="F609" s="204"/>
      <c r="G609" s="234"/>
      <c r="H609" s="234"/>
      <c r="I609" s="219"/>
      <c r="J609" s="220"/>
      <c r="K609" s="221" t="n">
        <f aca="false">SUM(K607:K608)</f>
        <v>27.98</v>
      </c>
    </row>
    <row r="610" s="190" customFormat="true" ht="15" hidden="false" customHeight="true" outlineLevel="0" collapsed="false">
      <c r="B610" s="202" t="s">
        <v>349</v>
      </c>
      <c r="C610" s="203"/>
      <c r="D610" s="203"/>
      <c r="E610" s="264"/>
      <c r="F610" s="204"/>
      <c r="G610" s="238" t="n">
        <f aca="false">'Folha Rosto Comp. P. Unit. '!B4</f>
        <v>1.26</v>
      </c>
      <c r="H610" s="204"/>
      <c r="I610" s="208"/>
      <c r="J610" s="203"/>
      <c r="K610" s="221" t="n">
        <f aca="false">K609*G610</f>
        <v>35.2548</v>
      </c>
    </row>
    <row r="611" s="190" customFormat="true" ht="15" hidden="false" customHeight="true" outlineLevel="0" collapsed="false">
      <c r="B611" s="230"/>
      <c r="C611" s="231"/>
      <c r="D611" s="231"/>
      <c r="E611" s="231"/>
      <c r="F611" s="239"/>
      <c r="G611" s="213" t="s">
        <v>243</v>
      </c>
      <c r="H611" s="214"/>
      <c r="I611" s="215"/>
      <c r="J611" s="215"/>
      <c r="K611" s="242" t="n">
        <f aca="false">SUM(K609:K610)</f>
        <v>63.2348</v>
      </c>
    </row>
    <row r="612" s="190" customFormat="true" ht="15" hidden="false" customHeight="true" outlineLevel="0" collapsed="false">
      <c r="B612" s="273" t="s">
        <v>265</v>
      </c>
      <c r="C612" s="273"/>
      <c r="D612" s="273"/>
      <c r="E612" s="273"/>
      <c r="F612" s="217" t="s">
        <v>433</v>
      </c>
      <c r="G612" s="217" t="s">
        <v>296</v>
      </c>
      <c r="H612" s="217" t="s">
        <v>218</v>
      </c>
      <c r="I612" s="218" t="s">
        <v>219</v>
      </c>
      <c r="J612" s="218"/>
      <c r="K612" s="218"/>
    </row>
    <row r="613" s="190" customFormat="true" ht="15" hidden="false" customHeight="true" outlineLevel="0" collapsed="false">
      <c r="B613" s="202" t="s">
        <v>369</v>
      </c>
      <c r="C613" s="203"/>
      <c r="D613" s="203"/>
      <c r="E613" s="264"/>
      <c r="F613" s="204" t="s">
        <v>370</v>
      </c>
      <c r="G613" s="234" t="n">
        <v>6.3</v>
      </c>
      <c r="H613" s="234" t="n">
        <v>18</v>
      </c>
      <c r="I613" s="219"/>
      <c r="J613" s="220"/>
      <c r="K613" s="236" t="n">
        <f aca="false">ROUND(G613*H613,2)</f>
        <v>113.4</v>
      </c>
    </row>
    <row r="614" s="190" customFormat="true" ht="15" hidden="false" customHeight="true" outlineLevel="0" collapsed="false">
      <c r="B614" s="230" t="s">
        <v>366</v>
      </c>
      <c r="C614" s="231"/>
      <c r="D614" s="231"/>
      <c r="E614" s="232"/>
      <c r="F614" s="217" t="s">
        <v>311</v>
      </c>
      <c r="G614" s="235" t="n">
        <v>0.7</v>
      </c>
      <c r="H614" s="235" t="n">
        <v>20</v>
      </c>
      <c r="I614" s="277"/>
      <c r="J614" s="278"/>
      <c r="K614" s="236" t="n">
        <f aca="false">ROUND(G614*H614,2)</f>
        <v>14</v>
      </c>
    </row>
    <row r="615" s="190" customFormat="true" ht="15" hidden="false" customHeight="true" outlineLevel="0" collapsed="false">
      <c r="B615" s="202" t="s">
        <v>371</v>
      </c>
      <c r="C615" s="203"/>
      <c r="D615" s="203"/>
      <c r="E615" s="264"/>
      <c r="F615" s="204" t="s">
        <v>311</v>
      </c>
      <c r="G615" s="234" t="n">
        <v>0.88</v>
      </c>
      <c r="H615" s="234" t="n">
        <v>50</v>
      </c>
      <c r="I615" s="219"/>
      <c r="J615" s="220"/>
      <c r="K615" s="221" t="n">
        <f aca="false">ROUND(G615*H615,2)</f>
        <v>44</v>
      </c>
    </row>
    <row r="616" s="190" customFormat="true" ht="15" hidden="false" customHeight="true" outlineLevel="0" collapsed="false">
      <c r="B616" s="202"/>
      <c r="C616" s="203"/>
      <c r="D616" s="203"/>
      <c r="E616" s="264"/>
      <c r="F616" s="204"/>
      <c r="G616" s="213" t="s">
        <v>301</v>
      </c>
      <c r="H616" s="329"/>
      <c r="I616" s="215"/>
      <c r="J616" s="215"/>
      <c r="K616" s="242" t="n">
        <f aca="false">SUM(K613:K615)</f>
        <v>171.4</v>
      </c>
    </row>
    <row r="617" s="190" customFormat="true" ht="15" hidden="false" customHeight="true" outlineLevel="0" collapsed="false">
      <c r="B617" s="230" t="s">
        <v>372</v>
      </c>
      <c r="C617" s="302"/>
      <c r="D617" s="231"/>
      <c r="E617" s="231"/>
      <c r="F617" s="239"/>
      <c r="G617" s="231"/>
      <c r="H617" s="239"/>
      <c r="I617" s="231"/>
      <c r="J617" s="231"/>
      <c r="K617" s="280" t="n">
        <f aca="false">SUM(K611,K616)</f>
        <v>234.6348</v>
      </c>
    </row>
    <row r="618" s="190" customFormat="true" ht="15" hidden="false" customHeight="true" outlineLevel="0" collapsed="false">
      <c r="B618" s="384" t="s">
        <v>229</v>
      </c>
      <c r="C618" s="385"/>
      <c r="D618" s="386" t="n">
        <f aca="false">'Folha Rosto Comp. P. Unit. '!B5</f>
        <v>0.3</v>
      </c>
      <c r="E618" s="387"/>
      <c r="F618" s="388"/>
      <c r="G618" s="387"/>
      <c r="H618" s="388"/>
      <c r="I618" s="387"/>
      <c r="J618" s="188"/>
      <c r="K618" s="222" t="n">
        <f aca="false">ROUND(K617*D618,2)</f>
        <v>70.39</v>
      </c>
    </row>
    <row r="619" s="190" customFormat="true" ht="15" hidden="false" customHeight="true" outlineLevel="0" collapsed="false">
      <c r="B619" s="224" t="s">
        <v>230</v>
      </c>
      <c r="C619" s="224"/>
      <c r="D619" s="224"/>
      <c r="E619" s="224"/>
      <c r="F619" s="224"/>
      <c r="G619" s="224"/>
      <c r="H619" s="224"/>
      <c r="I619" s="224"/>
      <c r="J619" s="224"/>
      <c r="K619" s="242" t="n">
        <f aca="false">SUM(K617:K618)-0.01</f>
        <v>305.0148</v>
      </c>
    </row>
    <row r="620" s="190" customFormat="true" ht="15" hidden="false" customHeight="true" outlineLevel="0" collapsed="false">
      <c r="B620" s="257"/>
      <c r="C620" s="257"/>
      <c r="D620" s="257"/>
      <c r="E620" s="257"/>
      <c r="F620" s="258"/>
      <c r="G620" s="257"/>
      <c r="H620" s="258"/>
      <c r="I620" s="257"/>
      <c r="J620" s="257"/>
      <c r="K620" s="455"/>
    </row>
    <row r="621" s="190" customFormat="true" ht="15" hidden="false" customHeight="true" outlineLevel="0" collapsed="false">
      <c r="B621" s="227" t="n">
        <v>37</v>
      </c>
      <c r="C621" s="215" t="s">
        <v>339</v>
      </c>
      <c r="D621" s="228" t="s">
        <v>434</v>
      </c>
      <c r="E621" s="215"/>
      <c r="F621" s="215"/>
      <c r="G621" s="215"/>
      <c r="H621" s="214"/>
      <c r="I621" s="228"/>
      <c r="J621" s="200" t="s">
        <v>213</v>
      </c>
      <c r="K621" s="263" t="s">
        <v>236</v>
      </c>
    </row>
    <row r="622" s="190" customFormat="true" ht="15" hidden="false" customHeight="true" outlineLevel="0" collapsed="false">
      <c r="B622" s="202" t="s">
        <v>215</v>
      </c>
      <c r="C622" s="203"/>
      <c r="D622" s="203"/>
      <c r="E622" s="264"/>
      <c r="F622" s="204" t="s">
        <v>216</v>
      </c>
      <c r="G622" s="204" t="s">
        <v>217</v>
      </c>
      <c r="H622" s="244" t="s">
        <v>218</v>
      </c>
      <c r="I622" s="205" t="s">
        <v>223</v>
      </c>
      <c r="J622" s="205"/>
      <c r="K622" s="205"/>
    </row>
    <row r="623" s="190" customFormat="true" ht="15" hidden="false" customHeight="true" outlineLevel="0" collapsed="false">
      <c r="B623" s="202" t="s">
        <v>238</v>
      </c>
      <c r="C623" s="203"/>
      <c r="D623" s="203"/>
      <c r="E623" s="203"/>
      <c r="F623" s="204" t="s">
        <v>239</v>
      </c>
      <c r="G623" s="234" t="n">
        <v>1.3</v>
      </c>
      <c r="H623" s="235" t="n">
        <f aca="false">'Folha Rosto Comp. P. Unit. '!D7</f>
        <v>2.56</v>
      </c>
      <c r="I623" s="220"/>
      <c r="J623" s="220"/>
      <c r="K623" s="236" t="n">
        <f aca="false">ROUND(G623*H623,2)</f>
        <v>3.33</v>
      </c>
    </row>
    <row r="624" s="190" customFormat="true" ht="15" hidden="false" customHeight="true" outlineLevel="0" collapsed="false">
      <c r="B624" s="202" t="s">
        <v>240</v>
      </c>
      <c r="C624" s="203"/>
      <c r="D624" s="203"/>
      <c r="E624" s="203"/>
      <c r="F624" s="204" t="s">
        <v>239</v>
      </c>
      <c r="G624" s="234" t="n">
        <v>1.3</v>
      </c>
      <c r="H624" s="235" t="n">
        <f aca="false">'Folha Rosto Comp. P. Unit. '!D8</f>
        <v>1.64</v>
      </c>
      <c r="I624" s="220"/>
      <c r="J624" s="220"/>
      <c r="K624" s="236" t="n">
        <f aca="false">ROUND(G624*H624,2)</f>
        <v>2.13</v>
      </c>
    </row>
    <row r="625" s="190" customFormat="true" ht="15" hidden="false" customHeight="true" outlineLevel="0" collapsed="false">
      <c r="B625" s="202"/>
      <c r="C625" s="203"/>
      <c r="D625" s="237" t="s">
        <v>241</v>
      </c>
      <c r="E625" s="203"/>
      <c r="F625" s="204"/>
      <c r="G625" s="234"/>
      <c r="H625" s="234"/>
      <c r="I625" s="220"/>
      <c r="J625" s="220"/>
      <c r="K625" s="221" t="n">
        <f aca="false">SUM(K623:K624)</f>
        <v>5.46</v>
      </c>
    </row>
    <row r="626" s="190" customFormat="true" ht="15" hidden="false" customHeight="true" outlineLevel="0" collapsed="false">
      <c r="B626" s="202" t="s">
        <v>220</v>
      </c>
      <c r="C626" s="203"/>
      <c r="D626" s="203"/>
      <c r="E626" s="203"/>
      <c r="F626" s="326"/>
      <c r="G626" s="238" t="n">
        <f aca="false">'Folha Rosto Comp. P. Unit. '!B4</f>
        <v>1.26</v>
      </c>
      <c r="H626" s="204"/>
      <c r="I626" s="203"/>
      <c r="J626" s="203"/>
      <c r="K626" s="221" t="n">
        <f aca="false">K625*G626</f>
        <v>6.8796</v>
      </c>
    </row>
    <row r="627" s="190" customFormat="true" ht="15" hidden="false" customHeight="true" outlineLevel="0" collapsed="false">
      <c r="B627" s="230"/>
      <c r="C627" s="231"/>
      <c r="D627" s="231"/>
      <c r="E627" s="231"/>
      <c r="F627" s="231"/>
      <c r="G627" s="213" t="s">
        <v>435</v>
      </c>
      <c r="H627" s="214"/>
      <c r="I627" s="240"/>
      <c r="J627" s="240"/>
      <c r="K627" s="456" t="n">
        <f aca="false">SUM(K625:K626)</f>
        <v>12.3396</v>
      </c>
    </row>
    <row r="628" s="190" customFormat="true" ht="15" hidden="false" customHeight="true" outlineLevel="0" collapsed="false">
      <c r="B628" s="273" t="s">
        <v>277</v>
      </c>
      <c r="C628" s="273"/>
      <c r="D628" s="273"/>
      <c r="E628" s="273"/>
      <c r="F628" s="435" t="s">
        <v>216</v>
      </c>
      <c r="G628" s="243" t="s">
        <v>244</v>
      </c>
      <c r="H628" s="243" t="s">
        <v>218</v>
      </c>
      <c r="I628" s="218" t="s">
        <v>223</v>
      </c>
      <c r="J628" s="218"/>
      <c r="K628" s="218"/>
    </row>
    <row r="629" s="190" customFormat="true" ht="15" hidden="false" customHeight="true" outlineLevel="0" collapsed="false">
      <c r="B629" s="202" t="s">
        <v>436</v>
      </c>
      <c r="C629" s="203"/>
      <c r="D629" s="231"/>
      <c r="E629" s="231"/>
      <c r="F629" s="217" t="s">
        <v>246</v>
      </c>
      <c r="G629" s="235" t="n">
        <v>0.12</v>
      </c>
      <c r="H629" s="235" t="n">
        <v>18</v>
      </c>
      <c r="I629" s="277"/>
      <c r="J629" s="278"/>
      <c r="K629" s="236" t="n">
        <f aca="false">ROUND(G629*H629,2)</f>
        <v>2.16</v>
      </c>
    </row>
    <row r="630" s="190" customFormat="true" ht="15" hidden="false" customHeight="true" outlineLevel="0" collapsed="false">
      <c r="B630" s="202" t="s">
        <v>437</v>
      </c>
      <c r="C630" s="203"/>
      <c r="D630" s="203"/>
      <c r="E630" s="203"/>
      <c r="F630" s="204" t="s">
        <v>246</v>
      </c>
      <c r="G630" s="235" t="n">
        <v>0.1</v>
      </c>
      <c r="H630" s="234" t="n">
        <v>48</v>
      </c>
      <c r="I630" s="219"/>
      <c r="J630" s="220"/>
      <c r="K630" s="236" t="n">
        <f aca="false">ROUND(G630*H630,2)</f>
        <v>4.8</v>
      </c>
    </row>
    <row r="631" s="190" customFormat="true" ht="15" hidden="false" customHeight="true" outlineLevel="0" collapsed="false">
      <c r="B631" s="202" t="s">
        <v>438</v>
      </c>
      <c r="C631" s="203"/>
      <c r="D631" s="203"/>
      <c r="E631" s="203"/>
      <c r="F631" s="204" t="s">
        <v>256</v>
      </c>
      <c r="G631" s="235" t="n">
        <v>0.25</v>
      </c>
      <c r="H631" s="207" t="n">
        <v>4.5</v>
      </c>
      <c r="I631" s="219"/>
      <c r="J631" s="220"/>
      <c r="K631" s="236" t="n">
        <f aca="false">ROUND(G631*H631,2)</f>
        <v>1.13</v>
      </c>
    </row>
    <row r="632" s="190" customFormat="true" ht="15" hidden="false" customHeight="true" outlineLevel="0" collapsed="false">
      <c r="B632" s="230" t="s">
        <v>226</v>
      </c>
      <c r="C632" s="231"/>
      <c r="D632" s="231"/>
      <c r="E632" s="231"/>
      <c r="F632" s="231"/>
      <c r="G632" s="213" t="s">
        <v>227</v>
      </c>
      <c r="H632" s="214"/>
      <c r="I632" s="429" t="s">
        <v>439</v>
      </c>
      <c r="J632" s="429"/>
      <c r="K632" s="424" t="n">
        <f aca="false">SUM(K629:K631)</f>
        <v>8.09</v>
      </c>
    </row>
    <row r="633" s="190" customFormat="true" ht="15" hidden="false" customHeight="true" outlineLevel="0" collapsed="false">
      <c r="B633" s="230" t="s">
        <v>440</v>
      </c>
      <c r="C633" s="231"/>
      <c r="D633" s="231"/>
      <c r="E633" s="231"/>
      <c r="F633" s="231"/>
      <c r="G633" s="231"/>
      <c r="H633" s="239"/>
      <c r="I633" s="231"/>
      <c r="J633" s="231"/>
      <c r="K633" s="436" t="n">
        <f aca="false">SUM(K627+K632)</f>
        <v>20.4296</v>
      </c>
    </row>
    <row r="634" s="190" customFormat="true" ht="15" hidden="false" customHeight="true" outlineLevel="0" collapsed="false">
      <c r="B634" s="230" t="s">
        <v>229</v>
      </c>
      <c r="C634" s="231"/>
      <c r="D634" s="223" t="n">
        <f aca="false">'Folha Rosto Comp. P. Unit. '!B5</f>
        <v>0.3</v>
      </c>
      <c r="E634" s="231"/>
      <c r="F634" s="231"/>
      <c r="G634" s="231"/>
      <c r="H634" s="239"/>
      <c r="I634" s="231"/>
      <c r="J634" s="203"/>
      <c r="K634" s="430" t="n">
        <f aca="false">ROUND(K633*D634,2)</f>
        <v>6.13</v>
      </c>
    </row>
    <row r="635" s="190" customFormat="true" ht="15" hidden="false" customHeight="true" outlineLevel="0" collapsed="false">
      <c r="B635" s="224" t="s">
        <v>290</v>
      </c>
      <c r="C635" s="224"/>
      <c r="D635" s="224"/>
      <c r="E635" s="224"/>
      <c r="F635" s="224"/>
      <c r="G635" s="224"/>
      <c r="H635" s="224"/>
      <c r="I635" s="224"/>
      <c r="J635" s="224"/>
      <c r="K635" s="424" t="n">
        <f aca="false">SUM(K633:K634)</f>
        <v>26.5596</v>
      </c>
    </row>
    <row r="636" s="190" customFormat="true" ht="15" hidden="false" customHeight="true" outlineLevel="0" collapsed="false">
      <c r="F636" s="192"/>
      <c r="H636" s="192"/>
      <c r="K636" s="193"/>
    </row>
    <row r="637" s="190" customFormat="true" ht="15" hidden="false" customHeight="true" outlineLevel="0" collapsed="false">
      <c r="B637" s="227" t="n">
        <v>38</v>
      </c>
      <c r="C637" s="215" t="s">
        <v>339</v>
      </c>
      <c r="D637" s="228" t="s">
        <v>441</v>
      </c>
      <c r="E637" s="215"/>
      <c r="F637" s="215"/>
      <c r="G637" s="215"/>
      <c r="H637" s="214"/>
      <c r="I637" s="228"/>
      <c r="J637" s="200" t="s">
        <v>213</v>
      </c>
      <c r="K637" s="263" t="s">
        <v>236</v>
      </c>
    </row>
    <row r="638" s="190" customFormat="true" ht="15" hidden="false" customHeight="true" outlineLevel="0" collapsed="false">
      <c r="B638" s="202" t="s">
        <v>215</v>
      </c>
      <c r="C638" s="203"/>
      <c r="D638" s="203"/>
      <c r="E638" s="264"/>
      <c r="F638" s="204" t="s">
        <v>216</v>
      </c>
      <c r="G638" s="204" t="s">
        <v>217</v>
      </c>
      <c r="H638" s="244" t="s">
        <v>218</v>
      </c>
      <c r="I638" s="205" t="s">
        <v>223</v>
      </c>
      <c r="J638" s="205"/>
      <c r="K638" s="205"/>
    </row>
    <row r="639" s="190" customFormat="true" ht="15" hidden="false" customHeight="true" outlineLevel="0" collapsed="false">
      <c r="B639" s="202" t="s">
        <v>238</v>
      </c>
      <c r="C639" s="203"/>
      <c r="D639" s="203"/>
      <c r="E639" s="203"/>
      <c r="F639" s="204" t="s">
        <v>239</v>
      </c>
      <c r="G639" s="234" t="n">
        <v>1.3</v>
      </c>
      <c r="H639" s="235" t="n">
        <f aca="false">H623</f>
        <v>2.56</v>
      </c>
      <c r="I639" s="220"/>
      <c r="J639" s="220"/>
      <c r="K639" s="236" t="n">
        <f aca="false">ROUND(G639*H639,2)</f>
        <v>3.33</v>
      </c>
    </row>
    <row r="640" s="190" customFormat="true" ht="15" hidden="false" customHeight="true" outlineLevel="0" collapsed="false">
      <c r="B640" s="202" t="s">
        <v>240</v>
      </c>
      <c r="C640" s="203"/>
      <c r="D640" s="203"/>
      <c r="E640" s="203"/>
      <c r="F640" s="204" t="s">
        <v>239</v>
      </c>
      <c r="G640" s="234" t="n">
        <v>1.3</v>
      </c>
      <c r="H640" s="235" t="n">
        <f aca="false">H624</f>
        <v>1.64</v>
      </c>
      <c r="I640" s="220"/>
      <c r="J640" s="220"/>
      <c r="K640" s="236" t="n">
        <f aca="false">ROUND(G640*H640,2)</f>
        <v>2.13</v>
      </c>
    </row>
    <row r="641" s="190" customFormat="true" ht="15" hidden="false" customHeight="true" outlineLevel="0" collapsed="false">
      <c r="B641" s="202"/>
      <c r="C641" s="203"/>
      <c r="D641" s="237" t="s">
        <v>241</v>
      </c>
      <c r="E641" s="203"/>
      <c r="F641" s="204"/>
      <c r="G641" s="234"/>
      <c r="H641" s="234"/>
      <c r="I641" s="220"/>
      <c r="J641" s="220"/>
      <c r="K641" s="221" t="n">
        <f aca="false">SUM(K639:K640)</f>
        <v>5.46</v>
      </c>
    </row>
    <row r="642" s="190" customFormat="true" ht="15" hidden="false" customHeight="true" outlineLevel="0" collapsed="false">
      <c r="B642" s="202" t="s">
        <v>220</v>
      </c>
      <c r="C642" s="203"/>
      <c r="D642" s="203"/>
      <c r="E642" s="203"/>
      <c r="F642" s="326"/>
      <c r="G642" s="238" t="n">
        <f aca="false">'Folha Rosto Comp. P. Unit. '!B4</f>
        <v>1.26</v>
      </c>
      <c r="H642" s="204"/>
      <c r="I642" s="203"/>
      <c r="J642" s="203"/>
      <c r="K642" s="221" t="n">
        <f aca="false">K641*G642</f>
        <v>6.8796</v>
      </c>
    </row>
    <row r="643" s="190" customFormat="true" ht="15" hidden="false" customHeight="true" outlineLevel="0" collapsed="false">
      <c r="B643" s="230"/>
      <c r="C643" s="231"/>
      <c r="D643" s="231"/>
      <c r="E643" s="231"/>
      <c r="F643" s="231"/>
      <c r="G643" s="213" t="s">
        <v>435</v>
      </c>
      <c r="H643" s="214"/>
      <c r="I643" s="240"/>
      <c r="J643" s="240"/>
      <c r="K643" s="456" t="n">
        <f aca="false">SUM(K641:K642)</f>
        <v>12.3396</v>
      </c>
    </row>
    <row r="644" s="190" customFormat="true" ht="15" hidden="false" customHeight="true" outlineLevel="0" collapsed="false">
      <c r="B644" s="273" t="s">
        <v>277</v>
      </c>
      <c r="C644" s="273"/>
      <c r="D644" s="273"/>
      <c r="E644" s="273"/>
      <c r="F644" s="435" t="s">
        <v>216</v>
      </c>
      <c r="G644" s="243" t="s">
        <v>244</v>
      </c>
      <c r="H644" s="243" t="s">
        <v>218</v>
      </c>
      <c r="I644" s="218" t="s">
        <v>223</v>
      </c>
      <c r="J644" s="218"/>
      <c r="K644" s="218"/>
    </row>
    <row r="645" s="190" customFormat="true" ht="15" hidden="false" customHeight="true" outlineLevel="0" collapsed="false">
      <c r="B645" s="202" t="s">
        <v>436</v>
      </c>
      <c r="C645" s="203"/>
      <c r="D645" s="231"/>
      <c r="E645" s="231"/>
      <c r="F645" s="217" t="s">
        <v>246</v>
      </c>
      <c r="G645" s="235" t="n">
        <v>0.05</v>
      </c>
      <c r="H645" s="235" t="n">
        <v>18</v>
      </c>
      <c r="I645" s="277"/>
      <c r="J645" s="278"/>
      <c r="K645" s="236" t="n">
        <f aca="false">ROUND(G645*H645,2)</f>
        <v>0.9</v>
      </c>
    </row>
    <row r="646" s="190" customFormat="true" ht="15" hidden="false" customHeight="true" outlineLevel="0" collapsed="false">
      <c r="B646" s="202" t="s">
        <v>437</v>
      </c>
      <c r="C646" s="203"/>
      <c r="D646" s="203"/>
      <c r="E646" s="203"/>
      <c r="F646" s="204" t="s">
        <v>246</v>
      </c>
      <c r="G646" s="235" t="n">
        <v>0.067</v>
      </c>
      <c r="H646" s="234" t="n">
        <v>48</v>
      </c>
      <c r="I646" s="219"/>
      <c r="J646" s="220"/>
      <c r="K646" s="236" t="n">
        <f aca="false">ROUND(G646*H646,2)</f>
        <v>3.22</v>
      </c>
    </row>
    <row r="647" s="190" customFormat="true" ht="15" hidden="false" customHeight="true" outlineLevel="0" collapsed="false">
      <c r="B647" s="202" t="s">
        <v>442</v>
      </c>
      <c r="C647" s="203"/>
      <c r="D647" s="203"/>
      <c r="E647" s="203"/>
      <c r="F647" s="204" t="s">
        <v>256</v>
      </c>
      <c r="G647" s="235" t="n">
        <v>0.3</v>
      </c>
      <c r="H647" s="207" t="n">
        <v>4.5</v>
      </c>
      <c r="I647" s="219"/>
      <c r="J647" s="220"/>
      <c r="K647" s="236" t="n">
        <f aca="false">H647*G647</f>
        <v>1.35</v>
      </c>
    </row>
    <row r="648" s="190" customFormat="true" ht="15" hidden="false" customHeight="true" outlineLevel="0" collapsed="false">
      <c r="B648" s="202" t="s">
        <v>443</v>
      </c>
      <c r="C648" s="203"/>
      <c r="D648" s="203"/>
      <c r="E648" s="203"/>
      <c r="F648" s="204" t="s">
        <v>236</v>
      </c>
      <c r="G648" s="235" t="n">
        <v>0.37</v>
      </c>
      <c r="H648" s="207" t="n">
        <v>17.2</v>
      </c>
      <c r="I648" s="219"/>
      <c r="J648" s="220"/>
      <c r="K648" s="236" t="n">
        <f aca="false">H648*G648</f>
        <v>6.364</v>
      </c>
    </row>
    <row r="649" s="190" customFormat="true" ht="15" hidden="false" customHeight="true" outlineLevel="0" collapsed="false">
      <c r="B649" s="202" t="s">
        <v>444</v>
      </c>
      <c r="C649" s="203"/>
      <c r="D649" s="203"/>
      <c r="E649" s="203"/>
      <c r="F649" s="204" t="s">
        <v>246</v>
      </c>
      <c r="G649" s="448" t="n">
        <v>0.045</v>
      </c>
      <c r="H649" s="207" t="n">
        <v>38</v>
      </c>
      <c r="I649" s="219"/>
      <c r="J649" s="220"/>
      <c r="K649" s="236" t="n">
        <f aca="false">ROUND(G649*H649,2)</f>
        <v>1.71</v>
      </c>
    </row>
    <row r="650" s="190" customFormat="true" ht="15" hidden="false" customHeight="true" outlineLevel="0" collapsed="false">
      <c r="B650" s="230" t="s">
        <v>226</v>
      </c>
      <c r="C650" s="231"/>
      <c r="D650" s="231"/>
      <c r="E650" s="231"/>
      <c r="F650" s="231"/>
      <c r="G650" s="213" t="s">
        <v>227</v>
      </c>
      <c r="H650" s="214"/>
      <c r="I650" s="429" t="s">
        <v>439</v>
      </c>
      <c r="J650" s="429"/>
      <c r="K650" s="424" t="n">
        <f aca="false">SUM(K645:K649)</f>
        <v>13.544</v>
      </c>
    </row>
    <row r="651" s="190" customFormat="true" ht="15" hidden="false" customHeight="true" outlineLevel="0" collapsed="false">
      <c r="B651" s="230" t="s">
        <v>440</v>
      </c>
      <c r="C651" s="231"/>
      <c r="D651" s="231"/>
      <c r="E651" s="231"/>
      <c r="F651" s="231"/>
      <c r="G651" s="231"/>
      <c r="H651" s="239"/>
      <c r="I651" s="231"/>
      <c r="J651" s="231"/>
      <c r="K651" s="436" t="n">
        <f aca="false">SUM(K643+K650)</f>
        <v>25.8836</v>
      </c>
    </row>
    <row r="652" s="190" customFormat="true" ht="15" hidden="false" customHeight="true" outlineLevel="0" collapsed="false">
      <c r="B652" s="230" t="s">
        <v>229</v>
      </c>
      <c r="C652" s="231"/>
      <c r="D652" s="223" t="n">
        <f aca="false">D634</f>
        <v>0.3</v>
      </c>
      <c r="E652" s="231"/>
      <c r="F652" s="231"/>
      <c r="G652" s="231"/>
      <c r="H652" s="239"/>
      <c r="I652" s="231"/>
      <c r="J652" s="203"/>
      <c r="K652" s="430" t="n">
        <f aca="false">ROUND(K651*D652,2)</f>
        <v>7.77</v>
      </c>
    </row>
    <row r="653" s="190" customFormat="true" ht="15" hidden="false" customHeight="true" outlineLevel="0" collapsed="false">
      <c r="B653" s="224" t="s">
        <v>230</v>
      </c>
      <c r="C653" s="224"/>
      <c r="D653" s="224"/>
      <c r="E653" s="224"/>
      <c r="F653" s="224"/>
      <c r="G653" s="224"/>
      <c r="H653" s="224"/>
      <c r="I653" s="224"/>
      <c r="J653" s="224"/>
      <c r="K653" s="424" t="n">
        <f aca="false">SUM(K651:K652)</f>
        <v>33.6536</v>
      </c>
    </row>
    <row r="654" s="190" customFormat="true" ht="15" hidden="false" customHeight="true" outlineLevel="0" collapsed="false">
      <c r="F654" s="192"/>
      <c r="H654" s="192"/>
      <c r="K654" s="193"/>
    </row>
    <row r="655" s="190" customFormat="true" ht="15" hidden="false" customHeight="true" outlineLevel="0" collapsed="false">
      <c r="B655" s="227" t="n">
        <v>39</v>
      </c>
      <c r="C655" s="215" t="s">
        <v>339</v>
      </c>
      <c r="D655" s="215" t="s">
        <v>445</v>
      </c>
      <c r="E655" s="215"/>
      <c r="F655" s="215"/>
      <c r="G655" s="215"/>
      <c r="H655" s="214"/>
      <c r="I655" s="228"/>
      <c r="J655" s="200" t="s">
        <v>213</v>
      </c>
      <c r="K655" s="263" t="s">
        <v>236</v>
      </c>
    </row>
    <row r="656" s="190" customFormat="true" ht="15" hidden="false" customHeight="true" outlineLevel="0" collapsed="false">
      <c r="B656" s="202" t="s">
        <v>215</v>
      </c>
      <c r="C656" s="203"/>
      <c r="D656" s="203"/>
      <c r="E656" s="264"/>
      <c r="F656" s="204" t="s">
        <v>216</v>
      </c>
      <c r="G656" s="204" t="s">
        <v>217</v>
      </c>
      <c r="H656" s="244" t="s">
        <v>276</v>
      </c>
      <c r="I656" s="205" t="s">
        <v>219</v>
      </c>
      <c r="J656" s="205"/>
      <c r="K656" s="205"/>
    </row>
    <row r="657" s="190" customFormat="true" ht="15" hidden="false" customHeight="true" outlineLevel="0" collapsed="false">
      <c r="B657" s="202" t="s">
        <v>240</v>
      </c>
      <c r="C657" s="203"/>
      <c r="D657" s="203"/>
      <c r="E657" s="203"/>
      <c r="F657" s="204" t="s">
        <v>239</v>
      </c>
      <c r="G657" s="234" t="n">
        <v>0.3</v>
      </c>
      <c r="H657" s="235" t="n">
        <f aca="false">'Folha Rosto Comp. P. Unit. '!D8</f>
        <v>1.64</v>
      </c>
      <c r="I657" s="220"/>
      <c r="J657" s="220"/>
      <c r="K657" s="236" t="n">
        <f aca="false">ROUND(G657*H657,2)</f>
        <v>0.49</v>
      </c>
    </row>
    <row r="658" s="190" customFormat="true" ht="15" hidden="false" customHeight="true" outlineLevel="0" collapsed="false">
      <c r="B658" s="202"/>
      <c r="C658" s="203"/>
      <c r="D658" s="237" t="s">
        <v>241</v>
      </c>
      <c r="E658" s="203"/>
      <c r="F658" s="204"/>
      <c r="G658" s="234"/>
      <c r="H658" s="234"/>
      <c r="I658" s="220"/>
      <c r="J658" s="220"/>
      <c r="K658" s="221" t="n">
        <f aca="false">SUM(K657)</f>
        <v>0.49</v>
      </c>
    </row>
    <row r="659" s="190" customFormat="true" ht="15" hidden="false" customHeight="true" outlineLevel="0" collapsed="false">
      <c r="B659" s="202" t="s">
        <v>220</v>
      </c>
      <c r="C659" s="203"/>
      <c r="D659" s="203"/>
      <c r="E659" s="203"/>
      <c r="F659" s="204"/>
      <c r="G659" s="238" t="n">
        <f aca="false">'Folha Rosto Comp. P. Unit. '!B4</f>
        <v>1.26</v>
      </c>
      <c r="H659" s="204"/>
      <c r="I659" s="203"/>
      <c r="J659" s="203"/>
      <c r="K659" s="221" t="n">
        <f aca="false">K658*G659</f>
        <v>0.6174</v>
      </c>
    </row>
    <row r="660" s="190" customFormat="true" ht="15" hidden="false" customHeight="true" outlineLevel="0" collapsed="false">
      <c r="B660" s="230"/>
      <c r="C660" s="231"/>
      <c r="D660" s="231"/>
      <c r="E660" s="231"/>
      <c r="F660" s="231"/>
      <c r="G660" s="213" t="s">
        <v>435</v>
      </c>
      <c r="H660" s="214"/>
      <c r="I660" s="240"/>
      <c r="J660" s="240"/>
      <c r="K660" s="456" t="n">
        <f aca="false">SUM(K658:K659)</f>
        <v>1.1074</v>
      </c>
    </row>
    <row r="661" s="190" customFormat="true" ht="15" hidden="false" customHeight="true" outlineLevel="0" collapsed="false">
      <c r="B661" s="273" t="s">
        <v>277</v>
      </c>
      <c r="C661" s="273"/>
      <c r="D661" s="273"/>
      <c r="E661" s="273"/>
      <c r="F661" s="302" t="s">
        <v>216</v>
      </c>
      <c r="G661" s="302" t="s">
        <v>244</v>
      </c>
      <c r="H661" s="217" t="s">
        <v>218</v>
      </c>
      <c r="I661" s="284" t="s">
        <v>219</v>
      </c>
      <c r="J661" s="284"/>
      <c r="K661" s="284"/>
    </row>
    <row r="662" s="190" customFormat="true" ht="15" hidden="false" customHeight="true" outlineLevel="0" collapsed="false">
      <c r="B662" s="202"/>
      <c r="C662" s="203"/>
      <c r="D662" s="203"/>
      <c r="E662" s="203"/>
      <c r="F662" s="204"/>
      <c r="G662" s="297"/>
      <c r="H662" s="234"/>
      <c r="I662" s="219"/>
      <c r="J662" s="220"/>
      <c r="K662" s="447" t="n">
        <f aca="false">ROUND(G662*H662,2)</f>
        <v>0</v>
      </c>
    </row>
    <row r="663" s="190" customFormat="true" ht="15" hidden="false" customHeight="true" outlineLevel="0" collapsed="false">
      <c r="B663" s="230" t="s">
        <v>226</v>
      </c>
      <c r="C663" s="231"/>
      <c r="D663" s="231"/>
      <c r="E663" s="231"/>
      <c r="F663" s="231"/>
      <c r="G663" s="213" t="s">
        <v>227</v>
      </c>
      <c r="H663" s="214"/>
      <c r="I663" s="429" t="s">
        <v>439</v>
      </c>
      <c r="J663" s="429"/>
      <c r="K663" s="457" t="n">
        <f aca="false">SUM(K662:K662)</f>
        <v>0</v>
      </c>
    </row>
    <row r="664" s="190" customFormat="true" ht="15" hidden="false" customHeight="true" outlineLevel="0" collapsed="false">
      <c r="B664" s="230" t="s">
        <v>440</v>
      </c>
      <c r="C664" s="231"/>
      <c r="D664" s="231"/>
      <c r="E664" s="231"/>
      <c r="F664" s="231"/>
      <c r="G664" s="231"/>
      <c r="H664" s="239"/>
      <c r="I664" s="231"/>
      <c r="J664" s="231"/>
      <c r="K664" s="436" t="n">
        <f aca="false">SUM(K660+K663)</f>
        <v>1.1074</v>
      </c>
    </row>
    <row r="665" s="190" customFormat="true" ht="15" hidden="false" customHeight="true" outlineLevel="0" collapsed="false">
      <c r="B665" s="351" t="s">
        <v>229</v>
      </c>
      <c r="C665" s="336"/>
      <c r="D665" s="335" t="n">
        <f aca="false">'Folha Rosto Comp. P. Unit. '!B5</f>
        <v>0.3</v>
      </c>
      <c r="E665" s="336"/>
      <c r="F665" s="336"/>
      <c r="G665" s="336"/>
      <c r="H665" s="337"/>
      <c r="I665" s="336"/>
      <c r="J665" s="336"/>
      <c r="K665" s="458" t="n">
        <f aca="false">ROUND(K664*D665,2)</f>
        <v>0.33</v>
      </c>
    </row>
    <row r="666" s="190" customFormat="true" ht="15" hidden="false" customHeight="true" outlineLevel="0" collapsed="false">
      <c r="B666" s="224" t="s">
        <v>230</v>
      </c>
      <c r="C666" s="224"/>
      <c r="D666" s="224"/>
      <c r="E666" s="224"/>
      <c r="F666" s="224"/>
      <c r="G666" s="224"/>
      <c r="H666" s="224"/>
      <c r="I666" s="224"/>
      <c r="J666" s="224"/>
      <c r="K666" s="424" t="n">
        <f aca="false">SUM(K664:K665)</f>
        <v>1.4374</v>
      </c>
    </row>
    <row r="667" s="190" customFormat="true" ht="15" hidden="false" customHeight="true" outlineLevel="0" collapsed="false">
      <c r="F667" s="192"/>
      <c r="H667" s="192"/>
      <c r="K667" s="193"/>
    </row>
    <row r="668" s="190" customFormat="true" ht="15" hidden="false" customHeight="true" outlineLevel="0" collapsed="false">
      <c r="B668" s="227" t="n">
        <v>40</v>
      </c>
      <c r="C668" s="215" t="s">
        <v>339</v>
      </c>
      <c r="D668" s="215" t="s">
        <v>446</v>
      </c>
      <c r="E668" s="215"/>
      <c r="F668" s="215"/>
      <c r="G668" s="215"/>
      <c r="H668" s="214"/>
      <c r="I668" s="228"/>
      <c r="J668" s="200" t="s">
        <v>213</v>
      </c>
      <c r="K668" s="263" t="s">
        <v>256</v>
      </c>
    </row>
    <row r="669" s="190" customFormat="true" ht="15" hidden="false" customHeight="true" outlineLevel="0" collapsed="false">
      <c r="B669" s="202" t="s">
        <v>215</v>
      </c>
      <c r="C669" s="203"/>
      <c r="D669" s="203"/>
      <c r="E669" s="264"/>
      <c r="F669" s="326" t="s">
        <v>216</v>
      </c>
      <c r="G669" s="204" t="s">
        <v>217</v>
      </c>
      <c r="H669" s="244" t="s">
        <v>218</v>
      </c>
      <c r="I669" s="205" t="s">
        <v>219</v>
      </c>
      <c r="J669" s="205"/>
      <c r="K669" s="205"/>
    </row>
    <row r="670" s="190" customFormat="true" ht="15" hidden="false" customHeight="true" outlineLevel="0" collapsed="false">
      <c r="B670" s="230" t="s">
        <v>447</v>
      </c>
      <c r="C670" s="231"/>
      <c r="D670" s="231"/>
      <c r="E670" s="231"/>
      <c r="F670" s="217" t="s">
        <v>239</v>
      </c>
      <c r="G670" s="235" t="n">
        <v>0.16</v>
      </c>
      <c r="H670" s="235" t="n">
        <f aca="false">'Folha Rosto Comp. P. Unit. '!D7</f>
        <v>2.56</v>
      </c>
      <c r="I670" s="278"/>
      <c r="J670" s="278"/>
      <c r="K670" s="236" t="n">
        <f aca="false">ROUND(G670*H670,2)</f>
        <v>0.41</v>
      </c>
    </row>
    <row r="671" s="190" customFormat="true" ht="15" hidden="false" customHeight="true" outlineLevel="0" collapsed="false">
      <c r="B671" s="202" t="s">
        <v>240</v>
      </c>
      <c r="C671" s="203"/>
      <c r="D671" s="203"/>
      <c r="E671" s="203"/>
      <c r="F671" s="204" t="s">
        <v>239</v>
      </c>
      <c r="G671" s="234" t="n">
        <v>0.16</v>
      </c>
      <c r="H671" s="234" t="n">
        <f aca="false">'Folha Rosto Comp. P. Unit. '!D8</f>
        <v>1.64</v>
      </c>
      <c r="I671" s="220"/>
      <c r="J671" s="220"/>
      <c r="K671" s="221" t="n">
        <f aca="false">ROUND(G671*H671,2)</f>
        <v>0.26</v>
      </c>
    </row>
    <row r="672" s="190" customFormat="true" ht="15" hidden="false" customHeight="true" outlineLevel="0" collapsed="false">
      <c r="B672" s="202"/>
      <c r="C672" s="203"/>
      <c r="D672" s="237" t="s">
        <v>241</v>
      </c>
      <c r="E672" s="203"/>
      <c r="F672" s="204"/>
      <c r="G672" s="234"/>
      <c r="H672" s="234"/>
      <c r="I672" s="220"/>
      <c r="J672" s="220"/>
      <c r="K672" s="221" t="n">
        <f aca="false">SUM(K670:K671)</f>
        <v>0.67</v>
      </c>
    </row>
    <row r="673" s="190" customFormat="true" ht="15" hidden="false" customHeight="true" outlineLevel="0" collapsed="false">
      <c r="B673" s="202" t="s">
        <v>388</v>
      </c>
      <c r="C673" s="203"/>
      <c r="D673" s="203"/>
      <c r="E673" s="203"/>
      <c r="F673" s="326"/>
      <c r="G673" s="238" t="n">
        <f aca="false">'Folha Rosto Comp. P. Unit. '!B4</f>
        <v>1.26</v>
      </c>
      <c r="H673" s="204"/>
      <c r="I673" s="203"/>
      <c r="J673" s="203"/>
      <c r="K673" s="221" t="n">
        <f aca="false">K672*G673</f>
        <v>0.8442</v>
      </c>
    </row>
    <row r="674" s="190" customFormat="true" ht="15" hidden="false" customHeight="true" outlineLevel="0" collapsed="false">
      <c r="B674" s="230"/>
      <c r="C674" s="231"/>
      <c r="D674" s="231"/>
      <c r="E674" s="231"/>
      <c r="F674" s="231"/>
      <c r="G674" s="213" t="s">
        <v>243</v>
      </c>
      <c r="H674" s="214"/>
      <c r="I674" s="240"/>
      <c r="J674" s="240"/>
      <c r="K674" s="424" t="n">
        <f aca="false">SUM(K672:K673)</f>
        <v>1.5142</v>
      </c>
    </row>
    <row r="675" s="190" customFormat="true" ht="15" hidden="false" customHeight="true" outlineLevel="0" collapsed="false">
      <c r="B675" s="355" t="s">
        <v>277</v>
      </c>
      <c r="C675" s="355"/>
      <c r="D675" s="355"/>
      <c r="E675" s="355"/>
      <c r="F675" s="326" t="s">
        <v>216</v>
      </c>
      <c r="G675" s="243" t="s">
        <v>244</v>
      </c>
      <c r="H675" s="243" t="s">
        <v>218</v>
      </c>
      <c r="I675" s="284" t="s">
        <v>219</v>
      </c>
      <c r="J675" s="284"/>
      <c r="K675" s="284"/>
    </row>
    <row r="676" s="190" customFormat="true" ht="15" hidden="false" customHeight="true" outlineLevel="0" collapsed="false">
      <c r="B676" s="230" t="s">
        <v>448</v>
      </c>
      <c r="C676" s="231"/>
      <c r="D676" s="231"/>
      <c r="E676" s="231"/>
      <c r="F676" s="217" t="s">
        <v>256</v>
      </c>
      <c r="G676" s="235" t="n">
        <v>1.1</v>
      </c>
      <c r="H676" s="235" t="n">
        <v>3.51</v>
      </c>
      <c r="I676" s="277"/>
      <c r="J676" s="278"/>
      <c r="K676" s="236" t="n">
        <f aca="false">ROUND(G676*H676,2)</f>
        <v>3.86</v>
      </c>
    </row>
    <row r="677" s="190" customFormat="true" ht="15" hidden="false" customHeight="true" outlineLevel="0" collapsed="false">
      <c r="B677" s="202" t="s">
        <v>300</v>
      </c>
      <c r="C677" s="203"/>
      <c r="D677" s="203"/>
      <c r="E677" s="203"/>
      <c r="F677" s="204" t="s">
        <v>256</v>
      </c>
      <c r="G677" s="234" t="n">
        <v>0.035</v>
      </c>
      <c r="H677" s="234" t="n">
        <v>5.7</v>
      </c>
      <c r="I677" s="219"/>
      <c r="J677" s="220"/>
      <c r="K677" s="221" t="n">
        <f aca="false">ROUND(G677*H677,2)</f>
        <v>0.2</v>
      </c>
    </row>
    <row r="678" s="190" customFormat="true" ht="15" hidden="false" customHeight="true" outlineLevel="0" collapsed="false">
      <c r="B678" s="230" t="s">
        <v>226</v>
      </c>
      <c r="C678" s="231"/>
      <c r="D678" s="231"/>
      <c r="E678" s="231"/>
      <c r="F678" s="231"/>
      <c r="G678" s="213" t="s">
        <v>227</v>
      </c>
      <c r="H678" s="214"/>
      <c r="I678" s="429" t="s">
        <v>439</v>
      </c>
      <c r="J678" s="429"/>
      <c r="K678" s="424" t="n">
        <f aca="false">SUM(K676:K677)</f>
        <v>4.06</v>
      </c>
    </row>
    <row r="679" s="190" customFormat="true" ht="15" hidden="false" customHeight="true" outlineLevel="0" collapsed="false">
      <c r="B679" s="230" t="s">
        <v>393</v>
      </c>
      <c r="C679" s="231"/>
      <c r="D679" s="231"/>
      <c r="E679" s="231"/>
      <c r="F679" s="231"/>
      <c r="G679" s="231"/>
      <c r="H679" s="239"/>
      <c r="I679" s="231"/>
      <c r="J679" s="231"/>
      <c r="K679" s="436" t="n">
        <f aca="false">SUM(K674+K678)</f>
        <v>5.5742</v>
      </c>
    </row>
    <row r="680" s="190" customFormat="true" ht="15" hidden="false" customHeight="true" outlineLevel="0" collapsed="false">
      <c r="B680" s="202" t="s">
        <v>229</v>
      </c>
      <c r="C680" s="203"/>
      <c r="D680" s="223" t="n">
        <f aca="false">'Folha Rosto Comp. P. Unit. '!B5</f>
        <v>0.3</v>
      </c>
      <c r="E680" s="203"/>
      <c r="F680" s="203"/>
      <c r="G680" s="203"/>
      <c r="H680" s="212"/>
      <c r="I680" s="203"/>
      <c r="J680" s="203"/>
      <c r="K680" s="430" t="n">
        <f aca="false">ROUND(K679*D680,2)</f>
        <v>1.67</v>
      </c>
    </row>
    <row r="681" s="190" customFormat="true" ht="15" hidden="false" customHeight="true" outlineLevel="0" collapsed="false">
      <c r="B681" s="224" t="s">
        <v>230</v>
      </c>
      <c r="C681" s="224"/>
      <c r="D681" s="224"/>
      <c r="E681" s="224"/>
      <c r="F681" s="224"/>
      <c r="G681" s="224"/>
      <c r="H681" s="224"/>
      <c r="I681" s="224"/>
      <c r="J681" s="224"/>
      <c r="K681" s="424" t="n">
        <f aca="false">SUM(K679:K680)</f>
        <v>7.2442</v>
      </c>
    </row>
    <row r="682" s="190" customFormat="true" ht="15" hidden="false" customHeight="true" outlineLevel="0" collapsed="false">
      <c r="B682" s="188"/>
      <c r="C682" s="188"/>
      <c r="D682" s="188"/>
      <c r="E682" s="188"/>
      <c r="F682" s="188"/>
      <c r="G682" s="188"/>
      <c r="H682" s="353"/>
      <c r="I682" s="188"/>
      <c r="J682" s="188"/>
      <c r="K682" s="188"/>
    </row>
    <row r="683" s="190" customFormat="true" ht="15" hidden="false" customHeight="true" outlineLevel="0" collapsed="false">
      <c r="B683" s="227" t="n">
        <v>41</v>
      </c>
      <c r="C683" s="214" t="s">
        <v>396</v>
      </c>
      <c r="D683" s="215" t="s">
        <v>449</v>
      </c>
      <c r="E683" s="215"/>
      <c r="F683" s="215"/>
      <c r="G683" s="215"/>
      <c r="H683" s="214"/>
      <c r="I683" s="228"/>
      <c r="J683" s="200" t="s">
        <v>213</v>
      </c>
      <c r="K683" s="263" t="s">
        <v>256</v>
      </c>
    </row>
    <row r="684" s="190" customFormat="true" ht="15" hidden="false" customHeight="true" outlineLevel="0" collapsed="false">
      <c r="B684" s="202" t="s">
        <v>215</v>
      </c>
      <c r="C684" s="203"/>
      <c r="D684" s="203"/>
      <c r="E684" s="264"/>
      <c r="F684" s="204" t="s">
        <v>216</v>
      </c>
      <c r="G684" s="204" t="s">
        <v>217</v>
      </c>
      <c r="H684" s="204" t="s">
        <v>276</v>
      </c>
      <c r="I684" s="205" t="s">
        <v>219</v>
      </c>
      <c r="J684" s="205"/>
      <c r="K684" s="205"/>
    </row>
    <row r="685" s="190" customFormat="true" ht="15" hidden="false" customHeight="true" outlineLevel="0" collapsed="false">
      <c r="B685" s="230" t="s">
        <v>447</v>
      </c>
      <c r="C685" s="231"/>
      <c r="D685" s="231"/>
      <c r="E685" s="231"/>
      <c r="F685" s="217" t="s">
        <v>239</v>
      </c>
      <c r="G685" s="235" t="n">
        <v>0.16</v>
      </c>
      <c r="H685" s="235" t="n">
        <f aca="false">'Folha Rosto Comp. P. Unit. '!D7</f>
        <v>2.56</v>
      </c>
      <c r="I685" s="278"/>
      <c r="J685" s="278"/>
      <c r="K685" s="236" t="n">
        <f aca="false">ROUND(G685*H685,2)</f>
        <v>0.41</v>
      </c>
    </row>
    <row r="686" s="190" customFormat="true" ht="15" hidden="false" customHeight="true" outlineLevel="0" collapsed="false">
      <c r="B686" s="202" t="s">
        <v>240</v>
      </c>
      <c r="C686" s="203"/>
      <c r="D686" s="203"/>
      <c r="E686" s="203"/>
      <c r="F686" s="204" t="s">
        <v>239</v>
      </c>
      <c r="G686" s="234" t="n">
        <v>0.16</v>
      </c>
      <c r="H686" s="234" t="n">
        <f aca="false">'Folha Rosto Comp. P. Unit. '!D8</f>
        <v>1.64</v>
      </c>
      <c r="I686" s="220"/>
      <c r="J686" s="220"/>
      <c r="K686" s="221" t="n">
        <f aca="false">ROUND(G686*H686,2)</f>
        <v>0.26</v>
      </c>
    </row>
    <row r="687" s="190" customFormat="true" ht="15" hidden="false" customHeight="true" outlineLevel="0" collapsed="false">
      <c r="B687" s="352"/>
      <c r="C687" s="188"/>
      <c r="D687" s="282" t="s">
        <v>241</v>
      </c>
      <c r="E687" s="188"/>
      <c r="F687" s="244"/>
      <c r="G687" s="250"/>
      <c r="H687" s="250"/>
      <c r="I687" s="251"/>
      <c r="J687" s="251"/>
      <c r="K687" s="252" t="n">
        <f aca="false">SUM(K685:K686)</f>
        <v>0.67</v>
      </c>
    </row>
    <row r="688" s="190" customFormat="true" ht="15" hidden="false" customHeight="true" outlineLevel="0" collapsed="false">
      <c r="B688" s="351" t="s">
        <v>388</v>
      </c>
      <c r="C688" s="336"/>
      <c r="D688" s="336"/>
      <c r="E688" s="336"/>
      <c r="F688" s="459"/>
      <c r="G688" s="444" t="n">
        <f aca="false">'Folha Rosto Comp. P. Unit. '!B4</f>
        <v>1.26</v>
      </c>
      <c r="H688" s="303"/>
      <c r="I688" s="336"/>
      <c r="J688" s="336"/>
      <c r="K688" s="392" t="n">
        <f aca="false">K687*G688</f>
        <v>0.8442</v>
      </c>
    </row>
    <row r="689" s="190" customFormat="true" ht="15" hidden="false" customHeight="true" outlineLevel="0" collapsed="false">
      <c r="B689" s="292"/>
      <c r="C689" s="293"/>
      <c r="D689" s="293"/>
      <c r="E689" s="293"/>
      <c r="F689" s="293"/>
      <c r="G689" s="213" t="s">
        <v>243</v>
      </c>
      <c r="H689" s="214"/>
      <c r="I689" s="423"/>
      <c r="J689" s="240"/>
      <c r="K689" s="424" t="n">
        <f aca="false">SUM(K687:K688)</f>
        <v>1.5142</v>
      </c>
    </row>
    <row r="690" s="190" customFormat="true" ht="15" hidden="false" customHeight="true" outlineLevel="0" collapsed="false">
      <c r="B690" s="273" t="s">
        <v>277</v>
      </c>
      <c r="C690" s="273"/>
      <c r="D690" s="273"/>
      <c r="E690" s="273"/>
      <c r="F690" s="243" t="s">
        <v>216</v>
      </c>
      <c r="G690" s="243" t="s">
        <v>333</v>
      </c>
      <c r="H690" s="243" t="s">
        <v>218</v>
      </c>
      <c r="I690" s="284" t="s">
        <v>219</v>
      </c>
      <c r="J690" s="284"/>
      <c r="K690" s="284"/>
    </row>
    <row r="691" s="190" customFormat="true" ht="15" hidden="false" customHeight="true" outlineLevel="0" collapsed="false">
      <c r="B691" s="230" t="s">
        <v>450</v>
      </c>
      <c r="C691" s="231"/>
      <c r="D691" s="231"/>
      <c r="E691" s="231"/>
      <c r="F691" s="217" t="s">
        <v>256</v>
      </c>
      <c r="G691" s="235" t="n">
        <v>1.1</v>
      </c>
      <c r="H691" s="235" t="n">
        <v>3.86</v>
      </c>
      <c r="I691" s="277"/>
      <c r="J691" s="278"/>
      <c r="K691" s="236" t="n">
        <f aca="false">ROUND(G691*H691,2)</f>
        <v>4.25</v>
      </c>
    </row>
    <row r="692" s="190" customFormat="true" ht="15" hidden="false" customHeight="true" outlineLevel="0" collapsed="false">
      <c r="B692" s="202" t="s">
        <v>300</v>
      </c>
      <c r="C692" s="203"/>
      <c r="D692" s="203"/>
      <c r="E692" s="203"/>
      <c r="F692" s="204" t="s">
        <v>256</v>
      </c>
      <c r="G692" s="234" t="n">
        <v>0.02</v>
      </c>
      <c r="H692" s="234" t="n">
        <v>5.7</v>
      </c>
      <c r="I692" s="219"/>
      <c r="J692" s="220"/>
      <c r="K692" s="221" t="n">
        <f aca="false">ROUND(G692*H692,2)</f>
        <v>0.11</v>
      </c>
    </row>
    <row r="693" s="190" customFormat="true" ht="15" hidden="false" customHeight="true" outlineLevel="0" collapsed="false">
      <c r="B693" s="230" t="s">
        <v>226</v>
      </c>
      <c r="C693" s="231"/>
      <c r="D693" s="231"/>
      <c r="E693" s="231"/>
      <c r="F693" s="231"/>
      <c r="G693" s="213" t="s">
        <v>227</v>
      </c>
      <c r="H693" s="214"/>
      <c r="I693" s="428"/>
      <c r="J693" s="429"/>
      <c r="K693" s="424" t="n">
        <f aca="false">SUM(K691:K692)</f>
        <v>4.36</v>
      </c>
    </row>
    <row r="694" s="190" customFormat="true" ht="15" hidden="false" customHeight="true" outlineLevel="0" collapsed="false">
      <c r="B694" s="230" t="s">
        <v>402</v>
      </c>
      <c r="C694" s="231"/>
      <c r="D694" s="231"/>
      <c r="E694" s="231"/>
      <c r="F694" s="231"/>
      <c r="G694" s="231"/>
      <c r="H694" s="239"/>
      <c r="I694" s="231"/>
      <c r="J694" s="231"/>
      <c r="K694" s="436" t="n">
        <f aca="false">SUM(K689+K693)</f>
        <v>5.8742</v>
      </c>
    </row>
    <row r="695" s="190" customFormat="true" ht="15" hidden="false" customHeight="true" outlineLevel="0" collapsed="false">
      <c r="B695" s="230" t="s">
        <v>229</v>
      </c>
      <c r="C695" s="231"/>
      <c r="D695" s="223" t="n">
        <f aca="false">'Folha Rosto Comp. P. Unit. '!B5</f>
        <v>0.3</v>
      </c>
      <c r="E695" s="231"/>
      <c r="F695" s="231"/>
      <c r="G695" s="231"/>
      <c r="H695" s="239"/>
      <c r="I695" s="231"/>
      <c r="J695" s="203"/>
      <c r="K695" s="430" t="n">
        <f aca="false">ROUND(K694*D695,2)</f>
        <v>1.76</v>
      </c>
    </row>
    <row r="696" s="190" customFormat="true" ht="15" hidden="false" customHeight="true" outlineLevel="0" collapsed="false">
      <c r="B696" s="224" t="s">
        <v>230</v>
      </c>
      <c r="C696" s="224"/>
      <c r="D696" s="224"/>
      <c r="E696" s="224"/>
      <c r="F696" s="224"/>
      <c r="G696" s="224"/>
      <c r="H696" s="224"/>
      <c r="I696" s="224"/>
      <c r="J696" s="224"/>
      <c r="K696" s="424" t="n">
        <f aca="false">SUM(K694:K695)</f>
        <v>7.6342</v>
      </c>
    </row>
    <row r="697" s="190" customFormat="true" ht="15" hidden="false" customHeight="true" outlineLevel="0" collapsed="false">
      <c r="F697" s="192"/>
      <c r="H697" s="192"/>
      <c r="K697" s="193"/>
    </row>
    <row r="698" customFormat="false" ht="13.9" hidden="false" customHeight="true" outlineLevel="0" collapsed="false">
      <c r="B698" s="227" t="n">
        <v>42</v>
      </c>
      <c r="C698" s="198" t="s">
        <v>211</v>
      </c>
      <c r="D698" s="215" t="s">
        <v>451</v>
      </c>
      <c r="E698" s="215"/>
      <c r="F698" s="214"/>
      <c r="G698" s="215"/>
      <c r="H698" s="214"/>
      <c r="I698" s="228"/>
      <c r="J698" s="200" t="s">
        <v>213</v>
      </c>
      <c r="K698" s="263" t="s">
        <v>311</v>
      </c>
    </row>
    <row r="699" customFormat="false" ht="12.75" hidden="false" customHeight="false" outlineLevel="0" collapsed="false">
      <c r="B699" s="292" t="s">
        <v>215</v>
      </c>
      <c r="C699" s="293"/>
      <c r="D699" s="293"/>
      <c r="E699" s="393"/>
      <c r="F699" s="294" t="s">
        <v>216</v>
      </c>
      <c r="G699" s="294" t="s">
        <v>217</v>
      </c>
      <c r="H699" s="294" t="s">
        <v>218</v>
      </c>
      <c r="I699" s="218" t="s">
        <v>219</v>
      </c>
      <c r="J699" s="218"/>
      <c r="K699" s="218"/>
    </row>
    <row r="700" customFormat="false" ht="12.75" hidden="false" customHeight="false" outlineLevel="0" collapsed="false">
      <c r="B700" s="230" t="s">
        <v>240</v>
      </c>
      <c r="C700" s="231"/>
      <c r="D700" s="231"/>
      <c r="E700" s="231"/>
      <c r="F700" s="217" t="s">
        <v>239</v>
      </c>
      <c r="G700" s="235" t="n">
        <v>3</v>
      </c>
      <c r="H700" s="235" t="n">
        <f aca="false">'Folha Rosto Comp. P. Unit. '!D7</f>
        <v>2.56</v>
      </c>
      <c r="I700" s="278"/>
      <c r="J700" s="278"/>
      <c r="K700" s="236" t="n">
        <f aca="false">ROUND(G700*H700,2)</f>
        <v>7.68</v>
      </c>
    </row>
    <row r="701" customFormat="false" ht="12.75" hidden="false" customHeight="false" outlineLevel="0" collapsed="false">
      <c r="B701" s="202"/>
      <c r="C701" s="203"/>
      <c r="D701" s="237" t="s">
        <v>241</v>
      </c>
      <c r="E701" s="203"/>
      <c r="F701" s="204"/>
      <c r="G701" s="234"/>
      <c r="H701" s="234"/>
      <c r="I701" s="220"/>
      <c r="J701" s="220"/>
      <c r="K701" s="221" t="n">
        <f aca="false">SUM(K700)</f>
        <v>7.68</v>
      </c>
    </row>
    <row r="702" customFormat="false" ht="13.5" hidden="false" customHeight="false" outlineLevel="0" collapsed="false">
      <c r="B702" s="202" t="s">
        <v>220</v>
      </c>
      <c r="C702" s="203"/>
      <c r="D702" s="203"/>
      <c r="E702" s="203"/>
      <c r="F702" s="204"/>
      <c r="G702" s="238" t="n">
        <f aca="false">'Folha Rosto Comp. P. Unit. '!B4</f>
        <v>1.26</v>
      </c>
      <c r="H702" s="204"/>
      <c r="I702" s="203"/>
      <c r="J702" s="203"/>
      <c r="K702" s="221" t="n">
        <f aca="false">K701*G702</f>
        <v>9.6768</v>
      </c>
    </row>
    <row r="703" customFormat="false" ht="13.5" hidden="false" customHeight="false" outlineLevel="0" collapsed="false">
      <c r="B703" s="230"/>
      <c r="C703" s="231"/>
      <c r="D703" s="231"/>
      <c r="E703" s="231"/>
      <c r="F703" s="239"/>
      <c r="G703" s="213" t="s">
        <v>243</v>
      </c>
      <c r="H703" s="214"/>
      <c r="I703" s="240"/>
      <c r="J703" s="240"/>
      <c r="K703" s="242" t="n">
        <f aca="false">SUM(K701:K702)</f>
        <v>17.3568</v>
      </c>
    </row>
    <row r="704" customFormat="false" ht="12.75" hidden="false" customHeight="false" outlineLevel="0" collapsed="false">
      <c r="B704" s="273" t="s">
        <v>277</v>
      </c>
      <c r="C704" s="273"/>
      <c r="D704" s="273"/>
      <c r="E704" s="273"/>
      <c r="F704" s="217" t="s">
        <v>216</v>
      </c>
      <c r="G704" s="435" t="s">
        <v>244</v>
      </c>
      <c r="H704" s="217" t="s">
        <v>218</v>
      </c>
      <c r="I704" s="218" t="s">
        <v>219</v>
      </c>
      <c r="J704" s="218"/>
      <c r="K704" s="218"/>
    </row>
    <row r="705" customFormat="false" ht="13.5" hidden="false" customHeight="false" outlineLevel="0" collapsed="false">
      <c r="B705" s="202"/>
      <c r="C705" s="203"/>
      <c r="D705" s="203"/>
      <c r="E705" s="203"/>
      <c r="F705" s="204"/>
      <c r="G705" s="302"/>
      <c r="H705" s="359"/>
      <c r="I705" s="208"/>
      <c r="J705" s="203"/>
      <c r="K705" s="209"/>
    </row>
    <row r="706" customFormat="false" ht="13.5" hidden="false" customHeight="false" outlineLevel="0" collapsed="false">
      <c r="B706" s="230" t="s">
        <v>226</v>
      </c>
      <c r="C706" s="231"/>
      <c r="D706" s="231"/>
      <c r="E706" s="231"/>
      <c r="F706" s="239"/>
      <c r="G706" s="213" t="s">
        <v>227</v>
      </c>
      <c r="H706" s="214"/>
      <c r="I706" s="240"/>
      <c r="J706" s="240"/>
      <c r="K706" s="216" t="n">
        <f aca="false">SUM(K705:K705)</f>
        <v>0</v>
      </c>
    </row>
    <row r="707" customFormat="false" ht="12.75" hidden="false" customHeight="false" outlineLevel="0" collapsed="false">
      <c r="B707" s="230" t="s">
        <v>273</v>
      </c>
      <c r="C707" s="231"/>
      <c r="D707" s="231"/>
      <c r="E707" s="231"/>
      <c r="F707" s="239"/>
      <c r="G707" s="231"/>
      <c r="H707" s="239"/>
      <c r="I707" s="231"/>
      <c r="J707" s="231"/>
      <c r="K707" s="280" t="n">
        <f aca="false">SUM(K703+K706)</f>
        <v>17.3568</v>
      </c>
    </row>
    <row r="708" customFormat="false" ht="13.5" hidden="false" customHeight="false" outlineLevel="0" collapsed="false">
      <c r="B708" s="230" t="s">
        <v>229</v>
      </c>
      <c r="C708" s="231"/>
      <c r="D708" s="223" t="n">
        <f aca="false">'Folha Rosto Comp. P. Unit. '!B5</f>
        <v>0.3</v>
      </c>
      <c r="E708" s="231"/>
      <c r="F708" s="239"/>
      <c r="G708" s="231"/>
      <c r="H708" s="239"/>
      <c r="I708" s="231"/>
      <c r="J708" s="203"/>
      <c r="K708" s="222" t="n">
        <f aca="false">ROUND(K707*D708,2)</f>
        <v>5.21</v>
      </c>
    </row>
    <row r="709" customFormat="false" ht="13.5" hidden="false" customHeight="false" outlineLevel="0" collapsed="false">
      <c r="B709" s="224" t="s">
        <v>290</v>
      </c>
      <c r="C709" s="224"/>
      <c r="D709" s="224"/>
      <c r="E709" s="224"/>
      <c r="F709" s="224"/>
      <c r="G709" s="224"/>
      <c r="H709" s="224"/>
      <c r="I709" s="224"/>
      <c r="J709" s="224"/>
      <c r="K709" s="242" t="n">
        <f aca="false">SUM(K707:K708)</f>
        <v>22.5668</v>
      </c>
    </row>
    <row r="710" customFormat="false" ht="13.5" hidden="false" customHeight="false" outlineLevel="0" collapsed="false"/>
    <row r="711" customFormat="false" ht="13.5" hidden="false" customHeight="false" outlineLevel="0" collapsed="false">
      <c r="B711" s="227" t="n">
        <v>43</v>
      </c>
      <c r="C711" s="214" t="s">
        <v>396</v>
      </c>
      <c r="D711" s="215" t="s">
        <v>452</v>
      </c>
      <c r="E711" s="215"/>
      <c r="F711" s="215"/>
      <c r="G711" s="215"/>
      <c r="H711" s="214"/>
      <c r="I711" s="228"/>
      <c r="J711" s="200" t="s">
        <v>213</v>
      </c>
      <c r="K711" s="263" t="s">
        <v>236</v>
      </c>
    </row>
    <row r="712" customFormat="false" ht="12.75" hidden="false" customHeight="false" outlineLevel="0" collapsed="false">
      <c r="B712" s="202" t="s">
        <v>215</v>
      </c>
      <c r="C712" s="203"/>
      <c r="D712" s="203"/>
      <c r="E712" s="264"/>
      <c r="F712" s="204" t="s">
        <v>216</v>
      </c>
      <c r="G712" s="204" t="s">
        <v>217</v>
      </c>
      <c r="H712" s="204" t="s">
        <v>218</v>
      </c>
      <c r="I712" s="205" t="s">
        <v>219</v>
      </c>
      <c r="J712" s="205"/>
      <c r="K712" s="205"/>
    </row>
    <row r="713" customFormat="false" ht="12.75" hidden="false" customHeight="false" outlineLevel="0" collapsed="false">
      <c r="B713" s="202" t="s">
        <v>264</v>
      </c>
      <c r="C713" s="203"/>
      <c r="D713" s="203"/>
      <c r="E713" s="203"/>
      <c r="F713" s="204" t="s">
        <v>239</v>
      </c>
      <c r="G713" s="234" t="n">
        <v>0.36</v>
      </c>
      <c r="H713" s="235" t="n">
        <f aca="false">'Folha Rosto Comp. P. Unit. '!D7</f>
        <v>2.56</v>
      </c>
      <c r="I713" s="220"/>
      <c r="J713" s="220"/>
      <c r="K713" s="236" t="n">
        <f aca="false">G713*H713</f>
        <v>0.9216</v>
      </c>
    </row>
    <row r="714" customFormat="false" ht="12.75" hidden="false" customHeight="false" outlineLevel="0" collapsed="false">
      <c r="B714" s="202" t="s">
        <v>295</v>
      </c>
      <c r="C714" s="203"/>
      <c r="D714" s="203"/>
      <c r="E714" s="203"/>
      <c r="F714" s="204" t="s">
        <v>239</v>
      </c>
      <c r="G714" s="234" t="n">
        <v>0.36</v>
      </c>
      <c r="H714" s="235" t="n">
        <f aca="false">'Folha Rosto Comp. P. Unit. '!D8</f>
        <v>1.64</v>
      </c>
      <c r="I714" s="220"/>
      <c r="J714" s="220"/>
      <c r="K714" s="236" t="n">
        <f aca="false">G714*H714</f>
        <v>0.5904</v>
      </c>
    </row>
    <row r="715" customFormat="false" ht="12.75" hidden="false" customHeight="false" outlineLevel="0" collapsed="false">
      <c r="B715" s="202"/>
      <c r="C715" s="203"/>
      <c r="D715" s="237" t="s">
        <v>241</v>
      </c>
      <c r="E715" s="203"/>
      <c r="F715" s="204"/>
      <c r="G715" s="234"/>
      <c r="H715" s="234"/>
      <c r="I715" s="220"/>
      <c r="J715" s="220"/>
      <c r="K715" s="221" t="n">
        <f aca="false">SUM(K713:K714)</f>
        <v>1.512</v>
      </c>
    </row>
    <row r="716" customFormat="false" ht="13.5" hidden="false" customHeight="false" outlineLevel="0" collapsed="false">
      <c r="B716" s="202" t="s">
        <v>388</v>
      </c>
      <c r="C716" s="203"/>
      <c r="D716" s="203"/>
      <c r="E716" s="203"/>
      <c r="F716" s="326"/>
      <c r="G716" s="211" t="n">
        <v>1.26</v>
      </c>
      <c r="H716" s="204"/>
      <c r="I716" s="203"/>
      <c r="J716" s="203"/>
      <c r="K716" s="221" t="n">
        <f aca="false">K715*G716</f>
        <v>1.90512</v>
      </c>
    </row>
    <row r="717" customFormat="false" ht="13.5" hidden="false" customHeight="false" outlineLevel="0" collapsed="false">
      <c r="B717" s="230"/>
      <c r="C717" s="231"/>
      <c r="D717" s="231"/>
      <c r="E717" s="231"/>
      <c r="F717" s="231"/>
      <c r="G717" s="213" t="s">
        <v>243</v>
      </c>
      <c r="H717" s="214"/>
      <c r="I717" s="423"/>
      <c r="J717" s="240"/>
      <c r="K717" s="424" t="n">
        <f aca="false">SUM(K715:K716)</f>
        <v>3.41712</v>
      </c>
    </row>
    <row r="718" customFormat="false" ht="12.75" hidden="false" customHeight="false" outlineLevel="0" collapsed="false">
      <c r="B718" s="355" t="s">
        <v>277</v>
      </c>
      <c r="C718" s="355"/>
      <c r="D718" s="355"/>
      <c r="E718" s="355"/>
      <c r="F718" s="204" t="s">
        <v>216</v>
      </c>
      <c r="G718" s="243" t="s">
        <v>244</v>
      </c>
      <c r="H718" s="294" t="s">
        <v>218</v>
      </c>
      <c r="I718" s="284" t="s">
        <v>219</v>
      </c>
      <c r="J718" s="284"/>
      <c r="K718" s="284"/>
    </row>
    <row r="719" customFormat="false" ht="12.75" hidden="false" customHeight="false" outlineLevel="0" collapsed="false">
      <c r="B719" s="230" t="s">
        <v>453</v>
      </c>
      <c r="C719" s="231"/>
      <c r="D719" s="231"/>
      <c r="E719" s="232"/>
      <c r="F719" s="217" t="s">
        <v>412</v>
      </c>
      <c r="G719" s="235" t="n">
        <v>0.05</v>
      </c>
      <c r="H719" s="425" t="n">
        <v>125</v>
      </c>
      <c r="I719" s="277"/>
      <c r="J719" s="278"/>
      <c r="K719" s="426" t="n">
        <f aca="false">ROUND(G719*H719,2)</f>
        <v>6.25</v>
      </c>
    </row>
    <row r="720" customFormat="false" ht="12.75" hidden="false" customHeight="false" outlineLevel="0" collapsed="false">
      <c r="B720" s="202" t="s">
        <v>454</v>
      </c>
      <c r="C720" s="203"/>
      <c r="D720" s="203"/>
      <c r="E720" s="264"/>
      <c r="F720" s="217" t="s">
        <v>412</v>
      </c>
      <c r="G720" s="357" t="n">
        <v>0.15</v>
      </c>
      <c r="H720" s="356" t="n">
        <v>77</v>
      </c>
      <c r="I720" s="219"/>
      <c r="J720" s="220"/>
      <c r="K720" s="427" t="n">
        <f aca="false">ROUND(G720*H720,2)</f>
        <v>11.55</v>
      </c>
    </row>
    <row r="721" customFormat="false" ht="12.75" hidden="false" customHeight="false" outlineLevel="0" collapsed="false">
      <c r="B721" s="202" t="s">
        <v>455</v>
      </c>
      <c r="C721" s="203"/>
      <c r="D721" s="203"/>
      <c r="E721" s="264"/>
      <c r="F721" s="217" t="s">
        <v>214</v>
      </c>
      <c r="G721" s="234" t="n">
        <v>0.5</v>
      </c>
      <c r="H721" s="356" t="n">
        <v>0.45</v>
      </c>
      <c r="I721" s="219"/>
      <c r="J721" s="220"/>
      <c r="K721" s="427" t="n">
        <f aca="false">ROUND(G721*H721,2)</f>
        <v>0.23</v>
      </c>
    </row>
    <row r="722" customFormat="false" ht="13.5" hidden="false" customHeight="false" outlineLevel="0" collapsed="false">
      <c r="B722" s="202"/>
      <c r="C722" s="203"/>
      <c r="D722" s="203"/>
      <c r="E722" s="264"/>
      <c r="F722" s="217"/>
      <c r="G722" s="234"/>
      <c r="H722" s="356"/>
      <c r="I722" s="219"/>
      <c r="J722" s="220"/>
      <c r="K722" s="427" t="n">
        <f aca="false">ROUND(G722*H722,2)</f>
        <v>0</v>
      </c>
    </row>
    <row r="723" customFormat="false" ht="13.5" hidden="false" customHeight="false" outlineLevel="0" collapsed="false">
      <c r="B723" s="230"/>
      <c r="C723" s="231"/>
      <c r="D723" s="231"/>
      <c r="E723" s="231"/>
      <c r="F723" s="419"/>
      <c r="G723" s="213" t="s">
        <v>227</v>
      </c>
      <c r="H723" s="214"/>
      <c r="I723" s="428"/>
      <c r="J723" s="429"/>
      <c r="K723" s="424" t="n">
        <f aca="false">SUM(K719:K722)</f>
        <v>18.03</v>
      </c>
    </row>
    <row r="724" customFormat="false" ht="12.75" hidden="false" customHeight="false" outlineLevel="0" collapsed="false">
      <c r="B724" s="202" t="s">
        <v>402</v>
      </c>
      <c r="C724" s="203"/>
      <c r="D724" s="203"/>
      <c r="E724" s="203"/>
      <c r="F724" s="203"/>
      <c r="G724" s="203"/>
      <c r="H724" s="212"/>
      <c r="I724" s="203"/>
      <c r="J724" s="203"/>
      <c r="K724" s="430" t="n">
        <f aca="false">SUM(K717+K723)</f>
        <v>21.44712</v>
      </c>
    </row>
    <row r="725" customFormat="false" ht="13.5" hidden="false" customHeight="false" outlineLevel="0" collapsed="false">
      <c r="B725" s="230" t="s">
        <v>229</v>
      </c>
      <c r="C725" s="231"/>
      <c r="D725" s="223" t="n">
        <f aca="false">'Folha Rosto Comp. P. Unit. '!B5</f>
        <v>0.3</v>
      </c>
      <c r="E725" s="231"/>
      <c r="F725" s="231"/>
      <c r="G725" s="231"/>
      <c r="H725" s="239"/>
      <c r="I725" s="231"/>
      <c r="J725" s="203"/>
      <c r="K725" s="430" t="n">
        <f aca="false">ROUND(K724*D725,2)</f>
        <v>6.43</v>
      </c>
    </row>
    <row r="726" customFormat="false" ht="13.5" hidden="false" customHeight="false" outlineLevel="0" collapsed="false">
      <c r="B726" s="224" t="s">
        <v>230</v>
      </c>
      <c r="C726" s="224"/>
      <c r="D726" s="224"/>
      <c r="E726" s="224"/>
      <c r="F726" s="224"/>
      <c r="G726" s="224"/>
      <c r="H726" s="224"/>
      <c r="I726" s="224"/>
      <c r="J726" s="224"/>
      <c r="K726" s="424" t="n">
        <f aca="false">SUM(K724:K725)</f>
        <v>27.87712</v>
      </c>
    </row>
    <row r="727" customFormat="false" ht="13.5" hidden="false" customHeight="false" outlineLevel="0" collapsed="false"/>
    <row r="728" customFormat="false" ht="13.5" hidden="false" customHeight="false" outlineLevel="0" collapsed="false">
      <c r="B728" s="227" t="n">
        <v>44</v>
      </c>
      <c r="C728" s="214" t="s">
        <v>396</v>
      </c>
      <c r="D728" s="215" t="s">
        <v>422</v>
      </c>
      <c r="E728" s="215"/>
      <c r="F728" s="215"/>
      <c r="G728" s="215"/>
      <c r="H728" s="214"/>
      <c r="I728" s="228"/>
      <c r="J728" s="200" t="s">
        <v>213</v>
      </c>
      <c r="K728" s="263" t="s">
        <v>236</v>
      </c>
    </row>
    <row r="729" customFormat="false" ht="12.75" hidden="false" customHeight="false" outlineLevel="0" collapsed="false">
      <c r="B729" s="202" t="s">
        <v>215</v>
      </c>
      <c r="C729" s="203"/>
      <c r="D729" s="203"/>
      <c r="E729" s="264"/>
      <c r="F729" s="204" t="s">
        <v>216</v>
      </c>
      <c r="G729" s="204" t="s">
        <v>217</v>
      </c>
      <c r="H729" s="204" t="s">
        <v>218</v>
      </c>
      <c r="I729" s="205" t="s">
        <v>219</v>
      </c>
      <c r="J729" s="205"/>
      <c r="K729" s="205"/>
    </row>
    <row r="730" customFormat="false" ht="12.75" hidden="false" customHeight="false" outlineLevel="0" collapsed="false">
      <c r="B730" s="202" t="s">
        <v>264</v>
      </c>
      <c r="C730" s="203"/>
      <c r="D730" s="203"/>
      <c r="E730" s="203"/>
      <c r="F730" s="204" t="s">
        <v>239</v>
      </c>
      <c r="G730" s="234" t="n">
        <v>0.36</v>
      </c>
      <c r="H730" s="235" t="n">
        <f aca="false">'Folha Rosto Comp. P. Unit. '!D7</f>
        <v>2.56</v>
      </c>
      <c r="I730" s="220"/>
      <c r="J730" s="220"/>
      <c r="K730" s="236" t="n">
        <f aca="false">G730*H730</f>
        <v>0.9216</v>
      </c>
    </row>
    <row r="731" customFormat="false" ht="12.75" hidden="false" customHeight="false" outlineLevel="0" collapsed="false">
      <c r="B731" s="202" t="s">
        <v>295</v>
      </c>
      <c r="C731" s="203"/>
      <c r="D731" s="203"/>
      <c r="E731" s="203"/>
      <c r="F731" s="204" t="s">
        <v>239</v>
      </c>
      <c r="G731" s="234" t="n">
        <v>0.36</v>
      </c>
      <c r="H731" s="235" t="n">
        <f aca="false">'Folha Rosto Comp. P. Unit. '!D8</f>
        <v>1.64</v>
      </c>
      <c r="I731" s="220"/>
      <c r="J731" s="220"/>
      <c r="K731" s="236" t="n">
        <f aca="false">G731*H731</f>
        <v>0.5904</v>
      </c>
    </row>
    <row r="732" customFormat="false" ht="12.75" hidden="false" customHeight="false" outlineLevel="0" collapsed="false">
      <c r="B732" s="202"/>
      <c r="C732" s="203"/>
      <c r="D732" s="237" t="s">
        <v>241</v>
      </c>
      <c r="E732" s="203"/>
      <c r="F732" s="204"/>
      <c r="G732" s="234"/>
      <c r="H732" s="234"/>
      <c r="I732" s="220"/>
      <c r="J732" s="220"/>
      <c r="K732" s="221" t="n">
        <f aca="false">SUM(K730:K731)</f>
        <v>1.512</v>
      </c>
    </row>
    <row r="733" customFormat="false" ht="13.5" hidden="false" customHeight="false" outlineLevel="0" collapsed="false">
      <c r="B733" s="202" t="s">
        <v>388</v>
      </c>
      <c r="C733" s="203"/>
      <c r="D733" s="203"/>
      <c r="E733" s="203"/>
      <c r="F733" s="326"/>
      <c r="G733" s="211" t="n">
        <v>1.26</v>
      </c>
      <c r="H733" s="204"/>
      <c r="I733" s="203"/>
      <c r="J733" s="203"/>
      <c r="K733" s="221" t="n">
        <f aca="false">K732*G733</f>
        <v>1.90512</v>
      </c>
    </row>
    <row r="734" customFormat="false" ht="13.5" hidden="false" customHeight="false" outlineLevel="0" collapsed="false">
      <c r="B734" s="230"/>
      <c r="C734" s="231"/>
      <c r="D734" s="231"/>
      <c r="E734" s="231"/>
      <c r="F734" s="231"/>
      <c r="G734" s="213" t="s">
        <v>243</v>
      </c>
      <c r="H734" s="214"/>
      <c r="I734" s="423"/>
      <c r="J734" s="240"/>
      <c r="K734" s="424" t="n">
        <f aca="false">SUM(K732:K733)</f>
        <v>3.41712</v>
      </c>
    </row>
    <row r="735" customFormat="false" ht="12.75" hidden="false" customHeight="false" outlineLevel="0" collapsed="false">
      <c r="B735" s="355" t="s">
        <v>277</v>
      </c>
      <c r="C735" s="355"/>
      <c r="D735" s="355"/>
      <c r="E735" s="355"/>
      <c r="F735" s="204" t="s">
        <v>216</v>
      </c>
      <c r="G735" s="243" t="s">
        <v>244</v>
      </c>
      <c r="H735" s="294" t="s">
        <v>218</v>
      </c>
      <c r="I735" s="284" t="s">
        <v>219</v>
      </c>
      <c r="J735" s="284"/>
      <c r="K735" s="284"/>
    </row>
    <row r="736" customFormat="false" ht="12.75" hidden="false" customHeight="false" outlineLevel="0" collapsed="false">
      <c r="B736" s="230" t="s">
        <v>456</v>
      </c>
      <c r="C736" s="231"/>
      <c r="D736" s="231"/>
      <c r="E736" s="232"/>
      <c r="F736" s="217" t="s">
        <v>412</v>
      </c>
      <c r="G736" s="235" t="n">
        <v>0.05</v>
      </c>
      <c r="H736" s="425" t="n">
        <v>80</v>
      </c>
      <c r="I736" s="277"/>
      <c r="J736" s="278"/>
      <c r="K736" s="426" t="n">
        <f aca="false">ROUND(G736*H736,2)</f>
        <v>4</v>
      </c>
    </row>
    <row r="737" customFormat="false" ht="12.75" hidden="false" customHeight="false" outlineLevel="0" collapsed="false">
      <c r="B737" s="202" t="s">
        <v>454</v>
      </c>
      <c r="C737" s="203"/>
      <c r="D737" s="203"/>
      <c r="E737" s="264"/>
      <c r="F737" s="217" t="s">
        <v>412</v>
      </c>
      <c r="G737" s="357" t="n">
        <v>0.15</v>
      </c>
      <c r="H737" s="356" t="n">
        <v>77</v>
      </c>
      <c r="I737" s="219"/>
      <c r="J737" s="220"/>
      <c r="K737" s="427" t="n">
        <f aca="false">ROUND(G737*H737,2)</f>
        <v>11.55</v>
      </c>
    </row>
    <row r="738" customFormat="false" ht="12.75" hidden="false" customHeight="false" outlineLevel="0" collapsed="false">
      <c r="B738" s="202" t="s">
        <v>455</v>
      </c>
      <c r="C738" s="203"/>
      <c r="D738" s="203"/>
      <c r="E738" s="264"/>
      <c r="F738" s="217" t="s">
        <v>214</v>
      </c>
      <c r="G738" s="234" t="n">
        <v>0.5</v>
      </c>
      <c r="H738" s="356" t="n">
        <v>0.45</v>
      </c>
      <c r="I738" s="219"/>
      <c r="J738" s="220"/>
      <c r="K738" s="427" t="n">
        <f aca="false">ROUND(G738*H738,2)</f>
        <v>0.23</v>
      </c>
    </row>
    <row r="739" customFormat="false" ht="13.5" hidden="false" customHeight="false" outlineLevel="0" collapsed="false">
      <c r="B739" s="202"/>
      <c r="C739" s="203"/>
      <c r="D739" s="203"/>
      <c r="E739" s="264"/>
      <c r="F739" s="217"/>
      <c r="G739" s="234"/>
      <c r="H739" s="356"/>
      <c r="I739" s="219"/>
      <c r="J739" s="220"/>
      <c r="K739" s="427" t="n">
        <f aca="false">ROUND(G739*H739,2)</f>
        <v>0</v>
      </c>
    </row>
    <row r="740" customFormat="false" ht="13.5" hidden="false" customHeight="false" outlineLevel="0" collapsed="false">
      <c r="B740" s="230"/>
      <c r="C740" s="231"/>
      <c r="D740" s="231"/>
      <c r="E740" s="231"/>
      <c r="F740" s="419"/>
      <c r="G740" s="213" t="s">
        <v>227</v>
      </c>
      <c r="H740" s="214"/>
      <c r="I740" s="428"/>
      <c r="J740" s="429"/>
      <c r="K740" s="424" t="n">
        <f aca="false">SUM(K736:K739)</f>
        <v>15.78</v>
      </c>
    </row>
    <row r="741" customFormat="false" ht="12.75" hidden="false" customHeight="false" outlineLevel="0" collapsed="false">
      <c r="B741" s="202" t="s">
        <v>402</v>
      </c>
      <c r="C741" s="203"/>
      <c r="D741" s="203"/>
      <c r="E741" s="203"/>
      <c r="F741" s="203"/>
      <c r="G741" s="203"/>
      <c r="H741" s="212"/>
      <c r="I741" s="203"/>
      <c r="J741" s="203"/>
      <c r="K741" s="430" t="n">
        <f aca="false">SUM(K734+K740)</f>
        <v>19.19712</v>
      </c>
    </row>
    <row r="742" customFormat="false" ht="13.5" hidden="false" customHeight="false" outlineLevel="0" collapsed="false">
      <c r="B742" s="230" t="s">
        <v>229</v>
      </c>
      <c r="C742" s="231"/>
      <c r="D742" s="223" t="n">
        <v>0.3</v>
      </c>
      <c r="E742" s="231"/>
      <c r="F742" s="231"/>
      <c r="G742" s="231"/>
      <c r="H742" s="239"/>
      <c r="I742" s="231"/>
      <c r="J742" s="203"/>
      <c r="K742" s="430" t="n">
        <f aca="false">ROUND(K741*D742,2)</f>
        <v>5.76</v>
      </c>
    </row>
    <row r="743" customFormat="false" ht="13.5" hidden="false" customHeight="false" outlineLevel="0" collapsed="false">
      <c r="B743" s="224" t="s">
        <v>230</v>
      </c>
      <c r="C743" s="224"/>
      <c r="D743" s="224"/>
      <c r="E743" s="224"/>
      <c r="F743" s="224"/>
      <c r="G743" s="224"/>
      <c r="H743" s="224"/>
      <c r="I743" s="224"/>
      <c r="J743" s="224"/>
      <c r="K743" s="424" t="n">
        <f aca="false">SUM(K741:K742)</f>
        <v>24.95712</v>
      </c>
    </row>
  </sheetData>
  <mergeCells count="271">
    <mergeCell ref="B5:E5"/>
    <mergeCell ref="B6:K6"/>
    <mergeCell ref="D7:I7"/>
    <mergeCell ref="I8:K8"/>
    <mergeCell ref="I12:K12"/>
    <mergeCell ref="B18:J18"/>
    <mergeCell ref="D20:I20"/>
    <mergeCell ref="I21:K21"/>
    <mergeCell ref="I25:K25"/>
    <mergeCell ref="B31:J31"/>
    <mergeCell ref="I34:K34"/>
    <mergeCell ref="I40:K40"/>
    <mergeCell ref="B59:J59"/>
    <mergeCell ref="B69:E69"/>
    <mergeCell ref="B78:J78"/>
    <mergeCell ref="I81:K81"/>
    <mergeCell ref="B86:E86"/>
    <mergeCell ref="I86:K86"/>
    <mergeCell ref="B94:J94"/>
    <mergeCell ref="I97:K97"/>
    <mergeCell ref="B105:E105"/>
    <mergeCell ref="I105:K105"/>
    <mergeCell ref="B111:J111"/>
    <mergeCell ref="I114:K114"/>
    <mergeCell ref="B120:E120"/>
    <mergeCell ref="I120:K120"/>
    <mergeCell ref="B125:J125"/>
    <mergeCell ref="D128:I128"/>
    <mergeCell ref="I129:K129"/>
    <mergeCell ref="B137:E137"/>
    <mergeCell ref="I137:K137"/>
    <mergeCell ref="B143:E143"/>
    <mergeCell ref="I143:K143"/>
    <mergeCell ref="B149:J149"/>
    <mergeCell ref="B150:J150"/>
    <mergeCell ref="I153:K153"/>
    <mergeCell ref="B159:E159"/>
    <mergeCell ref="I159:K159"/>
    <mergeCell ref="B161:E161"/>
    <mergeCell ref="G161:H161"/>
    <mergeCell ref="I161:J161"/>
    <mergeCell ref="K161:K162"/>
    <mergeCell ref="B163:E163"/>
    <mergeCell ref="B170:J170"/>
    <mergeCell ref="B171:J171"/>
    <mergeCell ref="B174:C175"/>
    <mergeCell ref="D174:D175"/>
    <mergeCell ref="E174:E175"/>
    <mergeCell ref="F174:G174"/>
    <mergeCell ref="H174:I174"/>
    <mergeCell ref="J174:K175"/>
    <mergeCell ref="B179:E179"/>
    <mergeCell ref="I179:K179"/>
    <mergeCell ref="B184:J184"/>
    <mergeCell ref="I187:K187"/>
    <mergeCell ref="B193:E193"/>
    <mergeCell ref="I193:K193"/>
    <mergeCell ref="B195:E195"/>
    <mergeCell ref="G195:H195"/>
    <mergeCell ref="I195:J195"/>
    <mergeCell ref="K195:K196"/>
    <mergeCell ref="B197:E197"/>
    <mergeCell ref="B204:J204"/>
    <mergeCell ref="I207:K207"/>
    <mergeCell ref="B213:E213"/>
    <mergeCell ref="I213:K213"/>
    <mergeCell ref="B215:E215"/>
    <mergeCell ref="G215:H215"/>
    <mergeCell ref="I215:J215"/>
    <mergeCell ref="K215:K216"/>
    <mergeCell ref="B217:E217"/>
    <mergeCell ref="B224:J224"/>
    <mergeCell ref="B227:C228"/>
    <mergeCell ref="D227:D228"/>
    <mergeCell ref="E227:E228"/>
    <mergeCell ref="F227:G227"/>
    <mergeCell ref="H227:I227"/>
    <mergeCell ref="J227:K228"/>
    <mergeCell ref="B232:E232"/>
    <mergeCell ref="I232:K232"/>
    <mergeCell ref="B237:J237"/>
    <mergeCell ref="B240:C241"/>
    <mergeCell ref="D240:D241"/>
    <mergeCell ref="E240:E241"/>
    <mergeCell ref="F240:G240"/>
    <mergeCell ref="H240:I240"/>
    <mergeCell ref="J240:K241"/>
    <mergeCell ref="I244:K244"/>
    <mergeCell ref="B249:J249"/>
    <mergeCell ref="D251:I251"/>
    <mergeCell ref="I252:K252"/>
    <mergeCell ref="B258:C259"/>
    <mergeCell ref="D258:D259"/>
    <mergeCell ref="E258:E259"/>
    <mergeCell ref="F258:G258"/>
    <mergeCell ref="H258:I258"/>
    <mergeCell ref="J258:K259"/>
    <mergeCell ref="B260:C260"/>
    <mergeCell ref="B261:C261"/>
    <mergeCell ref="B262:C262"/>
    <mergeCell ref="B263:C263"/>
    <mergeCell ref="B265:C265"/>
    <mergeCell ref="B266:C266"/>
    <mergeCell ref="B270:J270"/>
    <mergeCell ref="D272:I272"/>
    <mergeCell ref="I273:K273"/>
    <mergeCell ref="B279:C280"/>
    <mergeCell ref="D279:D280"/>
    <mergeCell ref="E279:E280"/>
    <mergeCell ref="F279:G279"/>
    <mergeCell ref="H279:I279"/>
    <mergeCell ref="J279:K280"/>
    <mergeCell ref="B281:C281"/>
    <mergeCell ref="B282:C282"/>
    <mergeCell ref="B283:C283"/>
    <mergeCell ref="B284:C284"/>
    <mergeCell ref="B286:C286"/>
    <mergeCell ref="B287:C287"/>
    <mergeCell ref="B290:C290"/>
    <mergeCell ref="B294:J294"/>
    <mergeCell ref="D296:I296"/>
    <mergeCell ref="I297:K297"/>
    <mergeCell ref="B303:E303"/>
    <mergeCell ref="I303:K303"/>
    <mergeCell ref="B310:J310"/>
    <mergeCell ref="D312:I312"/>
    <mergeCell ref="I313:K313"/>
    <mergeCell ref="B319:E319"/>
    <mergeCell ref="I319:K319"/>
    <mergeCell ref="B326:J326"/>
    <mergeCell ref="D328:I328"/>
    <mergeCell ref="B329:C330"/>
    <mergeCell ref="D329:D330"/>
    <mergeCell ref="E329:E330"/>
    <mergeCell ref="F329:G329"/>
    <mergeCell ref="H329:I329"/>
    <mergeCell ref="J329:K330"/>
    <mergeCell ref="I335:K335"/>
    <mergeCell ref="B340:E340"/>
    <mergeCell ref="I340:K340"/>
    <mergeCell ref="B347:J347"/>
    <mergeCell ref="D349:I349"/>
    <mergeCell ref="I350:K350"/>
    <mergeCell ref="B356:C357"/>
    <mergeCell ref="D356:D357"/>
    <mergeCell ref="E356:E357"/>
    <mergeCell ref="F356:G356"/>
    <mergeCell ref="H356:I356"/>
    <mergeCell ref="J356:K357"/>
    <mergeCell ref="B358:C358"/>
    <mergeCell ref="B359:C359"/>
    <mergeCell ref="B360:C360"/>
    <mergeCell ref="B361:C361"/>
    <mergeCell ref="B363:C363"/>
    <mergeCell ref="B364:C364"/>
    <mergeCell ref="B368:J368"/>
    <mergeCell ref="D370:I370"/>
    <mergeCell ref="I371:K371"/>
    <mergeCell ref="B377:E377"/>
    <mergeCell ref="I377:K377"/>
    <mergeCell ref="B383:J383"/>
    <mergeCell ref="I386:K386"/>
    <mergeCell ref="B392:E392"/>
    <mergeCell ref="I392:K392"/>
    <mergeCell ref="B398:J398"/>
    <mergeCell ref="I401:K401"/>
    <mergeCell ref="B407:E407"/>
    <mergeCell ref="I407:K407"/>
    <mergeCell ref="B413:J413"/>
    <mergeCell ref="I416:K416"/>
    <mergeCell ref="B422:E422"/>
    <mergeCell ref="I422:K422"/>
    <mergeCell ref="B430:J430"/>
    <mergeCell ref="D432:I432"/>
    <mergeCell ref="I433:K433"/>
    <mergeCell ref="B439:E439"/>
    <mergeCell ref="I439:K439"/>
    <mergeCell ref="B446:J446"/>
    <mergeCell ref="D448:I448"/>
    <mergeCell ref="I449:K449"/>
    <mergeCell ref="B455:E455"/>
    <mergeCell ref="I455:K455"/>
    <mergeCell ref="B461:J461"/>
    <mergeCell ref="I464:K464"/>
    <mergeCell ref="B470:E470"/>
    <mergeCell ref="I470:K470"/>
    <mergeCell ref="B475:J475"/>
    <mergeCell ref="D477:I477"/>
    <mergeCell ref="I478:K478"/>
    <mergeCell ref="B484:E484"/>
    <mergeCell ref="I484:K484"/>
    <mergeCell ref="B485:E485"/>
    <mergeCell ref="B491:J491"/>
    <mergeCell ref="D493:I493"/>
    <mergeCell ref="I494:K494"/>
    <mergeCell ref="B500:E500"/>
    <mergeCell ref="I500:K500"/>
    <mergeCell ref="B506:J506"/>
    <mergeCell ref="D508:I508"/>
    <mergeCell ref="I509:K509"/>
    <mergeCell ref="B515:E515"/>
    <mergeCell ref="I515:K515"/>
    <mergeCell ref="B521:J521"/>
    <mergeCell ref="D523:I523"/>
    <mergeCell ref="I524:K524"/>
    <mergeCell ref="B530:E530"/>
    <mergeCell ref="I530:K530"/>
    <mergeCell ref="B538:J538"/>
    <mergeCell ref="D540:I540"/>
    <mergeCell ref="I541:K541"/>
    <mergeCell ref="B547:E547"/>
    <mergeCell ref="I547:K547"/>
    <mergeCell ref="B551:E551"/>
    <mergeCell ref="B555:J555"/>
    <mergeCell ref="D557:I557"/>
    <mergeCell ref="B558:E558"/>
    <mergeCell ref="I558:K558"/>
    <mergeCell ref="B563:E563"/>
    <mergeCell ref="I563:K563"/>
    <mergeCell ref="B568:J568"/>
    <mergeCell ref="D570:I570"/>
    <mergeCell ref="I571:K571"/>
    <mergeCell ref="B577:E577"/>
    <mergeCell ref="I577:K577"/>
    <mergeCell ref="B587:J587"/>
    <mergeCell ref="D589:I589"/>
    <mergeCell ref="I590:K590"/>
    <mergeCell ref="B596:E596"/>
    <mergeCell ref="I596:K596"/>
    <mergeCell ref="B603:J603"/>
    <mergeCell ref="D605:I605"/>
    <mergeCell ref="I606:K606"/>
    <mergeCell ref="B612:E612"/>
    <mergeCell ref="I612:K612"/>
    <mergeCell ref="B619:J619"/>
    <mergeCell ref="I622:K622"/>
    <mergeCell ref="B628:E628"/>
    <mergeCell ref="I628:K628"/>
    <mergeCell ref="I632:J632"/>
    <mergeCell ref="B635:J635"/>
    <mergeCell ref="I638:K638"/>
    <mergeCell ref="B644:E644"/>
    <mergeCell ref="I644:K644"/>
    <mergeCell ref="I650:J650"/>
    <mergeCell ref="B653:J653"/>
    <mergeCell ref="I656:K656"/>
    <mergeCell ref="B661:E661"/>
    <mergeCell ref="I661:K661"/>
    <mergeCell ref="I663:J663"/>
    <mergeCell ref="B666:J666"/>
    <mergeCell ref="I669:K669"/>
    <mergeCell ref="B675:E675"/>
    <mergeCell ref="I675:K675"/>
    <mergeCell ref="I678:J678"/>
    <mergeCell ref="B681:J681"/>
    <mergeCell ref="I684:K684"/>
    <mergeCell ref="B690:E690"/>
    <mergeCell ref="I690:K690"/>
    <mergeCell ref="B696:J696"/>
    <mergeCell ref="I699:K699"/>
    <mergeCell ref="B704:E704"/>
    <mergeCell ref="I704:K704"/>
    <mergeCell ref="B709:J709"/>
    <mergeCell ref="I712:K712"/>
    <mergeCell ref="B718:E718"/>
    <mergeCell ref="I718:K718"/>
    <mergeCell ref="B726:J726"/>
    <mergeCell ref="I729:K729"/>
    <mergeCell ref="B735:E735"/>
    <mergeCell ref="I735:K735"/>
    <mergeCell ref="B743:J743"/>
  </mergeCells>
  <printOptions headings="false" gridLines="false" gridLinesSet="true" horizontalCentered="false" verticalCentered="false"/>
  <pageMargins left="0.7875" right="0.7875" top="0.984027777777778" bottom="0.984722222222222" header="0.511805555555555" footer="0.492361111111111"/>
  <pageSetup paperSize="9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70703125" defaultRowHeight="12.75" zeroHeight="false" outlineLevelRow="0" outlineLevelCol="0"/>
  <cols>
    <col collapsed="false" customWidth="true" hidden="false" outlineLevel="0" max="1" min="1" style="0" width="13.29"/>
    <col collapsed="false" customWidth="true" hidden="false" outlineLevel="0" max="8" min="2" style="0" width="11.3"/>
  </cols>
  <sheetData>
    <row r="1" customFormat="false" ht="12.75" hidden="false" customHeight="false" outlineLevel="0" collapsed="false">
      <c r="A1" s="282" t="s">
        <v>457</v>
      </c>
      <c r="B1" s="282"/>
      <c r="C1" s="282"/>
      <c r="D1" s="282"/>
      <c r="E1" s="282"/>
      <c r="F1" s="190"/>
      <c r="G1" s="190"/>
    </row>
    <row r="2" customFormat="false" ht="12.75" hidden="false" customHeight="false" outlineLevel="0" collapsed="false">
      <c r="A2" s="460" t="s">
        <v>134</v>
      </c>
      <c r="B2" s="460"/>
      <c r="C2" s="460"/>
      <c r="D2" s="460"/>
      <c r="E2" s="190"/>
      <c r="F2" s="190"/>
      <c r="G2" s="190"/>
    </row>
    <row r="3" customFormat="false" ht="12.75" hidden="false" customHeight="false" outlineLevel="0" collapsed="false">
      <c r="A3" s="276"/>
      <c r="B3" s="190"/>
      <c r="C3" s="190"/>
      <c r="D3" s="190"/>
      <c r="E3" s="190"/>
      <c r="F3" s="190"/>
      <c r="G3" s="190"/>
    </row>
    <row r="4" customFormat="false" ht="12.75" hidden="false" customHeight="false" outlineLevel="0" collapsed="false">
      <c r="A4" s="193" t="s">
        <v>458</v>
      </c>
      <c r="B4" s="461" t="n">
        <v>1.26</v>
      </c>
      <c r="C4" s="190"/>
      <c r="D4" s="190"/>
      <c r="E4" s="190"/>
      <c r="F4" s="190"/>
      <c r="G4" s="190"/>
    </row>
    <row r="5" customFormat="false" ht="12.75" hidden="false" customHeight="false" outlineLevel="0" collapsed="false">
      <c r="A5" s="193" t="s">
        <v>459</v>
      </c>
      <c r="B5" s="461" t="n">
        <v>0.3</v>
      </c>
      <c r="C5" s="190"/>
      <c r="D5" s="190"/>
      <c r="E5" s="190"/>
      <c r="F5" s="190"/>
      <c r="G5" s="190"/>
    </row>
    <row r="7" customFormat="false" ht="12.75" hidden="false" customHeight="false" outlineLevel="0" collapsed="false">
      <c r="A7" s="193" t="s">
        <v>460</v>
      </c>
      <c r="B7" s="462" t="s">
        <v>461</v>
      </c>
      <c r="D7" s="463" t="n">
        <v>2.56</v>
      </c>
    </row>
    <row r="8" customFormat="false" ht="12.75" hidden="false" customHeight="false" outlineLevel="0" collapsed="false">
      <c r="B8" s="462" t="s">
        <v>240</v>
      </c>
      <c r="D8" s="463" t="n">
        <v>1.64</v>
      </c>
    </row>
    <row r="9" customFormat="false" ht="12.75" hidden="false" customHeight="false" outlineLevel="0" collapsed="false">
      <c r="B9" s="462" t="s">
        <v>293</v>
      </c>
      <c r="D9" s="463" t="n">
        <v>2.81</v>
      </c>
    </row>
    <row r="10" customFormat="false" ht="12.75" hidden="false" customHeight="false" outlineLevel="0" collapsed="false">
      <c r="A10" s="462" t="s">
        <v>462</v>
      </c>
      <c r="B10" s="462" t="s">
        <v>463</v>
      </c>
      <c r="D10" s="463" t="n">
        <v>1.9</v>
      </c>
    </row>
    <row r="11" customFormat="false" ht="12.75" hidden="false" customHeight="false" outlineLevel="0" collapsed="false">
      <c r="A11" s="462" t="s">
        <v>464</v>
      </c>
      <c r="D11" s="463" t="n">
        <v>2.81</v>
      </c>
    </row>
  </sheetData>
  <mergeCells count="2">
    <mergeCell ref="A1:E1"/>
    <mergeCell ref="A2:D2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LibreOffice/7.1.0.3$Windows_X86_64 LibreOffice_project/f6099ecf3d29644b5008cc8f48f42f4a40986e4c</Application>
  <AppVersion>15.0000</AppVersion>
  <Company>Residencia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1999-11-23T21:33:20Z</dcterms:created>
  <dc:creator>Simone de Fátima Martins da Silva</dc:creator>
  <dc:description/>
  <dc:language>pt-BR</dc:language>
  <cp:lastModifiedBy/>
  <cp:lastPrinted>2023-01-10T09:59:23Z</cp:lastPrinted>
  <dcterms:modified xsi:type="dcterms:W3CDTF">2023-01-10T10:11:51Z</dcterms:modified>
  <cp:revision>5</cp:revision>
  <dc:subject>Orçamento, Cronograma, Quantitativos,Composição de Custos, Orçamento Elétrico, Hidro sanitário, Drenagem</dc:subject>
  <dc:title>Ciclovia Av. José Bonifácio - Belém/PA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