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SEMED\Music\IZABELE\Nova pasta\"/>
    </mc:Choice>
  </mc:AlternateContent>
  <xr:revisionPtr revIDLastSave="0" documentId="13_ncr:1_{E185BE07-77AC-4A46-8160-381101D6DD50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Orçamento Sintético" sheetId="6" r:id="rId1"/>
    <sheet name="Cronograma" sheetId="2" r:id="rId2"/>
    <sheet name="CPU" sheetId="3" r:id="rId3"/>
    <sheet name="BDI" sheetId="4" r:id="rId4"/>
    <sheet name="LS" sheetId="5" r:id="rId5"/>
  </sheets>
  <definedNames>
    <definedName name="_xlnm.Print_Area" localSheetId="1">Cronograma!$A$1:$K$37</definedName>
    <definedName name="_xlnm.Print_Area" localSheetId="0">'Orçamento Sintético'!$A$1:$J$205</definedName>
    <definedName name="_xlnm.Print_Titles" localSheetId="0">'Orçamento Sintético'!$1:$9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2" l="1"/>
  <c r="I35" i="2"/>
  <c r="J35" i="2"/>
  <c r="F35" i="2"/>
  <c r="D35" i="2"/>
  <c r="D37" i="2" s="1"/>
  <c r="G35" i="2"/>
  <c r="H35" i="2"/>
  <c r="K35" i="2"/>
  <c r="K203" i="6"/>
  <c r="K196" i="6"/>
  <c r="K194" i="6"/>
  <c r="L179" i="6"/>
  <c r="K179" i="6"/>
  <c r="K176" i="6"/>
  <c r="K161" i="6"/>
  <c r="K157" i="6"/>
  <c r="K96" i="6"/>
  <c r="K86" i="6"/>
  <c r="K83" i="6"/>
  <c r="K79" i="6"/>
  <c r="K77" i="6"/>
  <c r="K72" i="6"/>
  <c r="K64" i="6"/>
  <c r="K53" i="6"/>
  <c r="K49" i="6"/>
  <c r="K23" i="6"/>
  <c r="K19" i="6"/>
  <c r="K10" i="6"/>
  <c r="E37" i="2" l="1"/>
  <c r="F37" i="2" s="1"/>
  <c r="G37" i="2" s="1"/>
  <c r="H204" i="6"/>
  <c r="I204" i="6" s="1"/>
  <c r="H202" i="6"/>
  <c r="I202" i="6" s="1"/>
  <c r="J202" i="6" s="1"/>
  <c r="H201" i="6"/>
  <c r="I201" i="6" s="1"/>
  <c r="J201" i="6" s="1"/>
  <c r="H200" i="6"/>
  <c r="I200" i="6" s="1"/>
  <c r="H198" i="6"/>
  <c r="I198" i="6" s="1"/>
  <c r="J198" i="6" s="1"/>
  <c r="H197" i="6"/>
  <c r="I197" i="6" s="1"/>
  <c r="H195" i="6"/>
  <c r="I195" i="6" s="1"/>
  <c r="H193" i="6"/>
  <c r="I193" i="6" s="1"/>
  <c r="J193" i="6" s="1"/>
  <c r="H192" i="6"/>
  <c r="I192" i="6" s="1"/>
  <c r="J192" i="6" s="1"/>
  <c r="H191" i="6"/>
  <c r="I191" i="6" s="1"/>
  <c r="J191" i="6" s="1"/>
  <c r="H190" i="6"/>
  <c r="I190" i="6" s="1"/>
  <c r="J190" i="6" s="1"/>
  <c r="H189" i="6"/>
  <c r="I189" i="6" s="1"/>
  <c r="J189" i="6" s="1"/>
  <c r="H188" i="6"/>
  <c r="I188" i="6" s="1"/>
  <c r="J188" i="6" s="1"/>
  <c r="H187" i="6"/>
  <c r="I187" i="6" s="1"/>
  <c r="J187" i="6" s="1"/>
  <c r="H186" i="6"/>
  <c r="I186" i="6" s="1"/>
  <c r="J186" i="6" s="1"/>
  <c r="H185" i="6"/>
  <c r="I185" i="6" s="1"/>
  <c r="J185" i="6" s="1"/>
  <c r="H184" i="6"/>
  <c r="I184" i="6" s="1"/>
  <c r="J184" i="6" s="1"/>
  <c r="H183" i="6"/>
  <c r="I183" i="6" s="1"/>
  <c r="J183" i="6" s="1"/>
  <c r="H182" i="6"/>
  <c r="I182" i="6" s="1"/>
  <c r="J182" i="6" s="1"/>
  <c r="H181" i="6"/>
  <c r="I181" i="6" s="1"/>
  <c r="J181" i="6" s="1"/>
  <c r="H180" i="6"/>
  <c r="I180" i="6" s="1"/>
  <c r="H178" i="6"/>
  <c r="I178" i="6" s="1"/>
  <c r="H177" i="6"/>
  <c r="I177" i="6" s="1"/>
  <c r="J177" i="6" s="1"/>
  <c r="H175" i="6"/>
  <c r="I175" i="6" s="1"/>
  <c r="H174" i="6"/>
  <c r="I174" i="6" s="1"/>
  <c r="J174" i="6" s="1"/>
  <c r="H173" i="6"/>
  <c r="I173" i="6" s="1"/>
  <c r="J173" i="6" s="1"/>
  <c r="H171" i="6"/>
  <c r="I171" i="6" s="1"/>
  <c r="J171" i="6" s="1"/>
  <c r="H170" i="6"/>
  <c r="I170" i="6" s="1"/>
  <c r="J170" i="6" s="1"/>
  <c r="H169" i="6"/>
  <c r="I169" i="6" s="1"/>
  <c r="J169" i="6" s="1"/>
  <c r="H168" i="6"/>
  <c r="I168" i="6" s="1"/>
  <c r="J168" i="6" s="1"/>
  <c r="H167" i="6"/>
  <c r="I167" i="6" s="1"/>
  <c r="J167" i="6" s="1"/>
  <c r="H166" i="6"/>
  <c r="I166" i="6" s="1"/>
  <c r="J166" i="6" s="1"/>
  <c r="H165" i="6"/>
  <c r="I165" i="6" s="1"/>
  <c r="H163" i="6"/>
  <c r="I163" i="6" s="1"/>
  <c r="H160" i="6"/>
  <c r="I160" i="6" s="1"/>
  <c r="J160" i="6" s="1"/>
  <c r="H159" i="6"/>
  <c r="I159" i="6" s="1"/>
  <c r="H156" i="6"/>
  <c r="I156" i="6" s="1"/>
  <c r="J156" i="6" s="1"/>
  <c r="H155" i="6"/>
  <c r="I155" i="6" s="1"/>
  <c r="J155" i="6" s="1"/>
  <c r="H154" i="6"/>
  <c r="I154" i="6" s="1"/>
  <c r="J154" i="6" s="1"/>
  <c r="H153" i="6"/>
  <c r="I153" i="6" s="1"/>
  <c r="J153" i="6" s="1"/>
  <c r="H152" i="6"/>
  <c r="I152" i="6" s="1"/>
  <c r="J152" i="6" s="1"/>
  <c r="H151" i="6"/>
  <c r="I151" i="6" s="1"/>
  <c r="J151" i="6" s="1"/>
  <c r="H150" i="6"/>
  <c r="I150" i="6" s="1"/>
  <c r="J150" i="6" s="1"/>
  <c r="H149" i="6"/>
  <c r="I149" i="6" s="1"/>
  <c r="H147" i="6"/>
  <c r="I147" i="6" s="1"/>
  <c r="J147" i="6" s="1"/>
  <c r="H146" i="6"/>
  <c r="I146" i="6" s="1"/>
  <c r="J146" i="6" s="1"/>
  <c r="H145" i="6"/>
  <c r="I145" i="6" s="1"/>
  <c r="J145" i="6" s="1"/>
  <c r="H144" i="6"/>
  <c r="I144" i="6" s="1"/>
  <c r="J144" i="6" s="1"/>
  <c r="H143" i="6"/>
  <c r="I143" i="6" s="1"/>
  <c r="J143" i="6" s="1"/>
  <c r="H142" i="6"/>
  <c r="I142" i="6" s="1"/>
  <c r="J142" i="6" s="1"/>
  <c r="H141" i="6"/>
  <c r="I141" i="6" s="1"/>
  <c r="J141" i="6" s="1"/>
  <c r="H140" i="6"/>
  <c r="I140" i="6" s="1"/>
  <c r="J140" i="6" s="1"/>
  <c r="H139" i="6"/>
  <c r="I139" i="6" s="1"/>
  <c r="J139" i="6" s="1"/>
  <c r="H138" i="6"/>
  <c r="I138" i="6" s="1"/>
  <c r="J138" i="6" s="1"/>
  <c r="H137" i="6"/>
  <c r="I137" i="6" s="1"/>
  <c r="H135" i="6"/>
  <c r="I135" i="6" s="1"/>
  <c r="J135" i="6" s="1"/>
  <c r="H134" i="6"/>
  <c r="I134" i="6" s="1"/>
  <c r="J134" i="6" s="1"/>
  <c r="H133" i="6"/>
  <c r="I133" i="6" s="1"/>
  <c r="J133" i="6" s="1"/>
  <c r="H132" i="6"/>
  <c r="I132" i="6" s="1"/>
  <c r="J132" i="6" s="1"/>
  <c r="H131" i="6"/>
  <c r="I131" i="6" s="1"/>
  <c r="H129" i="6"/>
  <c r="I129" i="6" s="1"/>
  <c r="J127" i="6"/>
  <c r="H127" i="6"/>
  <c r="I127" i="6" s="1"/>
  <c r="H126" i="6"/>
  <c r="I126" i="6" s="1"/>
  <c r="J126" i="6" s="1"/>
  <c r="H125" i="6"/>
  <c r="I125" i="6" s="1"/>
  <c r="J125" i="6" s="1"/>
  <c r="H124" i="6"/>
  <c r="I124" i="6" s="1"/>
  <c r="J124" i="6" s="1"/>
  <c r="H123" i="6"/>
  <c r="I123" i="6" s="1"/>
  <c r="H121" i="6"/>
  <c r="I121" i="6" s="1"/>
  <c r="J121" i="6" s="1"/>
  <c r="H120" i="6"/>
  <c r="I120" i="6" s="1"/>
  <c r="J120" i="6" s="1"/>
  <c r="H119" i="6"/>
  <c r="I119" i="6" s="1"/>
  <c r="J119" i="6" s="1"/>
  <c r="H118" i="6"/>
  <c r="I118" i="6" s="1"/>
  <c r="J118" i="6" s="1"/>
  <c r="H117" i="6"/>
  <c r="I117" i="6" s="1"/>
  <c r="J117" i="6" s="1"/>
  <c r="H116" i="6"/>
  <c r="I116" i="6" s="1"/>
  <c r="J116" i="6" s="1"/>
  <c r="H115" i="6"/>
  <c r="I115" i="6" s="1"/>
  <c r="J115" i="6" s="1"/>
  <c r="H114" i="6"/>
  <c r="I114" i="6" s="1"/>
  <c r="H112" i="6"/>
  <c r="I112" i="6" s="1"/>
  <c r="J112" i="6" s="1"/>
  <c r="H111" i="6"/>
  <c r="I111" i="6" s="1"/>
  <c r="J111" i="6" s="1"/>
  <c r="H110" i="6"/>
  <c r="I110" i="6" s="1"/>
  <c r="J110" i="6" s="1"/>
  <c r="H109" i="6"/>
  <c r="I109" i="6" s="1"/>
  <c r="H107" i="6"/>
  <c r="I107" i="6" s="1"/>
  <c r="J107" i="6" s="1"/>
  <c r="H106" i="6"/>
  <c r="I106" i="6" s="1"/>
  <c r="J106" i="6" s="1"/>
  <c r="H105" i="6"/>
  <c r="I105" i="6" s="1"/>
  <c r="J105" i="6" s="1"/>
  <c r="H104" i="6"/>
  <c r="I104" i="6" s="1"/>
  <c r="H102" i="6"/>
  <c r="I102" i="6" s="1"/>
  <c r="J102" i="6" s="1"/>
  <c r="H101" i="6"/>
  <c r="I101" i="6" s="1"/>
  <c r="J101" i="6" s="1"/>
  <c r="H100" i="6"/>
  <c r="I100" i="6" s="1"/>
  <c r="J100" i="6" s="1"/>
  <c r="H99" i="6"/>
  <c r="I99" i="6" s="1"/>
  <c r="J99" i="6" s="1"/>
  <c r="I98" i="6"/>
  <c r="H98" i="6"/>
  <c r="H95" i="6"/>
  <c r="I95" i="6" s="1"/>
  <c r="J95" i="6" s="1"/>
  <c r="H94" i="6"/>
  <c r="I94" i="6" s="1"/>
  <c r="J94" i="6" s="1"/>
  <c r="H93" i="6"/>
  <c r="I93" i="6" s="1"/>
  <c r="H91" i="6"/>
  <c r="I91" i="6" s="1"/>
  <c r="H89" i="6"/>
  <c r="I89" i="6" s="1"/>
  <c r="J89" i="6" s="1"/>
  <c r="H88" i="6"/>
  <c r="I88" i="6" s="1"/>
  <c r="H85" i="6"/>
  <c r="I85" i="6" s="1"/>
  <c r="J85" i="6" s="1"/>
  <c r="H84" i="6"/>
  <c r="I84" i="6" s="1"/>
  <c r="H82" i="6"/>
  <c r="I82" i="6" s="1"/>
  <c r="J82" i="6" s="1"/>
  <c r="H81" i="6"/>
  <c r="I81" i="6" s="1"/>
  <c r="J81" i="6" s="1"/>
  <c r="H80" i="6"/>
  <c r="I80" i="6" s="1"/>
  <c r="I78" i="6"/>
  <c r="H78" i="6"/>
  <c r="H76" i="6"/>
  <c r="I76" i="6" s="1"/>
  <c r="J76" i="6" s="1"/>
  <c r="H75" i="6"/>
  <c r="I75" i="6" s="1"/>
  <c r="J75" i="6" s="1"/>
  <c r="H74" i="6"/>
  <c r="I74" i="6" s="1"/>
  <c r="J74" i="6" s="1"/>
  <c r="H73" i="6"/>
  <c r="I73" i="6" s="1"/>
  <c r="J73" i="6" s="1"/>
  <c r="H71" i="6"/>
  <c r="I71" i="6" s="1"/>
  <c r="J71" i="6" s="1"/>
  <c r="H70" i="6"/>
  <c r="I70" i="6" s="1"/>
  <c r="J70" i="6" s="1"/>
  <c r="H69" i="6"/>
  <c r="I69" i="6" s="1"/>
  <c r="H68" i="6"/>
  <c r="I68" i="6" s="1"/>
  <c r="J68" i="6" s="1"/>
  <c r="H67" i="6"/>
  <c r="I67" i="6" s="1"/>
  <c r="J67" i="6" s="1"/>
  <c r="H66" i="6"/>
  <c r="I66" i="6" s="1"/>
  <c r="J66" i="6" s="1"/>
  <c r="H63" i="6"/>
  <c r="I63" i="6" s="1"/>
  <c r="J63" i="6" s="1"/>
  <c r="H62" i="6"/>
  <c r="I62" i="6" s="1"/>
  <c r="H60" i="6"/>
  <c r="I60" i="6" s="1"/>
  <c r="J60" i="6" s="1"/>
  <c r="H59" i="6"/>
  <c r="I59" i="6" s="1"/>
  <c r="H57" i="6"/>
  <c r="I57" i="6" s="1"/>
  <c r="J57" i="6" s="1"/>
  <c r="H56" i="6"/>
  <c r="I56" i="6" s="1"/>
  <c r="J56" i="6" s="1"/>
  <c r="H55" i="6"/>
  <c r="I55" i="6" s="1"/>
  <c r="H52" i="6"/>
  <c r="I52" i="6" s="1"/>
  <c r="J52" i="6" s="1"/>
  <c r="H51" i="6"/>
  <c r="I51" i="6" s="1"/>
  <c r="J51" i="6" s="1"/>
  <c r="I50" i="6"/>
  <c r="H50" i="6"/>
  <c r="H48" i="6"/>
  <c r="I48" i="6" s="1"/>
  <c r="J48" i="6" s="1"/>
  <c r="H47" i="6"/>
  <c r="I47" i="6" s="1"/>
  <c r="H45" i="6"/>
  <c r="I45" i="6" s="1"/>
  <c r="J45" i="6" s="1"/>
  <c r="H44" i="6"/>
  <c r="I44" i="6" s="1"/>
  <c r="H42" i="6"/>
  <c r="I42" i="6" s="1"/>
  <c r="J42" i="6" s="1"/>
  <c r="H41" i="6"/>
  <c r="I41" i="6" s="1"/>
  <c r="J41" i="6" s="1"/>
  <c r="H40" i="6"/>
  <c r="I40" i="6" s="1"/>
  <c r="J40" i="6" s="1"/>
  <c r="H39" i="6"/>
  <c r="I39" i="6" s="1"/>
  <c r="H36" i="6"/>
  <c r="I36" i="6" s="1"/>
  <c r="J36" i="6" s="1"/>
  <c r="H35" i="6"/>
  <c r="I35" i="6" s="1"/>
  <c r="H33" i="6"/>
  <c r="I33" i="6" s="1"/>
  <c r="J33" i="6" s="1"/>
  <c r="H32" i="6"/>
  <c r="I32" i="6" s="1"/>
  <c r="H29" i="6"/>
  <c r="I29" i="6" s="1"/>
  <c r="J29" i="6" s="1"/>
  <c r="H28" i="6"/>
  <c r="I28" i="6" s="1"/>
  <c r="H26" i="6"/>
  <c r="I26" i="6" s="1"/>
  <c r="J26" i="6" s="1"/>
  <c r="H25" i="6"/>
  <c r="I25" i="6" s="1"/>
  <c r="J25" i="6" s="1"/>
  <c r="H24" i="6"/>
  <c r="I24" i="6" s="1"/>
  <c r="H22" i="6"/>
  <c r="I22" i="6" s="1"/>
  <c r="J22" i="6" s="1"/>
  <c r="H21" i="6"/>
  <c r="I21" i="6" s="1"/>
  <c r="J21" i="6" s="1"/>
  <c r="H20" i="6"/>
  <c r="I20" i="6" s="1"/>
  <c r="H18" i="6"/>
  <c r="I18" i="6" s="1"/>
  <c r="J18" i="6" s="1"/>
  <c r="H17" i="6"/>
  <c r="I17" i="6" s="1"/>
  <c r="J17" i="6" s="1"/>
  <c r="H16" i="6"/>
  <c r="I16" i="6" s="1"/>
  <c r="J16" i="6" s="1"/>
  <c r="H15" i="6"/>
  <c r="I15" i="6" s="1"/>
  <c r="J15" i="6" s="1"/>
  <c r="H14" i="6"/>
  <c r="I14" i="6" s="1"/>
  <c r="J14" i="6" s="1"/>
  <c r="H13" i="6"/>
  <c r="I13" i="6" s="1"/>
  <c r="J13" i="6" s="1"/>
  <c r="I12" i="6"/>
  <c r="J12" i="6" s="1"/>
  <c r="H12" i="6"/>
  <c r="H11" i="6"/>
  <c r="I11" i="6" s="1"/>
  <c r="H37" i="2" l="1"/>
  <c r="I37" i="2" s="1"/>
  <c r="I54" i="6"/>
  <c r="J54" i="6" s="1"/>
  <c r="J88" i="6"/>
  <c r="I87" i="6"/>
  <c r="J204" i="6"/>
  <c r="I203" i="6"/>
  <c r="J203" i="6" s="1"/>
  <c r="J84" i="6"/>
  <c r="I83" i="6"/>
  <c r="J83" i="6" s="1"/>
  <c r="J180" i="6"/>
  <c r="I179" i="6"/>
  <c r="J179" i="6" s="1"/>
  <c r="J32" i="6"/>
  <c r="I31" i="6"/>
  <c r="J44" i="6"/>
  <c r="I43" i="6"/>
  <c r="J43" i="6" s="1"/>
  <c r="J62" i="6"/>
  <c r="I61" i="6"/>
  <c r="J61" i="6" s="1"/>
  <c r="I72" i="6"/>
  <c r="J72" i="6" s="1"/>
  <c r="J80" i="6"/>
  <c r="I79" i="6"/>
  <c r="J79" i="6" s="1"/>
  <c r="J98" i="6"/>
  <c r="I97" i="6"/>
  <c r="J114" i="6"/>
  <c r="I113" i="6"/>
  <c r="J113" i="6" s="1"/>
  <c r="J123" i="6"/>
  <c r="I122" i="6"/>
  <c r="J122" i="6" s="1"/>
  <c r="J195" i="6"/>
  <c r="I194" i="6"/>
  <c r="J194" i="6" s="1"/>
  <c r="J47" i="6"/>
  <c r="I46" i="6"/>
  <c r="J46" i="6" s="1"/>
  <c r="J55" i="6"/>
  <c r="J91" i="6"/>
  <c r="I90" i="6"/>
  <c r="J90" i="6" s="1"/>
  <c r="J197" i="6"/>
  <c r="I196" i="6"/>
  <c r="J196" i="6" s="1"/>
  <c r="J39" i="6"/>
  <c r="I38" i="6"/>
  <c r="J159" i="6"/>
  <c r="I158" i="6"/>
  <c r="J93" i="6"/>
  <c r="I92" i="6"/>
  <c r="J92" i="6" s="1"/>
  <c r="J109" i="6"/>
  <c r="I108" i="6"/>
  <c r="J108" i="6" s="1"/>
  <c r="J149" i="6"/>
  <c r="I148" i="6"/>
  <c r="J148" i="6" s="1"/>
  <c r="I136" i="6"/>
  <c r="J136" i="6" s="1"/>
  <c r="J163" i="6"/>
  <c r="I162" i="6"/>
  <c r="J162" i="6" s="1"/>
  <c r="J28" i="6"/>
  <c r="I27" i="6"/>
  <c r="J24" i="6"/>
  <c r="I23" i="6"/>
  <c r="J23" i="6" s="1"/>
  <c r="J50" i="6"/>
  <c r="I49" i="6"/>
  <c r="J49" i="6" s="1"/>
  <c r="J137" i="6"/>
  <c r="J20" i="6"/>
  <c r="I19" i="6"/>
  <c r="J19" i="6" s="1"/>
  <c r="J59" i="6"/>
  <c r="I58" i="6"/>
  <c r="J58" i="6" s="1"/>
  <c r="J35" i="6"/>
  <c r="I34" i="6"/>
  <c r="J78" i="6"/>
  <c r="I77" i="6"/>
  <c r="J77" i="6" s="1"/>
  <c r="J104" i="6"/>
  <c r="I103" i="6"/>
  <c r="J103" i="6" s="1"/>
  <c r="J129" i="6"/>
  <c r="I128" i="6"/>
  <c r="J128" i="6" s="1"/>
  <c r="J165" i="6"/>
  <c r="I164" i="6"/>
  <c r="J164" i="6" s="1"/>
  <c r="J11" i="6"/>
  <c r="I10" i="6"/>
  <c r="J10" i="6" s="1"/>
  <c r="J131" i="6"/>
  <c r="I130" i="6"/>
  <c r="J130" i="6" s="1"/>
  <c r="J200" i="6"/>
  <c r="I199" i="6"/>
  <c r="J178" i="6"/>
  <c r="I176" i="6"/>
  <c r="J176" i="6" s="1"/>
  <c r="J175" i="6"/>
  <c r="I172" i="6"/>
  <c r="J69" i="6"/>
  <c r="I65" i="6"/>
  <c r="C41" i="4"/>
  <c r="H41" i="4" s="1"/>
  <c r="H42" i="4" s="1"/>
  <c r="C39" i="4"/>
  <c r="H39" i="4" s="1"/>
  <c r="H40" i="4" s="1"/>
  <c r="C37" i="4"/>
  <c r="H37" i="4" s="1"/>
  <c r="C36" i="4"/>
  <c r="H36" i="4"/>
  <c r="C35" i="4"/>
  <c r="H35" i="4"/>
  <c r="H30" i="4"/>
  <c r="H17" i="4" s="1"/>
  <c r="H25" i="4"/>
  <c r="H16" i="4" s="1"/>
  <c r="H13" i="4"/>
  <c r="H9" i="4"/>
  <c r="D40" i="5"/>
  <c r="C40" i="5"/>
  <c r="C41" i="5" s="1"/>
  <c r="D36" i="5"/>
  <c r="C36" i="5"/>
  <c r="D29" i="5"/>
  <c r="C29" i="5"/>
  <c r="D17" i="5"/>
  <c r="C17" i="5"/>
  <c r="J37" i="2" l="1"/>
  <c r="J27" i="6"/>
  <c r="K27" i="6"/>
  <c r="D41" i="5"/>
  <c r="H15" i="4"/>
  <c r="C44" i="4" s="1"/>
  <c r="J34" i="6"/>
  <c r="K34" i="6"/>
  <c r="C42" i="4"/>
  <c r="J199" i="6"/>
  <c r="K199" i="6"/>
  <c r="I86" i="6"/>
  <c r="J86" i="6" s="1"/>
  <c r="J87" i="6"/>
  <c r="I53" i="6"/>
  <c r="J53" i="6" s="1"/>
  <c r="I157" i="6"/>
  <c r="J157" i="6" s="1"/>
  <c r="J158" i="6"/>
  <c r="I37" i="6"/>
  <c r="J38" i="6"/>
  <c r="I96" i="6"/>
  <c r="J96" i="6" s="1"/>
  <c r="J97" i="6"/>
  <c r="I30" i="6"/>
  <c r="J31" i="6"/>
  <c r="I161" i="6"/>
  <c r="J161" i="6" s="1"/>
  <c r="J172" i="6"/>
  <c r="I64" i="6"/>
  <c r="J65" i="6"/>
  <c r="H44" i="4"/>
  <c r="H45" i="4" s="1"/>
  <c r="C45" i="4"/>
  <c r="H38" i="4"/>
  <c r="C40" i="4"/>
  <c r="C38" i="4"/>
  <c r="J37" i="6" l="1"/>
  <c r="K37" i="6"/>
  <c r="L37" i="6"/>
  <c r="C47" i="4"/>
  <c r="J30" i="6"/>
  <c r="K30" i="6"/>
  <c r="H205" i="6"/>
  <c r="J64" i="6"/>
  <c r="H47" i="4"/>
</calcChain>
</file>

<file path=xl/sharedStrings.xml><?xml version="1.0" encoding="utf-8"?>
<sst xmlns="http://schemas.openxmlformats.org/spreadsheetml/2006/main" count="1357" uniqueCount="781">
  <si>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</si>
  <si>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</si>
  <si>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</si>
  <si>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</si>
  <si>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</si>
  <si>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</si>
  <si>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</si>
  <si>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</si>
  <si>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</si>
  <si>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</si>
  <si>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</si>
  <si>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</si>
  <si>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PRELIMINARES</t>
  </si>
  <si>
    <t xml:space="preserve"> 1.1 </t>
  </si>
  <si>
    <t xml:space="preserve"> 010786 </t>
  </si>
  <si>
    <t>SEDOP</t>
  </si>
  <si>
    <t>Aluguel e montagem de andaime metálico</t>
  </si>
  <si>
    <t>M²/Mê</t>
  </si>
  <si>
    <t xml:space="preserve"> 1.2 </t>
  </si>
  <si>
    <t xml:space="preserve"> 010005 </t>
  </si>
  <si>
    <t>Barracão de madeira/Almoxarifado</t>
  </si>
  <si>
    <t>m²</t>
  </si>
  <si>
    <t xml:space="preserve"> 1.3 </t>
  </si>
  <si>
    <t xml:space="preserve"> C0017 </t>
  </si>
  <si>
    <t>Próprio</t>
  </si>
  <si>
    <t>Licenças, taxas da obra e projetos executivo</t>
  </si>
  <si>
    <t>Cj</t>
  </si>
  <si>
    <t xml:space="preserve"> 1.4 </t>
  </si>
  <si>
    <t xml:space="preserve"> 010008 </t>
  </si>
  <si>
    <t>Limpeza do terreno</t>
  </si>
  <si>
    <t xml:space="preserve"> 1.5 </t>
  </si>
  <si>
    <t xml:space="preserve"> 011329 </t>
  </si>
  <si>
    <t>Furo de sondagem - até 15m</t>
  </si>
  <si>
    <t>UN</t>
  </si>
  <si>
    <t xml:space="preserve"> 1.6 </t>
  </si>
  <si>
    <t xml:space="preserve"> 010009 </t>
  </si>
  <si>
    <t>Locação da obra a trena</t>
  </si>
  <si>
    <t xml:space="preserve"> 1.7 </t>
  </si>
  <si>
    <t xml:space="preserve"> 011340 </t>
  </si>
  <si>
    <t>Placa de obra em lona com plotagem de gráfica</t>
  </si>
  <si>
    <t xml:space="preserve"> 1.8 </t>
  </si>
  <si>
    <t xml:space="preserve"> 2 </t>
  </si>
  <si>
    <t>DEMOLIÇÕES E RETIRADAS:</t>
  </si>
  <si>
    <t xml:space="preserve"> 2.1 </t>
  </si>
  <si>
    <t xml:space="preserve"> 020016 </t>
  </si>
  <si>
    <t>Demolição manual de alvenaria de tijolo</t>
  </si>
  <si>
    <t>m³</t>
  </si>
  <si>
    <t xml:space="preserve"> 2.2 </t>
  </si>
  <si>
    <t xml:space="preserve"> 021534 </t>
  </si>
  <si>
    <t>Retirada de forro em PVC, incl. barroteamento</t>
  </si>
  <si>
    <t xml:space="preserve"> 2.3 </t>
  </si>
  <si>
    <t xml:space="preserve"> 020307 </t>
  </si>
  <si>
    <t>Retirada de telhas de barro</t>
  </si>
  <si>
    <t xml:space="preserve"> 3 </t>
  </si>
  <si>
    <t>MOVIMENTO DE TERRA:</t>
  </si>
  <si>
    <t xml:space="preserve"> 3.1 </t>
  </si>
  <si>
    <t xml:space="preserve"> 030011 </t>
  </si>
  <si>
    <t>Aterro incluindo carga, descarga, transporte e apiloamento</t>
  </si>
  <si>
    <t xml:space="preserve"> 3.2 </t>
  </si>
  <si>
    <t xml:space="preserve"> 030010 </t>
  </si>
  <si>
    <t>Escavação manual ate 1.50m de profundidade</t>
  </si>
  <si>
    <t xml:space="preserve"> 3.3 </t>
  </si>
  <si>
    <t xml:space="preserve"> 030254 </t>
  </si>
  <si>
    <t>Reaterro compactado</t>
  </si>
  <si>
    <t xml:space="preserve"> 4 </t>
  </si>
  <si>
    <t>FUNDAÇÕES:</t>
  </si>
  <si>
    <t xml:space="preserve"> 4.1 </t>
  </si>
  <si>
    <t xml:space="preserve"> 040284 </t>
  </si>
  <si>
    <t>Baldrame em concreto armado c/ cinta de amarração</t>
  </si>
  <si>
    <t xml:space="preserve"> 4.2 </t>
  </si>
  <si>
    <t xml:space="preserve"> 040283 </t>
  </si>
  <si>
    <t>Bloco em concreto armado p/ fundaçao (incl. forma)</t>
  </si>
  <si>
    <t xml:space="preserve"> 5 </t>
  </si>
  <si>
    <t>ESTRUTURA:</t>
  </si>
  <si>
    <t xml:space="preserve"> 5.1 </t>
  </si>
  <si>
    <t xml:space="preserve"> 5.1.1 </t>
  </si>
  <si>
    <t xml:space="preserve"> 050736 </t>
  </si>
  <si>
    <t>Concreto c/ seixo FCK=30 MPA (incl. lançamento e adensamento)</t>
  </si>
  <si>
    <t xml:space="preserve"> 5.1.2 </t>
  </si>
  <si>
    <t xml:space="preserve"> 050771 </t>
  </si>
  <si>
    <t>Laje pré-moldada treliçada (Incl. capiamento)</t>
  </si>
  <si>
    <t xml:space="preserve"> 6 </t>
  </si>
  <si>
    <t>PAREDES E PAINEIS:</t>
  </si>
  <si>
    <t xml:space="preserve"> 6.1 </t>
  </si>
  <si>
    <t xml:space="preserve"> 060046 </t>
  </si>
  <si>
    <t>Alvenaria tijolo de barro a cutelo</t>
  </si>
  <si>
    <t xml:space="preserve"> 6.2 </t>
  </si>
  <si>
    <t xml:space="preserve"> 060045 </t>
  </si>
  <si>
    <t>Alvenaria tijolo de barro a singelo</t>
  </si>
  <si>
    <t xml:space="preserve"> 7 </t>
  </si>
  <si>
    <t>COBERTURA:</t>
  </si>
  <si>
    <t xml:space="preserve"> 7.1 </t>
  </si>
  <si>
    <t xml:space="preserve"> 7.1.1 </t>
  </si>
  <si>
    <t xml:space="preserve"> 070308 </t>
  </si>
  <si>
    <t>Encaibramento e ripamento</t>
  </si>
  <si>
    <t xml:space="preserve"> 7.1.2 </t>
  </si>
  <si>
    <t xml:space="preserve"> 071361 </t>
  </si>
  <si>
    <t>Estrutura metálica p/ cobertura - 2 águas-vão 20m</t>
  </si>
  <si>
    <t xml:space="preserve"> 7.1.3 </t>
  </si>
  <si>
    <t xml:space="preserve"> 071492 </t>
  </si>
  <si>
    <t>Estrutura metálica p/ cobertura em arco-vão 20m</t>
  </si>
  <si>
    <t xml:space="preserve"> 7.1.4 </t>
  </si>
  <si>
    <t xml:space="preserve"> 070194 </t>
  </si>
  <si>
    <t>Tesoura em mad. de lei p/ vao de  8.0m</t>
  </si>
  <si>
    <t xml:space="preserve"> 7.2 </t>
  </si>
  <si>
    <t xml:space="preserve"> 7.2.1 </t>
  </si>
  <si>
    <t xml:space="preserve"> 071465 </t>
  </si>
  <si>
    <t>Cobertura - telha em aço galvanizado e=0,5mm</t>
  </si>
  <si>
    <t xml:space="preserve"> 7.2.2 </t>
  </si>
  <si>
    <t xml:space="preserve"> 070058 </t>
  </si>
  <si>
    <t>Cobertura - telha plan</t>
  </si>
  <si>
    <t xml:space="preserve"> 7.3 </t>
  </si>
  <si>
    <t xml:space="preserve"> 7.3.1 </t>
  </si>
  <si>
    <t xml:space="preserve"> 070277 </t>
  </si>
  <si>
    <t>Calha em chapa galvanizada</t>
  </si>
  <si>
    <t>M</t>
  </si>
  <si>
    <t xml:space="preserve"> 7.3.2 </t>
  </si>
  <si>
    <t xml:space="preserve"> 071466 </t>
  </si>
  <si>
    <t>Cumeeira em aço galvanizado</t>
  </si>
  <si>
    <t xml:space="preserve"> 8 </t>
  </si>
  <si>
    <t>IMPERMEABILIZAÇÕES /TRATAMENTOS:</t>
  </si>
  <si>
    <t xml:space="preserve"> 8.1 </t>
  </si>
  <si>
    <t xml:space="preserve"> 080314 </t>
  </si>
  <si>
    <t>Impermeabilização asfáltica para concreto e alvenaria (3 demãos)</t>
  </si>
  <si>
    <t xml:space="preserve"> 8.2 </t>
  </si>
  <si>
    <t xml:space="preserve"> 080152 </t>
  </si>
  <si>
    <t>Impermeabilização de jardineiras</t>
  </si>
  <si>
    <t xml:space="preserve"> 8.3 </t>
  </si>
  <si>
    <t xml:space="preserve"> 080293 </t>
  </si>
  <si>
    <t>Impermeabilização para baldrame</t>
  </si>
  <si>
    <t xml:space="preserve"> 9 </t>
  </si>
  <si>
    <t>ESQUADRIAS:</t>
  </si>
  <si>
    <t xml:space="preserve"> 9.1 </t>
  </si>
  <si>
    <t xml:space="preserve"> 9.1.1 </t>
  </si>
  <si>
    <t xml:space="preserve"> 090805 </t>
  </si>
  <si>
    <t>Alizar em madeira de lei</t>
  </si>
  <si>
    <t xml:space="preserve"> 9.1.2 </t>
  </si>
  <si>
    <t xml:space="preserve"> 090809 </t>
  </si>
  <si>
    <t>Caixilho em madeira de lei</t>
  </si>
  <si>
    <t xml:space="preserve"> 9.1.3 </t>
  </si>
  <si>
    <t>Porta em madeira lambrizada</t>
  </si>
  <si>
    <t xml:space="preserve"> 9.2 </t>
  </si>
  <si>
    <t xml:space="preserve"> 9.2.1 </t>
  </si>
  <si>
    <t>Grade de ferro em metalom  (incl. pint.anti-corrosiva)</t>
  </si>
  <si>
    <t xml:space="preserve"> 9.2.2 </t>
  </si>
  <si>
    <t>Portão de ferro em metalom (incl. pintura anti corrosiva)</t>
  </si>
  <si>
    <t xml:space="preserve"> 9.3 </t>
  </si>
  <si>
    <t xml:space="preserve"> 9.3.1 </t>
  </si>
  <si>
    <t>Esquadria c/ venezianas de aluminio  natural c/ ferragens</t>
  </si>
  <si>
    <t xml:space="preserve"> 9.3.2 </t>
  </si>
  <si>
    <t xml:space="preserve"> 091512 </t>
  </si>
  <si>
    <t>Esquadria de correr em vidro temperado de 8mm</t>
  </si>
  <si>
    <t xml:space="preserve"> 10 </t>
  </si>
  <si>
    <t>FERRAGENS:</t>
  </si>
  <si>
    <t xml:space="preserve"> 10.1 </t>
  </si>
  <si>
    <t xml:space="preserve"> 10.1.1 </t>
  </si>
  <si>
    <t xml:space="preserve"> 100816 </t>
  </si>
  <si>
    <t>Fechadura para porta de banheiro</t>
  </si>
  <si>
    <t xml:space="preserve"> 10.1.2 </t>
  </si>
  <si>
    <t xml:space="preserve"> 100817 </t>
  </si>
  <si>
    <t>Fechadura para porta externa</t>
  </si>
  <si>
    <t xml:space="preserve"> 10.1.3 </t>
  </si>
  <si>
    <t xml:space="preserve"> 100818 </t>
  </si>
  <si>
    <t>Fechadura para porta interna</t>
  </si>
  <si>
    <t xml:space="preserve"> 10.1.4 </t>
  </si>
  <si>
    <t xml:space="preserve"> 10.1.5 </t>
  </si>
  <si>
    <t xml:space="preserve"> 10.1.6 </t>
  </si>
  <si>
    <t xml:space="preserve"> 11 </t>
  </si>
  <si>
    <t>REVESTIMENTOS:</t>
  </si>
  <si>
    <t xml:space="preserve"> 11.1 </t>
  </si>
  <si>
    <t xml:space="preserve"> 110143 </t>
  </si>
  <si>
    <t>Chapisco de cimento e areia no traço 1:3</t>
  </si>
  <si>
    <t xml:space="preserve"> 11.2 </t>
  </si>
  <si>
    <t xml:space="preserve"> 110763 </t>
  </si>
  <si>
    <t>Reboco com argamassa 1:6:Adit. Plast.</t>
  </si>
  <si>
    <t xml:space="preserve"> 11.3 </t>
  </si>
  <si>
    <t xml:space="preserve"> 110644 </t>
  </si>
  <si>
    <t>Revestimento Cerâmico Padrão Médio</t>
  </si>
  <si>
    <t xml:space="preserve"> 12 </t>
  </si>
  <si>
    <t>RODAPES, SOLEIRAS E PEITORIS:</t>
  </si>
  <si>
    <t xml:space="preserve"> 12.1 </t>
  </si>
  <si>
    <t xml:space="preserve"> 120734 </t>
  </si>
  <si>
    <t>Soleira e peitoril - granito preto - e=2cm</t>
  </si>
  <si>
    <t xml:space="preserve"> 13 </t>
  </si>
  <si>
    <t>PISOS:</t>
  </si>
  <si>
    <t xml:space="preserve"> 13.1 </t>
  </si>
  <si>
    <t xml:space="preserve"> 130492 </t>
  </si>
  <si>
    <t>Calçada (incl.alicerce, baldrame e concreto c/ junta seca)</t>
  </si>
  <si>
    <t xml:space="preserve"> 13.2 </t>
  </si>
  <si>
    <t xml:space="preserve"> 130507 </t>
  </si>
  <si>
    <t>Camada impermeabilizadora e=10cm c/ seixo</t>
  </si>
  <si>
    <t xml:space="preserve"> 13.3 </t>
  </si>
  <si>
    <t xml:space="preserve"> 130626 </t>
  </si>
  <si>
    <t>Piso de alta resistência e=8mm c/ resina incl. camada regularizadora</t>
  </si>
  <si>
    <t xml:space="preserve"> 14 </t>
  </si>
  <si>
    <t>FORROS:</t>
  </si>
  <si>
    <t xml:space="preserve"> 14.1 </t>
  </si>
  <si>
    <t xml:space="preserve"> 140348 </t>
  </si>
  <si>
    <t>Barroteamento em madeira de lei p/ forro PVC</t>
  </si>
  <si>
    <t xml:space="preserve"> 14.2 </t>
  </si>
  <si>
    <t xml:space="preserve"> 141336 </t>
  </si>
  <si>
    <t>Forro em lambri de PVC</t>
  </si>
  <si>
    <t xml:space="preserve"> 15 </t>
  </si>
  <si>
    <t>PINTURAS:</t>
  </si>
  <si>
    <t xml:space="preserve"> 15.1 </t>
  </si>
  <si>
    <t>ESMALTE:</t>
  </si>
  <si>
    <t xml:space="preserve"> 15.1.1 </t>
  </si>
  <si>
    <t xml:space="preserve"> 150377 </t>
  </si>
  <si>
    <t>Esmalte s/ madeira c/ selador sem massa</t>
  </si>
  <si>
    <t xml:space="preserve"> 15.1.2 </t>
  </si>
  <si>
    <t xml:space="preserve"> 150491 </t>
  </si>
  <si>
    <t>Esmalte sobre grade de ferro (superf. aparelhada)</t>
  </si>
  <si>
    <t xml:space="preserve"> 15.2 </t>
  </si>
  <si>
    <t>ACRÍLICA:</t>
  </si>
  <si>
    <t xml:space="preserve"> 15.2.1 </t>
  </si>
  <si>
    <t xml:space="preserve"> 150253 </t>
  </si>
  <si>
    <t>Acrilica fosca int./ext. c/massa e selador - 3 demaos</t>
  </si>
  <si>
    <t xml:space="preserve"> 15.3 </t>
  </si>
  <si>
    <t>OUTRAS PINTURAS:</t>
  </si>
  <si>
    <t xml:space="preserve"> 15.3.1 </t>
  </si>
  <si>
    <t xml:space="preserve"> 150207 </t>
  </si>
  <si>
    <t>Acrílica para piso</t>
  </si>
  <si>
    <t xml:space="preserve"> 15.3.2 </t>
  </si>
  <si>
    <t xml:space="preserve"> 150131 </t>
  </si>
  <si>
    <t>Anti-ferruginosa (estrutura metálica de coberturas)</t>
  </si>
  <si>
    <t xml:space="preserve"> 15.3.3 </t>
  </si>
  <si>
    <t xml:space="preserve"> 150286 </t>
  </si>
  <si>
    <t>Pintura s/ telha ceramica</t>
  </si>
  <si>
    <t xml:space="preserve"> 16 </t>
  </si>
  <si>
    <t>INSTALAÇÕES ELÉTRICAS</t>
  </si>
  <si>
    <t xml:space="preserve"> 16.1 </t>
  </si>
  <si>
    <t>QUADROS E CAIXAS:</t>
  </si>
  <si>
    <t xml:space="preserve"> 16.1.1 </t>
  </si>
  <si>
    <t xml:space="preserve"> 170881 </t>
  </si>
  <si>
    <t>Caixa plástica 4"x2"</t>
  </si>
  <si>
    <t xml:space="preserve"> 16.1.2 </t>
  </si>
  <si>
    <t xml:space="preserve"> 171417 </t>
  </si>
  <si>
    <t>Caixa plástica octogonal</t>
  </si>
  <si>
    <t xml:space="preserve"> 16.1.3 </t>
  </si>
  <si>
    <t xml:space="preserve"> 170321 </t>
  </si>
  <si>
    <t>SBC</t>
  </si>
  <si>
    <t>Centro de distribuiçao p/ 12 disjuntores (c/ barramento)</t>
  </si>
  <si>
    <t xml:space="preserve"> 16.1.4 </t>
  </si>
  <si>
    <t xml:space="preserve"> 170887 </t>
  </si>
  <si>
    <t>Centro de distribuição p/ 16 disjuntores (c/ barramento)</t>
  </si>
  <si>
    <t xml:space="preserve"> 16.1.5 </t>
  </si>
  <si>
    <t xml:space="preserve"> 170889 </t>
  </si>
  <si>
    <t>Centro de distribuição p/ 36 disjuntores  (c/ barramento)</t>
  </si>
  <si>
    <t xml:space="preserve"> 16.2 </t>
  </si>
  <si>
    <t>DISJUNTORES:</t>
  </si>
  <si>
    <t xml:space="preserve"> 16.2.1 </t>
  </si>
  <si>
    <t xml:space="preserve"> 170892 </t>
  </si>
  <si>
    <t>Disjuntor 10 DR 2P- 25A 10 mA - PADRÃO DIN</t>
  </si>
  <si>
    <t xml:space="preserve"> 16.2.2 </t>
  </si>
  <si>
    <t xml:space="preserve"> 170330 </t>
  </si>
  <si>
    <t>Disjuntor 1P - 40 e 50A - PADRÃO DIN</t>
  </si>
  <si>
    <t xml:space="preserve"> 16.2.3 </t>
  </si>
  <si>
    <t xml:space="preserve"> 170362 </t>
  </si>
  <si>
    <t>Disjuntor 2P - 6 a 32A - PADRÃO DIN</t>
  </si>
  <si>
    <t xml:space="preserve"> 16.2.4 </t>
  </si>
  <si>
    <t xml:space="preserve"> 170900 </t>
  </si>
  <si>
    <t>Disjuntor 3P - 125A a 225A - PADRÃO DIN</t>
  </si>
  <si>
    <t xml:space="preserve"> 16.3 </t>
  </si>
  <si>
    <t>ELETRODUTOS,CONDULETES E CALHAS:</t>
  </si>
  <si>
    <t xml:space="preserve"> 16.3.1 </t>
  </si>
  <si>
    <t xml:space="preserve"> 171021 </t>
  </si>
  <si>
    <t>Eletroduto de F°G° de 2 1/2"</t>
  </si>
  <si>
    <t xml:space="preserve"> 16.3.2 </t>
  </si>
  <si>
    <t xml:space="preserve"> 170078 </t>
  </si>
  <si>
    <t>Eletroduto PVC Rígido de 1"</t>
  </si>
  <si>
    <t xml:space="preserve"> 16.3.3 </t>
  </si>
  <si>
    <t xml:space="preserve"> 170074 </t>
  </si>
  <si>
    <t>Eletroduto PVC Rígido de 2 1/2"</t>
  </si>
  <si>
    <t xml:space="preserve"> 16.3.4 </t>
  </si>
  <si>
    <t xml:space="preserve"> 170076 </t>
  </si>
  <si>
    <t>Eletroduto PVC Rígido de 3/4"</t>
  </si>
  <si>
    <t xml:space="preserve"> 16.4 </t>
  </si>
  <si>
    <t>CABOS:</t>
  </si>
  <si>
    <t xml:space="preserve"> 16.4.1 </t>
  </si>
  <si>
    <t xml:space="preserve"> 170743 </t>
  </si>
  <si>
    <t>Cabo de cobre   2,5mm2 - 1 KV</t>
  </si>
  <si>
    <t xml:space="preserve"> 16.4.2 </t>
  </si>
  <si>
    <t xml:space="preserve"> 170744 </t>
  </si>
  <si>
    <t>Cabo de cobre   4mm2 - 1 KV</t>
  </si>
  <si>
    <t xml:space="preserve"> 16.4.3 </t>
  </si>
  <si>
    <t xml:space="preserve"> 170745 </t>
  </si>
  <si>
    <t>Cabo de cobre   6mm2 - 1  KV</t>
  </si>
  <si>
    <t xml:space="preserve"> 16.4.4 </t>
  </si>
  <si>
    <t xml:space="preserve"> 170747 </t>
  </si>
  <si>
    <t>Cabo de cobre  16mm2 - 1 KV</t>
  </si>
  <si>
    <t xml:space="preserve"> 16.4.5 </t>
  </si>
  <si>
    <t xml:space="preserve"> 170749 </t>
  </si>
  <si>
    <t>Cabo de cobre  35mm2 - 1 KV</t>
  </si>
  <si>
    <t xml:space="preserve"> 16.4.6 </t>
  </si>
  <si>
    <t xml:space="preserve"> 170750 </t>
  </si>
  <si>
    <t>Cabo de cobre  50mm2 - 1 KV</t>
  </si>
  <si>
    <t xml:space="preserve"> 16.4.7 </t>
  </si>
  <si>
    <t xml:space="preserve"> 171272 </t>
  </si>
  <si>
    <t>Cabo de cobre nú 35mm²</t>
  </si>
  <si>
    <t xml:space="preserve"> 16.4.8 </t>
  </si>
  <si>
    <t xml:space="preserve"> 171273 </t>
  </si>
  <si>
    <t>Cabo de cobre nú 50mm²</t>
  </si>
  <si>
    <t xml:space="preserve"> 16.5 </t>
  </si>
  <si>
    <t>PONTOS, TOMADAS E INTERRUPTORES:</t>
  </si>
  <si>
    <t xml:space="preserve"> 16.5.1 </t>
  </si>
  <si>
    <t xml:space="preserve"> 170332 </t>
  </si>
  <si>
    <t>Interruptor 1 tecla simples (s/fiaçao)</t>
  </si>
  <si>
    <t xml:space="preserve"> 16.5.2 </t>
  </si>
  <si>
    <t xml:space="preserve"> 170334 </t>
  </si>
  <si>
    <t>Interruptor 2 teclas simples (s/fiaçao)</t>
  </si>
  <si>
    <t xml:space="preserve"> 16.5.3 </t>
  </si>
  <si>
    <t xml:space="preserve"> 170338 </t>
  </si>
  <si>
    <t>Interruptor 3 teclas simples (s/fiaçao)</t>
  </si>
  <si>
    <t xml:space="preserve"> 16.5.4 </t>
  </si>
  <si>
    <t xml:space="preserve"> 170081 </t>
  </si>
  <si>
    <t>Ponto de luz / força (c/tubul., cx. e fiaçao) ate 200W</t>
  </si>
  <si>
    <t xml:space="preserve"> 16.5.5 </t>
  </si>
  <si>
    <t xml:space="preserve"> 170339 </t>
  </si>
  <si>
    <t>Tomada 2P+T 10A (s/fiaçao)</t>
  </si>
  <si>
    <t xml:space="preserve"> 16.6 </t>
  </si>
  <si>
    <t>LUMINÁRIAS:</t>
  </si>
  <si>
    <t xml:space="preserve"> 16.6.1 </t>
  </si>
  <si>
    <t xml:space="preserve"> 170975 </t>
  </si>
  <si>
    <t>Refletor aluminio c/ lâmp mista 250W E-27</t>
  </si>
  <si>
    <t xml:space="preserve"> 16.7 </t>
  </si>
  <si>
    <t>ALIMENTAÇÃO, MEDIÇÃO, PROTEÇÃO E MOTORES:</t>
  </si>
  <si>
    <t xml:space="preserve"> 16.7.1 </t>
  </si>
  <si>
    <t xml:space="preserve"> 170381 </t>
  </si>
  <si>
    <t>Cordoalha de cobre nu - seçao 35 a 50mm2 - isoladores</t>
  </si>
  <si>
    <t xml:space="preserve"> 16.7.2 </t>
  </si>
  <si>
    <t xml:space="preserve"> 170382 </t>
  </si>
  <si>
    <t>Cordoalha de cobre nu - seçao 70 a 90mm2 - isoladores</t>
  </si>
  <si>
    <t xml:space="preserve"> 16.7.3 </t>
  </si>
  <si>
    <t xml:space="preserve"> 170378 </t>
  </si>
  <si>
    <t>Pára-Raio latao cromado tipo Franklin (s/acess.)</t>
  </si>
  <si>
    <t xml:space="preserve"> 16.7.4 </t>
  </si>
  <si>
    <t xml:space="preserve"> 170656 </t>
  </si>
  <si>
    <t>Poste concr.300-DN, h=11m(incl.base concr.ciclópico)</t>
  </si>
  <si>
    <t xml:space="preserve"> 16.7.5 </t>
  </si>
  <si>
    <t xml:space="preserve"> 170695 </t>
  </si>
  <si>
    <t>Subestação aérea c/ transformador 150 KVA (incl.poste, acessorios e cabine de mediçao)</t>
  </si>
  <si>
    <t xml:space="preserve"> 16.8 </t>
  </si>
  <si>
    <t>ACESSÓRIOS E CONEXÕES (I)</t>
  </si>
  <si>
    <t xml:space="preserve"> 16.8.1 </t>
  </si>
  <si>
    <t xml:space="preserve"> 171136 </t>
  </si>
  <si>
    <t>Braçadeira tipo chavite 1"</t>
  </si>
  <si>
    <t xml:space="preserve"> 16.8.2 </t>
  </si>
  <si>
    <t xml:space="preserve"> 171123 </t>
  </si>
  <si>
    <t>Conector de emenda para cabo 35 mm²</t>
  </si>
  <si>
    <t xml:space="preserve"> 16.8.3 </t>
  </si>
  <si>
    <t xml:space="preserve"> 171109 </t>
  </si>
  <si>
    <t>Conector para haste de aterramento de 3/4"</t>
  </si>
  <si>
    <t xml:space="preserve"> 16.8.4 </t>
  </si>
  <si>
    <t xml:space="preserve"> 171110 </t>
  </si>
  <si>
    <t>Conector para haste de aterramento de 5/8"</t>
  </si>
  <si>
    <t xml:space="preserve"> 16.8.5 </t>
  </si>
  <si>
    <t xml:space="preserve"> 171112 </t>
  </si>
  <si>
    <t>Conector prensa fios 10 a 20</t>
  </si>
  <si>
    <t xml:space="preserve"> 16.8.6 </t>
  </si>
  <si>
    <t xml:space="preserve"> 171262 </t>
  </si>
  <si>
    <t>Curva  90° p/ elet. F°G° 2" (IE)</t>
  </si>
  <si>
    <t xml:space="preserve"> 16.8.7 </t>
  </si>
  <si>
    <t xml:space="preserve"> 171268 </t>
  </si>
  <si>
    <t>Curva  90° p/ elet. PVC 2" (IE)</t>
  </si>
  <si>
    <t xml:space="preserve"> 16.8.8 </t>
  </si>
  <si>
    <t xml:space="preserve"> 171049 </t>
  </si>
  <si>
    <t>Luva p/ elet. PVC de 2" (IE)</t>
  </si>
  <si>
    <t xml:space="preserve"> 16.8.9 </t>
  </si>
  <si>
    <t xml:space="preserve"> 171066 </t>
  </si>
  <si>
    <t>Suporte isolador simples</t>
  </si>
  <si>
    <t xml:space="preserve"> 16.8.10 </t>
  </si>
  <si>
    <t xml:space="preserve"> 171074 </t>
  </si>
  <si>
    <t>Terminal de compressão em latão  35mm²</t>
  </si>
  <si>
    <t xml:space="preserve"> 16.8.11 </t>
  </si>
  <si>
    <t xml:space="preserve"> 171071 </t>
  </si>
  <si>
    <t>Terminal de compressão em latão 16mm²</t>
  </si>
  <si>
    <t xml:space="preserve"> 16.9 </t>
  </si>
  <si>
    <t>ACESSÓRIOS E CONEXÕES (II)</t>
  </si>
  <si>
    <t xml:space="preserve"> 16.9.1 </t>
  </si>
  <si>
    <t xml:space="preserve"> 171143 </t>
  </si>
  <si>
    <t>Base para mastro 1 1/2"</t>
  </si>
  <si>
    <t xml:space="preserve"> 16.9.2 </t>
  </si>
  <si>
    <t xml:space="preserve"> 171144 </t>
  </si>
  <si>
    <t>Base para relé fotoelétrico</t>
  </si>
  <si>
    <t xml:space="preserve"> 16.9.3 </t>
  </si>
  <si>
    <t xml:space="preserve"> 171147 </t>
  </si>
  <si>
    <t>Braçadeira tipo cunha c/ parafuso</t>
  </si>
  <si>
    <t xml:space="preserve"> 16.9.4 </t>
  </si>
  <si>
    <t xml:space="preserve"> 171301 </t>
  </si>
  <si>
    <t>Bucha e arruela de alumínio de     3/4"</t>
  </si>
  <si>
    <t xml:space="preserve"> 16.9.5 </t>
  </si>
  <si>
    <t xml:space="preserve"> 171163 </t>
  </si>
  <si>
    <t>Haste de Aço cobreada 3/4"x3m c/ conector</t>
  </si>
  <si>
    <t xml:space="preserve"> 16.9.6 </t>
  </si>
  <si>
    <t xml:space="preserve"> 171165 </t>
  </si>
  <si>
    <t>Haste de Aço cobreada 5/8"x3,0m c/ conector</t>
  </si>
  <si>
    <t xml:space="preserve"> 16.9.7 </t>
  </si>
  <si>
    <t xml:space="preserve"> 171299 </t>
  </si>
  <si>
    <t>Ponto de solda exotérmica</t>
  </si>
  <si>
    <t>PT</t>
  </si>
  <si>
    <t xml:space="preserve"> 16.9.8 </t>
  </si>
  <si>
    <t xml:space="preserve"> 171415 </t>
  </si>
  <si>
    <t>Unidut múltiplo Ø 3/4"</t>
  </si>
  <si>
    <t xml:space="preserve"> 17 </t>
  </si>
  <si>
    <t>INSTALAÇÕES DE AR CONDICIONADO:</t>
  </si>
  <si>
    <t xml:space="preserve"> 17.1 </t>
  </si>
  <si>
    <t>PONTOS</t>
  </si>
  <si>
    <t xml:space="preserve"> 17.1.1 </t>
  </si>
  <si>
    <t xml:space="preserve"> 231335 </t>
  </si>
  <si>
    <t>Dreno para caixa ar condicionado de parede h=3,0m</t>
  </si>
  <si>
    <t xml:space="preserve"> 17.1.2 </t>
  </si>
  <si>
    <t xml:space="preserve"> 230262 </t>
  </si>
  <si>
    <t>Ponto p/ar condicionado(tubul.,cj.airstop e fiaçao)</t>
  </si>
  <si>
    <t xml:space="preserve"> 18 </t>
  </si>
  <si>
    <t>INSTALAÇÕES HIDR0SSANITÁRIAS:</t>
  </si>
  <si>
    <t xml:space="preserve"> 18.1 </t>
  </si>
  <si>
    <t>AGUA FRIA: TUBOS,VÁLVULAS E REGISTROS</t>
  </si>
  <si>
    <t xml:space="preserve"> 18.1.1 </t>
  </si>
  <si>
    <t xml:space="preserve"> 180299 </t>
  </si>
  <si>
    <t>Ponto de agua (incl. tubos e conexoes)</t>
  </si>
  <si>
    <t xml:space="preserve"> 18.2 </t>
  </si>
  <si>
    <t>ESGOTO: TUBOS,FOSSAS,SUMIDOUROS E CAIXAS</t>
  </si>
  <si>
    <t xml:space="preserve"> 18.2.1 </t>
  </si>
  <si>
    <t xml:space="preserve"> 180678 </t>
  </si>
  <si>
    <t>Caixa em alvenaria de  60x60x60cm c/ tpo. concreto</t>
  </si>
  <si>
    <t xml:space="preserve"> 18.2.2 </t>
  </si>
  <si>
    <t xml:space="preserve"> 180687 </t>
  </si>
  <si>
    <t>Caixa em alvenaria de 100x100x100cm c/ tpo. concreto</t>
  </si>
  <si>
    <t xml:space="preserve"> 18.2.3 </t>
  </si>
  <si>
    <t xml:space="preserve"> 180417 </t>
  </si>
  <si>
    <t>Filtro anaerobico conc.arm. d=1.4m p=1.8m</t>
  </si>
  <si>
    <t xml:space="preserve"> 18.2.4 </t>
  </si>
  <si>
    <t xml:space="preserve"> 180548 </t>
  </si>
  <si>
    <t>Fossa septica em concreto armado - cap=150 pessoas</t>
  </si>
  <si>
    <t xml:space="preserve"> 18.2.5 </t>
  </si>
  <si>
    <t xml:space="preserve"> 180214 </t>
  </si>
  <si>
    <t>Ponto de esgoto (incl. tubos, conexoes,cx. e ralos)</t>
  </si>
  <si>
    <t xml:space="preserve"> 18.2.6 </t>
  </si>
  <si>
    <t xml:space="preserve"> 180540 </t>
  </si>
  <si>
    <t>Sumidouro em alvenaria c/ tpo.em concreto - cap=150 pessoas</t>
  </si>
  <si>
    <t xml:space="preserve"> 18.2.7 </t>
  </si>
  <si>
    <t xml:space="preserve"> 180650 </t>
  </si>
  <si>
    <t>Tubo em PVC - 200mm (LS)</t>
  </si>
  <si>
    <t xml:space="preserve"> 18.3 </t>
  </si>
  <si>
    <t>AGUAS PLUVIAIS:</t>
  </si>
  <si>
    <t xml:space="preserve"> 18.3.1 </t>
  </si>
  <si>
    <t xml:space="preserve"> 180592 </t>
  </si>
  <si>
    <t>Condutor em PVC rigido soldavel - 100mm</t>
  </si>
  <si>
    <t xml:space="preserve"> 18.3.2 </t>
  </si>
  <si>
    <t xml:space="preserve"> 180315 </t>
  </si>
  <si>
    <t>Condutor em PVC rigido soldavel 150mm</t>
  </si>
  <si>
    <t xml:space="preserve"> 19 </t>
  </si>
  <si>
    <t>INSTALAÇÕES DE PROTEÇÃO/COMBATE A INCÊNDIO:</t>
  </si>
  <si>
    <t xml:space="preserve"> 19.1 </t>
  </si>
  <si>
    <t xml:space="preserve"> 201507 </t>
  </si>
  <si>
    <t>Extintor de incêndio ABC -  6Kg</t>
  </si>
  <si>
    <t xml:space="preserve"> 19.2 </t>
  </si>
  <si>
    <t xml:space="preserve"> 058110 </t>
  </si>
  <si>
    <t>CENTRAL DE ALARME DE INCENDIO INTELBRAS CIE 1125 ENDERECAVEL</t>
  </si>
  <si>
    <t xml:space="preserve"> 20 </t>
  </si>
  <si>
    <t>APARELHOS, LOUÇAS, METAIS E ACESSÓRIOS SANITÁRIOS:</t>
  </si>
  <si>
    <t xml:space="preserve"> 20.1 </t>
  </si>
  <si>
    <t xml:space="preserve"> 191522 </t>
  </si>
  <si>
    <t>Acabamento p/ registro de gaveta</t>
  </si>
  <si>
    <t xml:space="preserve"> 20.2 </t>
  </si>
  <si>
    <t xml:space="preserve"> 191523 </t>
  </si>
  <si>
    <t>Acabamento p/ registro de pressão</t>
  </si>
  <si>
    <t xml:space="preserve"> 20.3 </t>
  </si>
  <si>
    <t xml:space="preserve"> 190609 </t>
  </si>
  <si>
    <t>Bacia sifonada c/cx. descarga acoplada c/ assento</t>
  </si>
  <si>
    <t xml:space="preserve"> 20.4 </t>
  </si>
  <si>
    <t xml:space="preserve"> 190716 </t>
  </si>
  <si>
    <t>Barra em aço inox (PCD)</t>
  </si>
  <si>
    <t xml:space="preserve"> 20.5 </t>
  </si>
  <si>
    <t xml:space="preserve"> 190218 </t>
  </si>
  <si>
    <t>Chuveiro em PVC</t>
  </si>
  <si>
    <t xml:space="preserve"> 20.6 </t>
  </si>
  <si>
    <t xml:space="preserve"> 190787 </t>
  </si>
  <si>
    <t>Cuba de louça de embutir</t>
  </si>
  <si>
    <t xml:space="preserve"> 20.7 </t>
  </si>
  <si>
    <t xml:space="preserve"> 190691 </t>
  </si>
  <si>
    <t>Ducha higienica cromada</t>
  </si>
  <si>
    <t xml:space="preserve"> 20.8 </t>
  </si>
  <si>
    <t xml:space="preserve"> 190790 </t>
  </si>
  <si>
    <t>Engate plástico</t>
  </si>
  <si>
    <t xml:space="preserve"> 20.9 </t>
  </si>
  <si>
    <t xml:space="preserve"> 190797 </t>
  </si>
  <si>
    <t>Porta papel higiênico - Polipropileno</t>
  </si>
  <si>
    <t xml:space="preserve"> 20.10 </t>
  </si>
  <si>
    <t xml:space="preserve"> 190795 </t>
  </si>
  <si>
    <t>Porta toalha de papel - Polipropileno</t>
  </si>
  <si>
    <t xml:space="preserve"> 20.11 </t>
  </si>
  <si>
    <t xml:space="preserve"> 190794 </t>
  </si>
  <si>
    <t>Saboneteira c/ reservatório - Polipropileno</t>
  </si>
  <si>
    <t xml:space="preserve"> 20.12 </t>
  </si>
  <si>
    <t xml:space="preserve"> 190852 </t>
  </si>
  <si>
    <t>Sifão PVC pia / lavatório - plástico</t>
  </si>
  <si>
    <t xml:space="preserve"> 20.13 </t>
  </si>
  <si>
    <t xml:space="preserve"> 190097 </t>
  </si>
  <si>
    <t>Torneira cromada de 1/2" p/ jardim</t>
  </si>
  <si>
    <t xml:space="preserve"> 20.14 </t>
  </si>
  <si>
    <t xml:space="preserve"> 191517 </t>
  </si>
  <si>
    <t>Torneira de metal cromada de 1/2" ou 3/4" p/ lavatório</t>
  </si>
  <si>
    <t xml:space="preserve"> 21 </t>
  </si>
  <si>
    <t>SERRALHERIA:</t>
  </si>
  <si>
    <t xml:space="preserve"> 21.1 </t>
  </si>
  <si>
    <t xml:space="preserve"> C0018 </t>
  </si>
  <si>
    <t>Placa de inauguração metálica 0,47x0,57m</t>
  </si>
  <si>
    <t>UND</t>
  </si>
  <si>
    <t xml:space="preserve"> 22 </t>
  </si>
  <si>
    <t>ELEMENTOS DE ESCOLA:</t>
  </si>
  <si>
    <t xml:space="preserve"> 22.1 </t>
  </si>
  <si>
    <t xml:space="preserve"> 250532 </t>
  </si>
  <si>
    <t>Banco em concreto c/2 mod.2,75x0,4m (det.12)</t>
  </si>
  <si>
    <t xml:space="preserve"> 22.2 </t>
  </si>
  <si>
    <t xml:space="preserve"> 250523 </t>
  </si>
  <si>
    <t>Prateleiras em mad. de lei (l= 0,3m; e= 3cm)</t>
  </si>
  <si>
    <t xml:space="preserve"> 23 </t>
  </si>
  <si>
    <t>OUTROS ELEMENTOS</t>
  </si>
  <si>
    <t xml:space="preserve"> 23.1 </t>
  </si>
  <si>
    <t xml:space="preserve"> 1777 </t>
  </si>
  <si>
    <t>ORSE</t>
  </si>
  <si>
    <t>Prateleira em compensado, revestida com laminado</t>
  </si>
  <si>
    <t xml:space="preserve"> 23.2 </t>
  </si>
  <si>
    <t xml:space="preserve"> 150104 </t>
  </si>
  <si>
    <t>ESPELHO EM CRISTAL 4mm MOLDURA ALUMINIO-COMPENSADO 9mm</t>
  </si>
  <si>
    <t xml:space="preserve"> 23.3 </t>
  </si>
  <si>
    <t xml:space="preserve"> 251293 </t>
  </si>
  <si>
    <t>Tampo em granito verde Ubatuba</t>
  </si>
  <si>
    <t>Total Geral</t>
  </si>
  <si>
    <t>PREFEITURA MUNICIPAL DE ANANINDEUA - PMA</t>
  </si>
  <si>
    <t>Cronograma Físico e Financeiro</t>
  </si>
  <si>
    <t>Total Por Etapa</t>
  </si>
  <si>
    <t/>
  </si>
  <si>
    <t>100,00%
974,43</t>
  </si>
  <si>
    <t>Porcentagem</t>
  </si>
  <si>
    <t>Custo</t>
  </si>
  <si>
    <t>Porcentagem Acumulado</t>
  </si>
  <si>
    <t>100,0%</t>
  </si>
  <si>
    <t>Custo Acumulado</t>
  </si>
  <si>
    <t>1º Mês</t>
  </si>
  <si>
    <t>2º Mês</t>
  </si>
  <si>
    <t>3º Mês</t>
  </si>
  <si>
    <t>4º Mês</t>
  </si>
  <si>
    <t>5º Mês</t>
  </si>
  <si>
    <t>6º Mês</t>
  </si>
  <si>
    <t>7º Mês</t>
  </si>
  <si>
    <t>8º Mês</t>
  </si>
  <si>
    <t>OBRA: AMPLIAÇÃO DA ESCOLA PADRE PIETRO</t>
  </si>
  <si>
    <t>ANANINDEUA - PA</t>
  </si>
  <si>
    <t>Composições Analíticas com Preço Unitário</t>
  </si>
  <si>
    <t>Composições Principais</t>
  </si>
  <si>
    <t>Tipo</t>
  </si>
  <si>
    <t>Composição</t>
  </si>
  <si>
    <t>SERP - SERVIÇOS PRELIMINARES</t>
  </si>
  <si>
    <t>Insumo</t>
  </si>
  <si>
    <t xml:space="preserve"> INS-377002 </t>
  </si>
  <si>
    <t>LICENÇAS, TAXAS DA OBRA E PROJETO EXECUTIVO</t>
  </si>
  <si>
    <t>Serviços</t>
  </si>
  <si>
    <t>MO sem LS =&gt;</t>
  </si>
  <si>
    <t>LS =&gt;</t>
  </si>
  <si>
    <t>MO com LS =&gt;</t>
  </si>
  <si>
    <t>Valor do BDI =&gt;</t>
  </si>
  <si>
    <t>Valor com BDI =&gt;</t>
  </si>
  <si>
    <t>SEDI - SERVIÇOS DIVERSOS</t>
  </si>
  <si>
    <t>Composição Auxiliar</t>
  </si>
  <si>
    <t xml:space="preserve"> 241318 </t>
  </si>
  <si>
    <t>Placa de inauguração  em aço inox/letras bx. relevo- (40 x 30cm)</t>
  </si>
  <si>
    <t>PREFEITURA MUNICIPAL DE ANANINDEUA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</si>
  <si>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</si>
  <si>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</si>
  <si>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</si>
  <si>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</si>
  <si>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</si>
  <si>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</si>
  <si>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</si>
  <si>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</si>
  <si>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</si>
  <si>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</si>
  <si>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</si>
  <si>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</si>
  <si>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</si>
  <si>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</si>
  <si>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</si>
  <si>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</si>
  <si>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</si>
  <si>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</si>
  <si>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</si>
  <si>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</si>
  <si>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</si>
  <si>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</si>
  <si>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</si>
  <si>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</si>
  <si>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</si>
  <si>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</si>
  <si>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</si>
  <si>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</si>
  <si>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</si>
  <si>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</si>
  <si>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</si>
  <si>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</si>
  <si>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</si>
  <si>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</si>
  <si>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</si>
  <si>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</si>
  <si>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</si>
  <si>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</si>
  <si>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</si>
  <si>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</si>
  <si>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</si>
  <si>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</si>
  <si>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</si>
  <si>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</si>
  <si>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</si>
  <si>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</si>
  <si>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</si>
  <si>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</si>
  <si>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</si>
  <si>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</si>
  <si>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</si>
  <si>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</si>
  <si>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</si>
  <si>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</si>
  <si>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</si>
  <si>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</si>
  <si>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</si>
  <si>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</si>
  <si>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</si>
  <si>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</si>
  <si>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</si>
  <si>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</si>
  <si>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</si>
  <si>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</si>
  <si>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</si>
  <si>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</si>
  <si>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</si>
  <si>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</si>
  <si>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</si>
  <si>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</si>
  <si>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</si>
  <si>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</si>
  <si>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</si>
  <si>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</si>
  <si>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</si>
  <si>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</si>
  <si>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</si>
  <si>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</si>
  <si>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</si>
  <si>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</si>
  <si>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</si>
  <si>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</si>
  <si>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</si>
  <si>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</si>
  <si>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</si>
  <si>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</si>
  <si>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</si>
  <si>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</si>
  <si>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</si>
  <si>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</si>
  <si>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</si>
  <si>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</si>
  <si>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</si>
  <si>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</si>
  <si>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</si>
  <si>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</si>
  <si>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</si>
  <si>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</si>
  <si>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</si>
  <si>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</si>
  <si>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</si>
  <si>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</si>
  <si>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</si>
  <si>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</si>
  <si>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</si>
  <si>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</si>
  <si>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</si>
  <si>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</si>
  <si>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</si>
  <si>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</si>
  <si>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</si>
  <si>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</si>
  <si>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</si>
  <si>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</si>
  <si>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</si>
  <si>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</si>
  <si>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 xml:space="preserve"> 011350 </t>
  </si>
  <si>
    <t>Tapume metálico</t>
  </si>
  <si>
    <t>CONCRETO:</t>
  </si>
  <si>
    <t>TELHAMENTO:</t>
  </si>
  <si>
    <t>CALHAS / CUMEEIRAS:</t>
  </si>
  <si>
    <t>MADEIRA:</t>
  </si>
  <si>
    <t xml:space="preserve"> 090641 </t>
  </si>
  <si>
    <t>FERRO:</t>
  </si>
  <si>
    <t xml:space="preserve"> 090825 </t>
  </si>
  <si>
    <t xml:space="preserve"> 090822 </t>
  </si>
  <si>
    <t>OUTROS MATERIAIS:</t>
  </si>
  <si>
    <t xml:space="preserve"> 091380 </t>
  </si>
  <si>
    <t>P/ PORTAS:</t>
  </si>
  <si>
    <t xml:space="preserve"> 11603 </t>
  </si>
  <si>
    <t>Conjunto de ferragens para porta interna em madeira, de abrir, para banheiro, uma folha, acabamento amarelo - colonial, padrão médio</t>
  </si>
  <si>
    <t>cj</t>
  </si>
  <si>
    <t xml:space="preserve"> 11595 </t>
  </si>
  <si>
    <t>Conjunto de ferragens para porta externa em madeira, de abrir, uma folha, acabamento aço inox, padrão médio</t>
  </si>
  <si>
    <t xml:space="preserve"> 11600 </t>
  </si>
  <si>
    <t>Conjunto de ferragens para porta interna em madeira, de abrir, uma folha, acabamento aço inox, padrão médio</t>
  </si>
  <si>
    <t xml:space="preserve"> 110762 </t>
  </si>
  <si>
    <t>Emboço com argamassa 1:6:Adit. Plast.</t>
  </si>
  <si>
    <t xml:space="preserve"> 11.4 </t>
  </si>
  <si>
    <t xml:space="preserve"> 18.3.3 </t>
  </si>
  <si>
    <t xml:space="preserve"> 057314 </t>
  </si>
  <si>
    <t>CAIXA CAPTACAO COM GRELHA FERRO FUNDIDO 30X30cm</t>
  </si>
  <si>
    <t xml:space="preserve"> 24 </t>
  </si>
  <si>
    <t>SERVIÇOS COMPLEMENTARES</t>
  </si>
  <si>
    <t xml:space="preserve"> 24.1 </t>
  </si>
  <si>
    <t xml:space="preserve"> 270220 </t>
  </si>
  <si>
    <t>Limpeza geral e entrega da obra</t>
  </si>
  <si>
    <t>100,00%
158.572,11</t>
  </si>
  <si>
    <t>100,00%
9.131,39</t>
  </si>
  <si>
    <t>100,00%
210.753,52</t>
  </si>
  <si>
    <t>100,00%
104.048,56</t>
  </si>
  <si>
    <t>50,00%
52.024,28</t>
  </si>
  <si>
    <t>100,00%
46.931,38</t>
  </si>
  <si>
    <t>50,00%
23.465,69</t>
  </si>
  <si>
    <t>100,00%
122.025,14</t>
  </si>
  <si>
    <t>50,00%
61.012,57</t>
  </si>
  <si>
    <t>100,00%
2.798,57</t>
  </si>
  <si>
    <t>50,00%
1.399,29</t>
  </si>
  <si>
    <t>100,00%
34.686,17</t>
  </si>
  <si>
    <t>50,00%
17.343,09</t>
  </si>
  <si>
    <t>100,00%
148.778,13</t>
  </si>
  <si>
    <t>50,00%
74.389,07</t>
  </si>
  <si>
    <t>100,00%
4.296,54</t>
  </si>
  <si>
    <t>50,00%
2.148,27</t>
  </si>
  <si>
    <t>100,00%
17.618,09</t>
  </si>
  <si>
    <t>33,00%
5.813,97</t>
  </si>
  <si>
    <t>34,00%
5.990,15</t>
  </si>
  <si>
    <t>100,00%
12.623,67</t>
  </si>
  <si>
    <t>Obra</t>
  </si>
  <si>
    <t>Bancos</t>
  </si>
  <si>
    <t>B.D.I.</t>
  </si>
  <si>
    <t>Encargos Sociais</t>
  </si>
  <si>
    <t>Ampliação e Adequação na Emef Pe. Pietro Gerosa</t>
  </si>
  <si>
    <t>22,88%</t>
  </si>
  <si>
    <t>Desonerado: 
Horista: 116,32%
Mensalista: 71,26%</t>
  </si>
  <si>
    <t>SINAPI - 09/2022 - Pará SBC - 11/2022 - Pará ORSE - 08/2022 - Sergipe SEDOP - 09/2022 - Pará</t>
  </si>
  <si>
    <t>Desonerado: 
Horista: 116,32% Mensalista: 71,26%</t>
  </si>
  <si>
    <t>SECRETARIA MUNICIPAL DE EDUCAÇÃO</t>
  </si>
  <si>
    <t>SECRETARIA MUNICIPAL DE EDUCAÇÃO SEMED</t>
  </si>
  <si>
    <t>100,00%
278.130,83</t>
  </si>
  <si>
    <t>50,00%
139.065,42</t>
  </si>
  <si>
    <t>100,00%
80.990,05</t>
  </si>
  <si>
    <t>50,00%
40.495,03</t>
  </si>
  <si>
    <t>100,00%
747.369,15</t>
  </si>
  <si>
    <t>33,00%
246.631,82</t>
  </si>
  <si>
    <t>34,00%
254.105,51</t>
  </si>
  <si>
    <t>100,00%
156.218,99</t>
  </si>
  <si>
    <t>25,00%
39.054,75</t>
  </si>
  <si>
    <t>100,00%
384.874,52</t>
  </si>
  <si>
    <t>25,00%
96.218,63</t>
  </si>
  <si>
    <t>100,00%
294.271,63</t>
  </si>
  <si>
    <t>20,00%
58.854,33</t>
  </si>
  <si>
    <t>100,00%
5.700,12</t>
  </si>
  <si>
    <t>16,76%</t>
  </si>
  <si>
    <t>5,82%</t>
  </si>
  <si>
    <t>11,75%</t>
  </si>
  <si>
    <t>19,27%</t>
  </si>
  <si>
    <t>9,24%</t>
  </si>
  <si>
    <t>11,67%</t>
  </si>
  <si>
    <t>6,66%</t>
  </si>
  <si>
    <t>22,58%</t>
  </si>
  <si>
    <t>34,33%</t>
  </si>
  <si>
    <t>53,6%</t>
  </si>
  <si>
    <t>72,43%</t>
  </si>
  <si>
    <t>81,66%</t>
  </si>
  <si>
    <t>93,34%</t>
  </si>
  <si>
    <t>100,00%
6.180,46</t>
  </si>
  <si>
    <t>50,00%
25.478,25</t>
  </si>
  <si>
    <t>20,00%
41.413,47</t>
  </si>
  <si>
    <t>100,00%
207.067,34</t>
  </si>
  <si>
    <t>100,00%
3.890,41</t>
  </si>
  <si>
    <t>100,00%
50.957,89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</si>
</sst>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00000"/>
    <numFmt numFmtId="165" formatCode="_(* #,##0.00_);_(* \(#,##0.00\);_(* &quot;-&quot;??_);_(@_)"/>
    <numFmt numFmtId="166" formatCode="#,##0.00\ %"/>
  </numFmts>
  <fonts count="35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1"/>
    </font>
    <font>
      <sz val="10"/>
      <name val="Swis721 Lt BT"/>
      <family val="2"/>
    </font>
    <font>
      <b/>
      <sz val="12"/>
      <name val="Arial"/>
      <family val="2"/>
    </font>
    <font>
      <sz val="9"/>
      <color rgb="FF000000"/>
      <name val="Ari"/>
    </font>
    <font>
      <b/>
      <sz val="9"/>
      <color rgb="FFFFFFFF"/>
      <name val="Ari"/>
    </font>
    <font>
      <b/>
      <sz val="9"/>
      <color rgb="FF000000"/>
      <name val="Ari"/>
    </font>
    <font>
      <b/>
      <sz val="12"/>
      <color rgb="FF000000"/>
      <name val="Ari"/>
    </font>
    <font>
      <b/>
      <sz val="14"/>
      <color rgb="FF000000"/>
      <name val="Calibri"/>
      <family val="2"/>
    </font>
    <font>
      <b/>
      <sz val="14"/>
      <color rgb="FF333399"/>
      <name val="Calibri"/>
      <family val="2"/>
    </font>
    <font>
      <sz val="11"/>
      <color rgb="FFFFFFFF"/>
      <name val="Calibri"/>
      <family val="2"/>
    </font>
    <font>
      <b/>
      <sz val="11"/>
      <color rgb="FFFFFFFF"/>
      <name val="Calibri"/>
      <family val="2"/>
    </font>
    <font>
      <b/>
      <sz val="14"/>
      <color rgb="FFFFFFFF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sz val="8"/>
      <name val="Arial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0"/>
        <bgColor indexed="64"/>
      </patternFill>
    </fill>
  </fills>
  <borders count="94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55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/>
      <bottom style="thick">
        <color rgb="FFFF5500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CCCCCC"/>
      </bottom>
      <diagonal/>
    </border>
    <border>
      <left style="thin">
        <color auto="1"/>
      </left>
      <right style="thick">
        <color auto="1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ck">
        <color auto="1"/>
      </right>
      <top/>
      <bottom style="thick">
        <color rgb="FFFF5500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thick">
        <color rgb="FF000000"/>
      </top>
      <bottom/>
      <diagonal/>
    </border>
    <border>
      <left/>
      <right style="medium">
        <color indexed="64"/>
      </right>
      <top style="thick">
        <color rgb="FF000000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ck">
        <color rgb="FFFF55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1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" fillId="0" borderId="0"/>
    <xf numFmtId="0" fontId="16" fillId="0" borderId="0"/>
    <xf numFmtId="43" fontId="2" fillId="0" borderId="0" applyFont="0" applyFill="0" applyBorder="0" applyAlignment="0" applyProtection="0"/>
    <xf numFmtId="9" fontId="13" fillId="0" borderId="0" applyFill="0" applyBorder="0" applyAlignment="0" applyProtection="0"/>
    <xf numFmtId="0" fontId="13" fillId="0" borderId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6">
    <xf numFmtId="0" fontId="0" fillId="0" borderId="0" xfId="0"/>
    <xf numFmtId="0" fontId="3" fillId="5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right" vertical="top" wrapText="1"/>
    </xf>
    <xf numFmtId="0" fontId="3" fillId="5" borderId="2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3" fillId="5" borderId="15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right" vertical="top" wrapText="1"/>
    </xf>
    <xf numFmtId="0" fontId="9" fillId="5" borderId="2" xfId="0" applyFont="1" applyFill="1" applyBorder="1" applyAlignment="1">
      <alignment horizontal="center" vertical="top" wrapText="1"/>
    </xf>
    <xf numFmtId="164" fontId="9" fillId="5" borderId="2" xfId="0" applyNumberFormat="1" applyFont="1" applyFill="1" applyBorder="1" applyAlignment="1">
      <alignment horizontal="right" vertical="top" wrapText="1"/>
    </xf>
    <xf numFmtId="4" fontId="9" fillId="5" borderId="2" xfId="0" applyNumberFormat="1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right" vertical="top" wrapText="1"/>
    </xf>
    <xf numFmtId="0" fontId="10" fillId="4" borderId="2" xfId="0" applyFont="1" applyFill="1" applyBorder="1" applyAlignment="1">
      <alignment horizontal="center" vertical="top" wrapText="1"/>
    </xf>
    <xf numFmtId="164" fontId="10" fillId="4" borderId="2" xfId="0" applyNumberFormat="1" applyFont="1" applyFill="1" applyBorder="1" applyAlignment="1">
      <alignment horizontal="right" vertical="top" wrapText="1"/>
    </xf>
    <xf numFmtId="4" fontId="10" fillId="4" borderId="2" xfId="0" applyNumberFormat="1" applyFont="1" applyFill="1" applyBorder="1" applyAlignment="1">
      <alignment horizontal="right" vertical="top" wrapText="1"/>
    </xf>
    <xf numFmtId="0" fontId="9" fillId="5" borderId="1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right" vertical="top" wrapText="1"/>
    </xf>
    <xf numFmtId="0" fontId="10" fillId="3" borderId="2" xfId="0" applyFont="1" applyFill="1" applyBorder="1" applyAlignment="1">
      <alignment horizontal="center" vertical="top" wrapText="1"/>
    </xf>
    <xf numFmtId="164" fontId="10" fillId="3" borderId="2" xfId="0" applyNumberFormat="1" applyFont="1" applyFill="1" applyBorder="1" applyAlignment="1">
      <alignment horizontal="right" vertical="top" wrapText="1"/>
    </xf>
    <xf numFmtId="4" fontId="10" fillId="3" borderId="2" xfId="0" applyNumberFormat="1" applyFont="1" applyFill="1" applyBorder="1" applyAlignment="1">
      <alignment horizontal="right" vertical="top" wrapText="1"/>
    </xf>
    <xf numFmtId="0" fontId="3" fillId="5" borderId="56" xfId="0" applyFont="1" applyFill="1" applyBorder="1" applyAlignment="1">
      <alignment horizontal="left" vertical="top" wrapText="1"/>
    </xf>
    <xf numFmtId="0" fontId="3" fillId="5" borderId="57" xfId="0" applyFont="1" applyFill="1" applyBorder="1" applyAlignment="1">
      <alignment horizontal="right" vertical="top" wrapText="1"/>
    </xf>
    <xf numFmtId="0" fontId="9" fillId="5" borderId="56" xfId="0" applyFont="1" applyFill="1" applyBorder="1" applyAlignment="1">
      <alignment horizontal="left" vertical="top" wrapText="1"/>
    </xf>
    <xf numFmtId="4" fontId="9" fillId="5" borderId="57" xfId="0" applyNumberFormat="1" applyFont="1" applyFill="1" applyBorder="1" applyAlignment="1">
      <alignment horizontal="right" vertical="top" wrapText="1"/>
    </xf>
    <xf numFmtId="0" fontId="10" fillId="5" borderId="54" xfId="0" applyFont="1" applyFill="1" applyBorder="1" applyAlignment="1">
      <alignment horizontal="right" vertical="top" wrapText="1"/>
    </xf>
    <xf numFmtId="0" fontId="10" fillId="5" borderId="0" xfId="0" applyFont="1" applyFill="1" applyAlignment="1">
      <alignment horizontal="right" vertical="top" wrapText="1"/>
    </xf>
    <xf numFmtId="4" fontId="10" fillId="5" borderId="0" xfId="0" applyNumberFormat="1" applyFont="1" applyFill="1" applyAlignment="1">
      <alignment horizontal="right" vertical="top" wrapText="1"/>
    </xf>
    <xf numFmtId="4" fontId="10" fillId="5" borderId="55" xfId="0" applyNumberFormat="1" applyFont="1" applyFill="1" applyBorder="1" applyAlignment="1">
      <alignment horizontal="right" vertical="top" wrapText="1"/>
    </xf>
    <xf numFmtId="0" fontId="9" fillId="5" borderId="58" xfId="0" applyFont="1" applyFill="1" applyBorder="1" applyAlignment="1">
      <alignment horizontal="left" vertical="top" wrapText="1"/>
    </xf>
    <xf numFmtId="0" fontId="9" fillId="5" borderId="59" xfId="0" applyFont="1" applyFill="1" applyBorder="1" applyAlignment="1">
      <alignment horizontal="left" vertical="top" wrapText="1"/>
    </xf>
    <xf numFmtId="0" fontId="10" fillId="3" borderId="56" xfId="0" applyFont="1" applyFill="1" applyBorder="1" applyAlignment="1">
      <alignment horizontal="left" vertical="top" wrapText="1"/>
    </xf>
    <xf numFmtId="4" fontId="10" fillId="3" borderId="57" xfId="0" applyNumberFormat="1" applyFont="1" applyFill="1" applyBorder="1" applyAlignment="1">
      <alignment horizontal="right" vertical="top" wrapText="1"/>
    </xf>
    <xf numFmtId="0" fontId="10" fillId="5" borderId="60" xfId="0" applyFont="1" applyFill="1" applyBorder="1" applyAlignment="1">
      <alignment horizontal="right" vertical="top" wrapText="1"/>
    </xf>
    <xf numFmtId="0" fontId="10" fillId="5" borderId="61" xfId="0" applyFont="1" applyFill="1" applyBorder="1" applyAlignment="1">
      <alignment horizontal="right" vertical="top" wrapText="1"/>
    </xf>
    <xf numFmtId="4" fontId="10" fillId="5" borderId="61" xfId="0" applyNumberFormat="1" applyFont="1" applyFill="1" applyBorder="1" applyAlignment="1">
      <alignment horizontal="right" vertical="top" wrapText="1"/>
    </xf>
    <xf numFmtId="4" fontId="10" fillId="5" borderId="62" xfId="0" applyNumberFormat="1" applyFont="1" applyFill="1" applyBorder="1" applyAlignment="1">
      <alignment horizontal="right" vertical="top" wrapText="1"/>
    </xf>
    <xf numFmtId="0" fontId="12" fillId="0" borderId="9" xfId="4" applyFont="1" applyBorder="1" applyAlignment="1">
      <alignment horizontal="center" vertical="center"/>
    </xf>
    <xf numFmtId="0" fontId="13" fillId="0" borderId="9" xfId="4" applyBorder="1" applyAlignment="1">
      <alignment horizontal="center" vertical="center"/>
    </xf>
    <xf numFmtId="0" fontId="13" fillId="0" borderId="9" xfId="4" applyBorder="1" applyAlignment="1">
      <alignment vertical="center"/>
    </xf>
    <xf numFmtId="43" fontId="0" fillId="0" borderId="9" xfId="1" applyFont="1" applyBorder="1" applyAlignment="1">
      <alignment horizontal="center" vertical="center"/>
    </xf>
    <xf numFmtId="0" fontId="12" fillId="0" borderId="9" xfId="4" applyFont="1" applyBorder="1" applyAlignment="1">
      <alignment vertical="center"/>
    </xf>
    <xf numFmtId="165" fontId="12" fillId="0" borderId="9" xfId="4" applyNumberFormat="1" applyFont="1" applyBorder="1" applyAlignment="1">
      <alignment horizontal="center" vertical="center"/>
    </xf>
    <xf numFmtId="0" fontId="13" fillId="0" borderId="9" xfId="4" applyBorder="1" applyAlignment="1">
      <alignment vertical="center" wrapText="1"/>
    </xf>
    <xf numFmtId="165" fontId="13" fillId="0" borderId="9" xfId="4" applyNumberFormat="1" applyBorder="1" applyAlignment="1">
      <alignment horizontal="center" vertical="center"/>
    </xf>
    <xf numFmtId="165" fontId="12" fillId="7" borderId="9" xfId="4" applyNumberFormat="1" applyFont="1" applyFill="1" applyBorder="1" applyAlignment="1">
      <alignment horizontal="center" vertical="center"/>
    </xf>
    <xf numFmtId="0" fontId="13" fillId="0" borderId="0" xfId="4" applyAlignment="1">
      <alignment vertical="center"/>
    </xf>
    <xf numFmtId="0" fontId="13" fillId="0" borderId="0" xfId="4" applyAlignment="1">
      <alignment horizontal="center" vertical="center"/>
    </xf>
    <xf numFmtId="0" fontId="18" fillId="0" borderId="60" xfId="0" applyFont="1" applyBorder="1" applyAlignment="1">
      <alignment vertical="center" wrapText="1"/>
    </xf>
    <xf numFmtId="0" fontId="18" fillId="0" borderId="61" xfId="0" applyFont="1" applyBorder="1" applyAlignment="1">
      <alignment vertical="center" wrapText="1"/>
    </xf>
    <xf numFmtId="0" fontId="18" fillId="0" borderId="65" xfId="0" applyFont="1" applyBorder="1" applyAlignment="1">
      <alignment vertical="center" wrapText="1"/>
    </xf>
    <xf numFmtId="0" fontId="19" fillId="9" borderId="53" xfId="0" applyFont="1" applyFill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0" fontId="20" fillId="0" borderId="67" xfId="0" applyFont="1" applyBorder="1"/>
    <xf numFmtId="0" fontId="20" fillId="0" borderId="68" xfId="0" applyFont="1" applyBorder="1"/>
    <xf numFmtId="0" fontId="20" fillId="0" borderId="69" xfId="0" applyFont="1" applyBorder="1"/>
    <xf numFmtId="2" fontId="18" fillId="0" borderId="70" xfId="0" applyNumberFormat="1" applyFont="1" applyBorder="1" applyAlignment="1">
      <alignment horizontal="center"/>
    </xf>
    <xf numFmtId="0" fontId="18" fillId="0" borderId="71" xfId="0" applyFont="1" applyBorder="1" applyAlignment="1">
      <alignment horizontal="center"/>
    </xf>
    <xf numFmtId="0" fontId="20" fillId="0" borderId="31" xfId="0" applyFont="1" applyBorder="1"/>
    <xf numFmtId="0" fontId="20" fillId="0" borderId="32" xfId="0" applyFont="1" applyBorder="1"/>
    <xf numFmtId="0" fontId="20" fillId="0" borderId="33" xfId="0" applyFont="1" applyBorder="1"/>
    <xf numFmtId="2" fontId="18" fillId="0" borderId="72" xfId="0" applyNumberFormat="1" applyFont="1" applyBorder="1" applyAlignment="1">
      <alignment horizontal="center"/>
    </xf>
    <xf numFmtId="0" fontId="21" fillId="10" borderId="73" xfId="0" applyFont="1" applyFill="1" applyBorder="1"/>
    <xf numFmtId="0" fontId="21" fillId="10" borderId="74" xfId="0" applyFont="1" applyFill="1" applyBorder="1"/>
    <xf numFmtId="0" fontId="21" fillId="10" borderId="75" xfId="0" applyFont="1" applyFill="1" applyBorder="1"/>
    <xf numFmtId="2" fontId="21" fillId="10" borderId="76" xfId="0" applyNumberFormat="1" applyFont="1" applyFill="1" applyBorder="1" applyAlignment="1">
      <alignment horizontal="center"/>
    </xf>
    <xf numFmtId="0" fontId="20" fillId="0" borderId="77" xfId="0" applyFont="1" applyBorder="1"/>
    <xf numFmtId="0" fontId="20" fillId="0" borderId="71" xfId="0" applyFont="1" applyBorder="1" applyAlignment="1">
      <alignment horizontal="center"/>
    </xf>
    <xf numFmtId="0" fontId="18" fillId="0" borderId="31" xfId="0" applyFont="1" applyBorder="1"/>
    <xf numFmtId="0" fontId="18" fillId="0" borderId="32" xfId="0" applyFont="1" applyBorder="1"/>
    <xf numFmtId="0" fontId="18" fillId="0" borderId="33" xfId="0" applyFont="1" applyBorder="1"/>
    <xf numFmtId="0" fontId="21" fillId="10" borderId="78" xfId="0" applyFont="1" applyFill="1" applyBorder="1"/>
    <xf numFmtId="0" fontId="21" fillId="10" borderId="32" xfId="0" applyFont="1" applyFill="1" applyBorder="1"/>
    <xf numFmtId="0" fontId="21" fillId="10" borderId="33" xfId="0" applyFont="1" applyFill="1" applyBorder="1"/>
    <xf numFmtId="2" fontId="21" fillId="10" borderId="72" xfId="0" applyNumberFormat="1" applyFont="1" applyFill="1" applyBorder="1" applyAlignment="1">
      <alignment horizontal="center"/>
    </xf>
    <xf numFmtId="0" fontId="18" fillId="0" borderId="78" xfId="0" applyFont="1" applyBorder="1"/>
    <xf numFmtId="0" fontId="18" fillId="0" borderId="72" xfId="0" applyFont="1" applyBorder="1" applyAlignment="1">
      <alignment horizontal="center" vertical="center" wrapText="1"/>
    </xf>
    <xf numFmtId="0" fontId="21" fillId="10" borderId="71" xfId="0" applyFont="1" applyFill="1" applyBorder="1" applyAlignment="1">
      <alignment horizontal="center"/>
    </xf>
    <xf numFmtId="0" fontId="21" fillId="10" borderId="31" xfId="0" applyFont="1" applyFill="1" applyBorder="1"/>
    <xf numFmtId="2" fontId="20" fillId="10" borderId="71" xfId="0" applyNumberFormat="1" applyFont="1" applyFill="1" applyBorder="1" applyAlignment="1">
      <alignment horizontal="center"/>
    </xf>
    <xf numFmtId="0" fontId="20" fillId="10" borderId="31" xfId="0" applyFont="1" applyFill="1" applyBorder="1"/>
    <xf numFmtId="0" fontId="20" fillId="10" borderId="32" xfId="0" applyFont="1" applyFill="1" applyBorder="1"/>
    <xf numFmtId="0" fontId="20" fillId="10" borderId="33" xfId="0" applyFont="1" applyFill="1" applyBorder="1"/>
    <xf numFmtId="2" fontId="20" fillId="10" borderId="72" xfId="0" applyNumberFormat="1" applyFont="1" applyFill="1" applyBorder="1" applyAlignment="1">
      <alignment horizontal="center"/>
    </xf>
    <xf numFmtId="0" fontId="13" fillId="0" borderId="79" xfId="0" applyFont="1" applyBorder="1"/>
    <xf numFmtId="0" fontId="13" fillId="0" borderId="80" xfId="0" applyFont="1" applyBorder="1"/>
    <xf numFmtId="0" fontId="13" fillId="0" borderId="81" xfId="0" applyFont="1" applyBorder="1"/>
    <xf numFmtId="0" fontId="13" fillId="0" borderId="54" xfId="0" applyFont="1" applyBorder="1"/>
    <xf numFmtId="0" fontId="13" fillId="0" borderId="0" xfId="0" applyFont="1"/>
    <xf numFmtId="43" fontId="22" fillId="0" borderId="55" xfId="6" applyFont="1" applyFill="1" applyBorder="1"/>
    <xf numFmtId="2" fontId="23" fillId="0" borderId="55" xfId="0" applyNumberFormat="1" applyFont="1" applyBorder="1"/>
    <xf numFmtId="0" fontId="24" fillId="11" borderId="54" xfId="0" applyFont="1" applyFill="1" applyBorder="1"/>
    <xf numFmtId="0" fontId="24" fillId="11" borderId="0" xfId="0" applyFont="1" applyFill="1"/>
    <xf numFmtId="0" fontId="25" fillId="11" borderId="0" xfId="0" applyFont="1" applyFill="1"/>
    <xf numFmtId="165" fontId="26" fillId="11" borderId="55" xfId="0" applyNumberFormat="1" applyFont="1" applyFill="1" applyBorder="1"/>
    <xf numFmtId="0" fontId="13" fillId="0" borderId="55" xfId="0" applyFont="1" applyBorder="1"/>
    <xf numFmtId="0" fontId="27" fillId="0" borderId="60" xfId="0" applyFont="1" applyBorder="1" applyAlignment="1">
      <alignment vertical="center"/>
    </xf>
    <xf numFmtId="0" fontId="27" fillId="0" borderId="61" xfId="0" applyFont="1" applyBorder="1" applyAlignment="1">
      <alignment vertical="center"/>
    </xf>
    <xf numFmtId="0" fontId="27" fillId="0" borderId="62" xfId="0" applyFont="1" applyBorder="1" applyAlignment="1">
      <alignment vertical="center"/>
    </xf>
    <xf numFmtId="2" fontId="20" fillId="0" borderId="70" xfId="0" applyNumberFormat="1" applyFont="1" applyBorder="1" applyAlignment="1">
      <alignment horizontal="center" vertical="center"/>
    </xf>
    <xf numFmtId="0" fontId="18" fillId="0" borderId="71" xfId="0" applyFont="1" applyBorder="1" applyAlignment="1">
      <alignment horizontal="center" vertical="center"/>
    </xf>
    <xf numFmtId="2" fontId="28" fillId="0" borderId="72" xfId="0" applyNumberFormat="1" applyFont="1" applyBorder="1" applyAlignment="1">
      <alignment horizontal="center" vertical="center"/>
    </xf>
    <xf numFmtId="0" fontId="18" fillId="0" borderId="82" xfId="0" applyFont="1" applyBorder="1" applyAlignment="1">
      <alignment horizontal="center"/>
    </xf>
    <xf numFmtId="0" fontId="18" fillId="0" borderId="83" xfId="0" applyFont="1" applyBorder="1"/>
    <xf numFmtId="0" fontId="18" fillId="0" borderId="74" xfId="0" applyFont="1" applyBorder="1"/>
    <xf numFmtId="0" fontId="18" fillId="0" borderId="75" xfId="0" applyFont="1" applyBorder="1"/>
    <xf numFmtId="2" fontId="28" fillId="0" borderId="84" xfId="0" applyNumberFormat="1" applyFont="1" applyBorder="1" applyAlignment="1">
      <alignment horizontal="center" vertical="center"/>
    </xf>
    <xf numFmtId="0" fontId="27" fillId="0" borderId="35" xfId="0" applyFont="1" applyBorder="1" applyAlignment="1">
      <alignment vertical="center"/>
    </xf>
    <xf numFmtId="0" fontId="27" fillId="0" borderId="36" xfId="0" applyFont="1" applyBorder="1" applyAlignment="1">
      <alignment vertical="center"/>
    </xf>
    <xf numFmtId="0" fontId="27" fillId="0" borderId="37" xfId="0" applyFont="1" applyBorder="1" applyAlignment="1">
      <alignment vertical="center"/>
    </xf>
    <xf numFmtId="0" fontId="18" fillId="0" borderId="85" xfId="0" applyFont="1" applyBorder="1" applyAlignment="1">
      <alignment horizontal="center" vertical="center"/>
    </xf>
    <xf numFmtId="2" fontId="18" fillId="0" borderId="76" xfId="0" applyNumberFormat="1" applyFont="1" applyBorder="1" applyAlignment="1">
      <alignment horizontal="center" vertical="center"/>
    </xf>
    <xf numFmtId="0" fontId="29" fillId="0" borderId="54" xfId="0" applyFont="1" applyBorder="1" applyAlignment="1">
      <alignment vertical="center" wrapText="1"/>
    </xf>
    <xf numFmtId="0" fontId="29" fillId="0" borderId="0" xfId="0" applyFont="1" applyAlignment="1">
      <alignment vertical="center" wrapText="1"/>
    </xf>
    <xf numFmtId="0" fontId="29" fillId="0" borderId="55" xfId="0" applyFont="1" applyBorder="1" applyAlignment="1">
      <alignment vertical="center" wrapText="1"/>
    </xf>
    <xf numFmtId="0" fontId="30" fillId="0" borderId="54" xfId="0" applyFont="1" applyBorder="1"/>
    <xf numFmtId="0" fontId="30" fillId="0" borderId="0" xfId="0" applyFont="1"/>
    <xf numFmtId="10" fontId="30" fillId="0" borderId="0" xfId="7" applyNumberFormat="1" applyFont="1" applyFill="1" applyBorder="1"/>
    <xf numFmtId="0" fontId="31" fillId="0" borderId="0" xfId="0" applyFont="1"/>
    <xf numFmtId="10" fontId="31" fillId="0" borderId="55" xfId="7" applyNumberFormat="1" applyFont="1" applyFill="1" applyBorder="1"/>
    <xf numFmtId="10" fontId="32" fillId="0" borderId="0" xfId="0" applyNumberFormat="1" applyFont="1"/>
    <xf numFmtId="10" fontId="33" fillId="0" borderId="55" xfId="0" applyNumberFormat="1" applyFont="1" applyBorder="1"/>
    <xf numFmtId="0" fontId="31" fillId="0" borderId="55" xfId="0" applyFont="1" applyBorder="1"/>
    <xf numFmtId="0" fontId="32" fillId="12" borderId="78" xfId="0" applyFont="1" applyFill="1" applyBorder="1" applyAlignment="1">
      <alignment horizontal="right"/>
    </xf>
    <xf numFmtId="0" fontId="32" fillId="12" borderId="32" xfId="0" applyFont="1" applyFill="1" applyBorder="1"/>
    <xf numFmtId="10" fontId="32" fillId="12" borderId="33" xfId="0" applyNumberFormat="1" applyFont="1" applyFill="1" applyBorder="1"/>
    <xf numFmtId="0" fontId="33" fillId="0" borderId="31" xfId="0" applyFont="1" applyBorder="1"/>
    <xf numFmtId="0" fontId="33" fillId="0" borderId="32" xfId="0" applyFont="1" applyBorder="1"/>
    <xf numFmtId="10" fontId="33" fillId="0" borderId="86" xfId="0" applyNumberFormat="1" applyFont="1" applyBorder="1"/>
    <xf numFmtId="0" fontId="31" fillId="0" borderId="54" xfId="0" applyFont="1" applyBorder="1"/>
    <xf numFmtId="0" fontId="31" fillId="0" borderId="55" xfId="0" applyFont="1" applyBorder="1" applyAlignment="1">
      <alignment horizontal="right"/>
    </xf>
    <xf numFmtId="0" fontId="13" fillId="11" borderId="60" xfId="8" applyFill="1" applyBorder="1"/>
    <xf numFmtId="0" fontId="13" fillId="11" borderId="61" xfId="8" applyFill="1" applyBorder="1"/>
    <xf numFmtId="0" fontId="0" fillId="0" borderId="0" xfId="0" applyAlignment="1">
      <alignment vertical="center"/>
    </xf>
    <xf numFmtId="44" fontId="0" fillId="0" borderId="0" xfId="2" applyFont="1" applyAlignment="1">
      <alignment horizontal="center" vertical="center"/>
    </xf>
    <xf numFmtId="10" fontId="0" fillId="0" borderId="0" xfId="3" applyNumberFormat="1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3" fillId="5" borderId="14" xfId="0" applyFont="1" applyFill="1" applyBorder="1" applyAlignment="1">
      <alignment horizontal="left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top" wrapText="1"/>
    </xf>
    <xf numFmtId="0" fontId="9" fillId="13" borderId="9" xfId="0" applyFont="1" applyFill="1" applyBorder="1" applyAlignment="1">
      <alignment horizontal="center" vertical="center" wrapText="1"/>
    </xf>
    <xf numFmtId="0" fontId="9" fillId="13" borderId="71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left" vertical="center" wrapText="1"/>
    </xf>
    <xf numFmtId="166" fontId="9" fillId="13" borderId="72" xfId="0" applyNumberFormat="1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center" vertical="center" wrapText="1"/>
    </xf>
    <xf numFmtId="0" fontId="7" fillId="13" borderId="9" xfId="0" applyFont="1" applyFill="1" applyBorder="1" applyAlignment="1">
      <alignment horizontal="left" vertical="center" wrapText="1"/>
    </xf>
    <xf numFmtId="0" fontId="9" fillId="13" borderId="85" xfId="0" applyFont="1" applyFill="1" applyBorder="1" applyAlignment="1">
      <alignment horizontal="center" vertical="center" wrapText="1"/>
    </xf>
    <xf numFmtId="0" fontId="9" fillId="13" borderId="91" xfId="0" applyFont="1" applyFill="1" applyBorder="1" applyAlignment="1">
      <alignment horizontal="center" vertical="center" wrapText="1"/>
    </xf>
    <xf numFmtId="0" fontId="9" fillId="13" borderId="91" xfId="0" applyFont="1" applyFill="1" applyBorder="1" applyAlignment="1">
      <alignment horizontal="left" vertical="center" wrapText="1"/>
    </xf>
    <xf numFmtId="166" fontId="9" fillId="13" borderId="76" xfId="0" applyNumberFormat="1" applyFont="1" applyFill="1" applyBorder="1" applyAlignment="1">
      <alignment horizontal="center" vertical="center" wrapText="1"/>
    </xf>
    <xf numFmtId="0" fontId="4" fillId="7" borderId="88" xfId="0" applyFont="1" applyFill="1" applyBorder="1" applyAlignment="1">
      <alignment horizontal="center" vertical="center" wrapText="1"/>
    </xf>
    <xf numFmtId="0" fontId="6" fillId="7" borderId="89" xfId="0" applyFont="1" applyFill="1" applyBorder="1" applyAlignment="1">
      <alignment horizontal="center" vertical="center" wrapText="1"/>
    </xf>
    <xf numFmtId="0" fontId="4" fillId="7" borderId="89" xfId="0" applyFont="1" applyFill="1" applyBorder="1" applyAlignment="1">
      <alignment horizontal="center" vertical="center" wrapText="1"/>
    </xf>
    <xf numFmtId="0" fontId="4" fillId="7" borderId="89" xfId="0" applyFont="1" applyFill="1" applyBorder="1" applyAlignment="1">
      <alignment horizontal="left" vertical="center" wrapText="1"/>
    </xf>
    <xf numFmtId="0" fontId="5" fillId="7" borderId="89" xfId="0" applyFont="1" applyFill="1" applyBorder="1" applyAlignment="1">
      <alignment horizontal="center" vertical="center" wrapText="1"/>
    </xf>
    <xf numFmtId="4" fontId="6" fillId="7" borderId="89" xfId="0" applyNumberFormat="1" applyFont="1" applyFill="1" applyBorder="1" applyAlignment="1">
      <alignment horizontal="center" vertical="center" wrapText="1"/>
    </xf>
    <xf numFmtId="44" fontId="6" fillId="7" borderId="89" xfId="2" applyFont="1" applyFill="1" applyBorder="1" applyAlignment="1">
      <alignment horizontal="center" vertical="center" wrapText="1"/>
    </xf>
    <xf numFmtId="10" fontId="6" fillId="7" borderId="90" xfId="3" applyNumberFormat="1" applyFont="1" applyFill="1" applyBorder="1" applyAlignment="1">
      <alignment horizontal="center" vertical="center" wrapText="1"/>
    </xf>
    <xf numFmtId="0" fontId="7" fillId="7" borderId="71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center" vertical="center" wrapText="1"/>
    </xf>
    <xf numFmtId="0" fontId="7" fillId="7" borderId="9" xfId="0" applyFont="1" applyFill="1" applyBorder="1" applyAlignment="1">
      <alignment horizontal="left" vertical="center" wrapText="1"/>
    </xf>
    <xf numFmtId="166" fontId="7" fillId="7" borderId="72" xfId="0" applyNumberFormat="1" applyFont="1" applyFill="1" applyBorder="1" applyAlignment="1">
      <alignment horizontal="center" vertical="center" wrapText="1"/>
    </xf>
    <xf numFmtId="0" fontId="7" fillId="13" borderId="14" xfId="0" applyFont="1" applyFill="1" applyBorder="1" applyAlignment="1">
      <alignment horizontal="left" vertical="center" wrapText="1"/>
    </xf>
    <xf numFmtId="0" fontId="7" fillId="13" borderId="15" xfId="0" applyFont="1" applyFill="1" applyBorder="1" applyAlignment="1">
      <alignment horizontal="left" vertical="center" wrapText="1"/>
    </xf>
    <xf numFmtId="0" fontId="7" fillId="13" borderId="15" xfId="0" applyFont="1" applyFill="1" applyBorder="1" applyAlignment="1">
      <alignment horizontal="center" vertical="center" wrapText="1"/>
    </xf>
    <xf numFmtId="0" fontId="9" fillId="13" borderId="38" xfId="0" applyFont="1" applyFill="1" applyBorder="1" applyAlignment="1">
      <alignment horizontal="center" vertical="center" wrapText="1"/>
    </xf>
    <xf numFmtId="0" fontId="7" fillId="13" borderId="39" xfId="0" applyFont="1" applyFill="1" applyBorder="1" applyAlignment="1">
      <alignment horizontal="center" vertical="center" wrapText="1"/>
    </xf>
    <xf numFmtId="0" fontId="7" fillId="13" borderId="44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left" vertical="center" wrapText="1"/>
    </xf>
    <xf numFmtId="0" fontId="9" fillId="13" borderId="40" xfId="0" applyFont="1" applyFill="1" applyBorder="1" applyAlignment="1">
      <alignment horizontal="center" vertical="center" wrapText="1"/>
    </xf>
    <xf numFmtId="0" fontId="7" fillId="13" borderId="41" xfId="0" applyFont="1" applyFill="1" applyBorder="1" applyAlignment="1">
      <alignment horizontal="center" vertical="center" wrapText="1"/>
    </xf>
    <xf numFmtId="0" fontId="7" fillId="13" borderId="45" xfId="0" applyFont="1" applyFill="1" applyBorder="1" applyAlignment="1">
      <alignment horizontal="center" vertical="center" wrapText="1"/>
    </xf>
    <xf numFmtId="0" fontId="9" fillId="13" borderId="46" xfId="0" applyFont="1" applyFill="1" applyBorder="1" applyAlignment="1">
      <alignment horizontal="center" vertical="center" wrapText="1"/>
    </xf>
    <xf numFmtId="0" fontId="9" fillId="13" borderId="87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44" fontId="7" fillId="7" borderId="9" xfId="2" applyFont="1" applyFill="1" applyBorder="1" applyAlignment="1">
      <alignment horizontal="center" vertical="center" wrapText="1"/>
    </xf>
    <xf numFmtId="44" fontId="9" fillId="13" borderId="9" xfId="2" applyFont="1" applyFill="1" applyBorder="1" applyAlignment="1">
      <alignment horizontal="center" vertical="center" wrapText="1"/>
    </xf>
    <xf numFmtId="44" fontId="9" fillId="13" borderId="91" xfId="2" applyFont="1" applyFill="1" applyBorder="1" applyAlignment="1">
      <alignment horizontal="center" vertical="center" wrapText="1"/>
    </xf>
    <xf numFmtId="44" fontId="0" fillId="0" borderId="0" xfId="0" applyNumberFormat="1"/>
    <xf numFmtId="4" fontId="8" fillId="7" borderId="10" xfId="0" applyNumberFormat="1" applyFont="1" applyFill="1" applyBorder="1" applyAlignment="1">
      <alignment horizontal="center" vertical="center" wrapText="1"/>
    </xf>
    <xf numFmtId="4" fontId="8" fillId="7" borderId="9" xfId="0" applyNumberFormat="1" applyFont="1" applyFill="1" applyBorder="1" applyAlignment="1">
      <alignment horizontal="center" vertical="center" wrapText="1"/>
    </xf>
    <xf numFmtId="10" fontId="8" fillId="7" borderId="15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4" fontId="8" fillId="7" borderId="12" xfId="0" applyNumberFormat="1" applyFont="1" applyFill="1" applyBorder="1" applyAlignment="1">
      <alignment horizontal="center" vertical="center" wrapText="1"/>
    </xf>
    <xf numFmtId="4" fontId="8" fillId="7" borderId="13" xfId="0" applyNumberFormat="1" applyFont="1" applyFill="1" applyBorder="1" applyAlignment="1">
      <alignment horizontal="center" vertical="center" wrapText="1"/>
    </xf>
    <xf numFmtId="44" fontId="15" fillId="7" borderId="52" xfId="2" applyFont="1" applyFill="1" applyBorder="1" applyAlignment="1">
      <alignment horizontal="center" vertical="center" wrapText="1"/>
    </xf>
    <xf numFmtId="44" fontId="15" fillId="7" borderId="27" xfId="2" applyFont="1" applyFill="1" applyBorder="1" applyAlignment="1">
      <alignment horizontal="center" vertical="center" wrapText="1"/>
    </xf>
    <xf numFmtId="44" fontId="15" fillId="7" borderId="53" xfId="2" applyFont="1" applyFill="1" applyBorder="1" applyAlignment="1">
      <alignment horizontal="center" vertical="center" wrapText="1"/>
    </xf>
    <xf numFmtId="0" fontId="8" fillId="5" borderId="71" xfId="0" applyFont="1" applyFill="1" applyBorder="1" applyAlignment="1">
      <alignment horizontal="center" vertical="center" wrapText="1"/>
    </xf>
    <xf numFmtId="0" fontId="8" fillId="5" borderId="9" xfId="0" applyFont="1" applyFill="1" applyBorder="1" applyAlignment="1">
      <alignment horizontal="center" vertical="center" wrapText="1"/>
    </xf>
    <xf numFmtId="44" fontId="8" fillId="5" borderId="9" xfId="2" applyFont="1" applyFill="1" applyBorder="1" applyAlignment="1">
      <alignment horizontal="center" vertical="center" wrapText="1"/>
    </xf>
    <xf numFmtId="0" fontId="8" fillId="5" borderId="72" xfId="0" applyFont="1" applyFill="1" applyBorder="1" applyAlignment="1">
      <alignment horizontal="center" vertical="center" wrapText="1"/>
    </xf>
    <xf numFmtId="0" fontId="3" fillId="5" borderId="85" xfId="0" applyFont="1" applyFill="1" applyBorder="1" applyAlignment="1">
      <alignment horizontal="left" vertical="center" wrapText="1"/>
    </xf>
    <xf numFmtId="0" fontId="3" fillId="5" borderId="91" xfId="0" applyFont="1" applyFill="1" applyBorder="1" applyAlignment="1">
      <alignment horizontal="left" vertical="center" wrapText="1"/>
    </xf>
    <xf numFmtId="0" fontId="8" fillId="5" borderId="91" xfId="0" applyFont="1" applyFill="1" applyBorder="1" applyAlignment="1">
      <alignment horizontal="left" vertical="center" wrapText="1"/>
    </xf>
    <xf numFmtId="0" fontId="8" fillId="5" borderId="7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14" fillId="0" borderId="20" xfId="4" applyFont="1" applyBorder="1" applyAlignment="1">
      <alignment horizontal="center" vertical="center"/>
    </xf>
    <xf numFmtId="0" fontId="14" fillId="0" borderId="21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0" fontId="14" fillId="0" borderId="25" xfId="4" applyFont="1" applyBorder="1" applyAlignment="1">
      <alignment horizontal="center" vertical="center"/>
    </xf>
    <xf numFmtId="0" fontId="14" fillId="0" borderId="23" xfId="4" applyFont="1" applyBorder="1" applyAlignment="1">
      <alignment horizontal="center" vertical="center" wrapText="1"/>
    </xf>
    <xf numFmtId="0" fontId="14" fillId="0" borderId="24" xfId="4" applyFont="1" applyBorder="1" applyAlignment="1">
      <alignment horizontal="center" vertical="center" wrapText="1"/>
    </xf>
    <xf numFmtId="0" fontId="14" fillId="0" borderId="25" xfId="4" applyFont="1" applyBorder="1" applyAlignment="1">
      <alignment horizontal="center" vertical="center" wrapText="1"/>
    </xf>
    <xf numFmtId="0" fontId="14" fillId="0" borderId="26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28" xfId="4" applyFont="1" applyBorder="1" applyAlignment="1">
      <alignment horizontal="center" vertical="center"/>
    </xf>
    <xf numFmtId="0" fontId="3" fillId="5" borderId="88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center" vertical="center" wrapText="1"/>
    </xf>
    <xf numFmtId="44" fontId="3" fillId="5" borderId="89" xfId="2" applyFont="1" applyFill="1" applyBorder="1" applyAlignment="1">
      <alignment horizontal="center" vertical="center" wrapText="1"/>
    </xf>
    <xf numFmtId="0" fontId="3" fillId="5" borderId="90" xfId="0" applyFont="1" applyFill="1" applyBorder="1" applyAlignment="1">
      <alignment horizontal="center" vertical="center" wrapText="1"/>
    </xf>
    <xf numFmtId="0" fontId="8" fillId="7" borderId="14" xfId="0" applyFont="1" applyFill="1" applyBorder="1" applyAlignment="1">
      <alignment horizontal="center" vertical="center" wrapText="1"/>
    </xf>
    <xf numFmtId="0" fontId="8" fillId="7" borderId="15" xfId="0" applyFont="1" applyFill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0" fontId="8" fillId="7" borderId="11" xfId="0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4" fillId="0" borderId="3" xfId="4" applyFont="1" applyBorder="1" applyAlignment="1">
      <alignment horizontal="center" vertical="center"/>
    </xf>
    <xf numFmtId="0" fontId="14" fillId="0" borderId="4" xfId="4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7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 wrapText="1"/>
    </xf>
    <xf numFmtId="0" fontId="14" fillId="0" borderId="0" xfId="4" applyFont="1" applyAlignment="1">
      <alignment horizontal="center" vertical="center" wrapText="1"/>
    </xf>
    <xf numFmtId="0" fontId="14" fillId="0" borderId="7" xfId="4" applyFont="1" applyBorder="1" applyAlignment="1">
      <alignment horizontal="center" vertical="center" wrapText="1"/>
    </xf>
    <xf numFmtId="0" fontId="3" fillId="5" borderId="42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8" fillId="5" borderId="83" xfId="0" applyFont="1" applyFill="1" applyBorder="1" applyAlignment="1">
      <alignment horizontal="left" vertical="center" wrapText="1"/>
    </xf>
    <xf numFmtId="0" fontId="8" fillId="5" borderId="74" xfId="0" applyFont="1" applyFill="1" applyBorder="1" applyAlignment="1">
      <alignment horizontal="left" vertical="center" wrapText="1"/>
    </xf>
    <xf numFmtId="0" fontId="8" fillId="5" borderId="92" xfId="0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top" wrapText="1"/>
    </xf>
    <xf numFmtId="0" fontId="9" fillId="5" borderId="2" xfId="0" applyFont="1" applyFill="1" applyBorder="1" applyAlignment="1">
      <alignment horizontal="left" vertical="top" wrapText="1"/>
    </xf>
    <xf numFmtId="0" fontId="10" fillId="3" borderId="2" xfId="0" applyFont="1" applyFill="1" applyBorder="1" applyAlignment="1">
      <alignment horizontal="left" vertical="top" wrapText="1"/>
    </xf>
    <xf numFmtId="0" fontId="10" fillId="5" borderId="61" xfId="0" applyFont="1" applyFill="1" applyBorder="1" applyAlignment="1">
      <alignment horizontal="right" vertical="top" wrapText="1"/>
    </xf>
    <xf numFmtId="0" fontId="14" fillId="0" borderId="47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14" fillId="0" borderId="49" xfId="4" applyFont="1" applyBorder="1" applyAlignment="1">
      <alignment horizontal="center" vertical="center"/>
    </xf>
    <xf numFmtId="0" fontId="14" fillId="0" borderId="50" xfId="4" applyFont="1" applyBorder="1" applyAlignment="1">
      <alignment horizontal="center" vertical="center"/>
    </xf>
    <xf numFmtId="0" fontId="14" fillId="0" borderId="51" xfId="4" applyFont="1" applyBorder="1" applyAlignment="1">
      <alignment horizontal="center" vertical="center"/>
    </xf>
    <xf numFmtId="0" fontId="14" fillId="0" borderId="50" xfId="4" applyFont="1" applyBorder="1" applyAlignment="1">
      <alignment horizontal="center" vertical="center" wrapText="1"/>
    </xf>
    <xf numFmtId="0" fontId="14" fillId="0" borderId="51" xfId="4" applyFont="1" applyBorder="1" applyAlignment="1">
      <alignment horizontal="center" vertical="center" wrapText="1"/>
    </xf>
    <xf numFmtId="0" fontId="14" fillId="0" borderId="52" xfId="4" applyFont="1" applyBorder="1" applyAlignment="1">
      <alignment horizontal="center" vertical="center"/>
    </xf>
    <xf numFmtId="0" fontId="14" fillId="0" borderId="53" xfId="4" applyFont="1" applyBorder="1" applyAlignment="1">
      <alignment horizontal="center" vertical="center"/>
    </xf>
    <xf numFmtId="0" fontId="3" fillId="5" borderId="54" xfId="0" applyFont="1" applyFill="1" applyBorder="1" applyAlignment="1">
      <alignment horizontal="center" wrapText="1"/>
    </xf>
    <xf numFmtId="0" fontId="0" fillId="0" borderId="0" xfId="0"/>
    <xf numFmtId="0" fontId="0" fillId="0" borderId="55" xfId="0" applyBorder="1"/>
    <xf numFmtId="0" fontId="10" fillId="4" borderId="2" xfId="0" applyFont="1" applyFill="1" applyBorder="1" applyAlignment="1">
      <alignment horizontal="left" vertical="top" wrapText="1"/>
    </xf>
    <xf numFmtId="0" fontId="10" fillId="5" borderId="0" xfId="0" applyFont="1" applyFill="1" applyAlignment="1">
      <alignment horizontal="right" vertical="top" wrapText="1"/>
    </xf>
    <xf numFmtId="0" fontId="31" fillId="0" borderId="0" xfId="0" applyFont="1" applyAlignment="1">
      <alignment horizontal="left" wrapText="1"/>
    </xf>
    <xf numFmtId="0" fontId="31" fillId="0" borderId="55" xfId="0" applyFont="1" applyBorder="1" applyAlignment="1">
      <alignment horizontal="left" wrapText="1"/>
    </xf>
    <xf numFmtId="0" fontId="31" fillId="0" borderId="61" xfId="0" applyFont="1" applyBorder="1" applyAlignment="1">
      <alignment horizontal="left" wrapText="1"/>
    </xf>
    <xf numFmtId="0" fontId="31" fillId="0" borderId="62" xfId="0" applyFont="1" applyBorder="1" applyAlignment="1">
      <alignment horizontal="left" wrapText="1"/>
    </xf>
    <xf numFmtId="0" fontId="14" fillId="0" borderId="63" xfId="4" applyFont="1" applyBorder="1" applyAlignment="1">
      <alignment horizontal="center" vertical="center"/>
    </xf>
    <xf numFmtId="0" fontId="14" fillId="0" borderId="64" xfId="4" applyFont="1" applyBorder="1" applyAlignment="1">
      <alignment horizontal="center" vertical="center"/>
    </xf>
    <xf numFmtId="0" fontId="17" fillId="8" borderId="60" xfId="5" applyFont="1" applyFill="1" applyBorder="1" applyAlignment="1">
      <alignment horizontal="center" vertical="center" wrapText="1"/>
    </xf>
    <xf numFmtId="0" fontId="17" fillId="8" borderId="61" xfId="5" applyFont="1" applyFill="1" applyBorder="1" applyAlignment="1">
      <alignment horizontal="center" vertical="center" wrapText="1"/>
    </xf>
    <xf numFmtId="0" fontId="17" fillId="8" borderId="62" xfId="5" applyFont="1" applyFill="1" applyBorder="1" applyAlignment="1">
      <alignment horizontal="center" vertical="center" wrapText="1"/>
    </xf>
    <xf numFmtId="0" fontId="12" fillId="0" borderId="31" xfId="4" applyFont="1" applyBorder="1" applyAlignment="1">
      <alignment horizontal="center" vertical="center"/>
    </xf>
    <xf numFmtId="0" fontId="12" fillId="0" borderId="32" xfId="4" applyFont="1" applyBorder="1" applyAlignment="1">
      <alignment horizontal="center" vertical="center"/>
    </xf>
    <xf numFmtId="0" fontId="12" fillId="0" borderId="33" xfId="4" applyFont="1" applyBorder="1" applyAlignment="1">
      <alignment horizontal="center" vertical="center"/>
    </xf>
    <xf numFmtId="0" fontId="12" fillId="7" borderId="9" xfId="4" applyFont="1" applyFill="1" applyBorder="1" applyAlignment="1">
      <alignment horizontal="center" vertical="center"/>
    </xf>
    <xf numFmtId="0" fontId="12" fillId="6" borderId="34" xfId="4" applyFont="1" applyFill="1" applyBorder="1" applyAlignment="1">
      <alignment horizontal="center" vertical="center"/>
    </xf>
    <xf numFmtId="0" fontId="12" fillId="6" borderId="29" xfId="4" applyFont="1" applyFill="1" applyBorder="1" applyAlignment="1">
      <alignment horizontal="center" vertical="center"/>
    </xf>
    <xf numFmtId="0" fontId="12" fillId="6" borderId="30" xfId="4" applyFont="1" applyFill="1" applyBorder="1" applyAlignment="1">
      <alignment horizontal="center" vertical="center"/>
    </xf>
    <xf numFmtId="0" fontId="0" fillId="0" borderId="0" xfId="0" applyBorder="1"/>
    <xf numFmtId="0" fontId="8" fillId="7" borderId="93" xfId="0" applyFont="1" applyFill="1" applyBorder="1" applyAlignment="1">
      <alignment horizontal="center" vertical="center" wrapText="1"/>
    </xf>
  </cellXfs>
  <cellStyles count="11">
    <cellStyle name="Moeda" xfId="2" builtinId="4"/>
    <cellStyle name="Normal" xfId="0" builtinId="0"/>
    <cellStyle name="Normal 2" xfId="4" xr:uid="{00000000-0005-0000-0000-000002000000}"/>
    <cellStyle name="Normal 4" xfId="8" xr:uid="{00000000-0005-0000-0000-000003000000}"/>
    <cellStyle name="Normal_F-06-09" xfId="5" xr:uid="{00000000-0005-0000-0000-000004000000}"/>
    <cellStyle name="Porcentagem" xfId="3" builtinId="5"/>
    <cellStyle name="Porcentagem 4" xfId="7" xr:uid="{00000000-0005-0000-0000-000006000000}"/>
    <cellStyle name="Vírgula" xfId="1" builtinId="3"/>
    <cellStyle name="Vírgula 12" xfId="6" xr:uid="{00000000-0005-0000-0000-000008000000}"/>
    <cellStyle name="Vírgula 12 2" xfId="10" xr:uid="{00000000-0005-0000-0000-000009000000}"/>
    <cellStyle name="Vírgula 2" xfId="9" xr:uid="{00000000-0005-0000-0000-00000A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3</xdr:col>
      <xdr:colOff>264540</xdr:colOff>
      <xdr:row>3</xdr:row>
      <xdr:rowOff>167528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2CA4946-BFEE-473A-8309-9A20B80302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1839" cy="7676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1</xdr:col>
      <xdr:colOff>1483740</xdr:colOff>
      <xdr:row>3</xdr:row>
      <xdr:rowOff>186578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1839" cy="76760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2</xdr:col>
      <xdr:colOff>159765</xdr:colOff>
      <xdr:row>3</xdr:row>
      <xdr:rowOff>186578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21839" cy="76760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0</xdr:rowOff>
    </xdr:from>
    <xdr:to>
      <xdr:col>0</xdr:col>
      <xdr:colOff>1297940</xdr:colOff>
      <xdr:row>2</xdr:row>
      <xdr:rowOff>14714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" y="0"/>
          <a:ext cx="1236980" cy="62431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622654</xdr:colOff>
      <xdr:row>3</xdr:row>
      <xdr:rowOff>211748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37163" cy="9451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05"/>
  <sheetViews>
    <sheetView showOutlineSymbols="0" showWhiteSpace="0" view="pageBreakPreview" topLeftCell="C174" zoomScale="80" zoomScaleNormal="100" zoomScaleSheetLayoutView="80" workbookViewId="0">
      <selection activeCell="H178" sqref="H178"/>
    </sheetView>
  </sheetViews>
  <sheetFormatPr defaultRowHeight="14.25"/>
  <cols>
    <col min="1" max="1" width="6.75" style="4" bestFit="1" customWidth="1"/>
    <col min="2" max="2" width="7.25" style="4" bestFit="1" customWidth="1"/>
    <col min="3" max="3" width="6.625" style="4" bestFit="1" customWidth="1"/>
    <col min="4" max="4" width="59.875" style="134" bestFit="1" customWidth="1"/>
    <col min="5" max="5" width="8" style="134" bestFit="1" customWidth="1"/>
    <col min="6" max="6" width="7.125" style="137" bestFit="1" customWidth="1"/>
    <col min="7" max="7" width="14" style="135" customWidth="1"/>
    <col min="8" max="8" width="12.875" style="135" customWidth="1"/>
    <col min="9" max="9" width="13.625" style="135" customWidth="1"/>
    <col min="10" max="10" width="11.375" style="136" customWidth="1"/>
    <col min="11" max="11" width="18.625" customWidth="1"/>
    <col min="12" max="12" width="17.625" customWidth="1"/>
  </cols>
  <sheetData>
    <row r="1" spans="1:11" ht="20.100000000000001" customHeight="1" thickTop="1">
      <c r="A1" s="203" t="s">
        <v>530</v>
      </c>
      <c r="B1" s="204"/>
      <c r="C1" s="204"/>
      <c r="D1" s="204"/>
      <c r="E1" s="204"/>
      <c r="F1" s="204"/>
      <c r="G1" s="204"/>
      <c r="H1" s="204"/>
      <c r="I1" s="204"/>
      <c r="J1" s="205"/>
    </row>
    <row r="2" spans="1:11" ht="20.100000000000001" customHeight="1">
      <c r="A2" s="206" t="s">
        <v>746</v>
      </c>
      <c r="B2" s="207"/>
      <c r="C2" s="207"/>
      <c r="D2" s="207"/>
      <c r="E2" s="207"/>
      <c r="F2" s="207"/>
      <c r="G2" s="207"/>
      <c r="H2" s="207"/>
      <c r="I2" s="207"/>
      <c r="J2" s="208"/>
    </row>
    <row r="3" spans="1:11" ht="20.100000000000001" customHeight="1">
      <c r="A3" s="209" t="s">
        <v>548</v>
      </c>
      <c r="B3" s="210"/>
      <c r="C3" s="210"/>
      <c r="D3" s="210"/>
      <c r="E3" s="210"/>
      <c r="F3" s="210"/>
      <c r="G3" s="210"/>
      <c r="H3" s="210"/>
      <c r="I3" s="210"/>
      <c r="J3" s="211"/>
    </row>
    <row r="4" spans="1:11" ht="20.100000000000001" customHeight="1" thickBot="1">
      <c r="A4" s="212" t="s">
        <v>549</v>
      </c>
      <c r="B4" s="213"/>
      <c r="C4" s="213"/>
      <c r="D4" s="213"/>
      <c r="E4" s="213"/>
      <c r="F4" s="213"/>
      <c r="G4" s="213"/>
      <c r="H4" s="213"/>
      <c r="I4" s="213"/>
      <c r="J4" s="214"/>
    </row>
    <row r="5" spans="1:11" ht="20.100000000000001" customHeight="1">
      <c r="A5" s="215" t="s">
        <v>737</v>
      </c>
      <c r="B5" s="216"/>
      <c r="C5" s="216"/>
      <c r="D5" s="216"/>
      <c r="E5" s="216"/>
      <c r="F5" s="216"/>
      <c r="G5" s="217" t="s">
        <v>739</v>
      </c>
      <c r="H5" s="217"/>
      <c r="I5" s="216" t="s">
        <v>740</v>
      </c>
      <c r="J5" s="218"/>
    </row>
    <row r="6" spans="1:11" ht="38.25" customHeight="1">
      <c r="A6" s="192" t="s">
        <v>741</v>
      </c>
      <c r="B6" s="193"/>
      <c r="C6" s="193"/>
      <c r="D6" s="193"/>
      <c r="E6" s="193"/>
      <c r="F6" s="193"/>
      <c r="G6" s="194" t="s">
        <v>742</v>
      </c>
      <c r="H6" s="194"/>
      <c r="I6" s="193" t="s">
        <v>743</v>
      </c>
      <c r="J6" s="195"/>
    </row>
    <row r="7" spans="1:11" ht="20.100000000000001" customHeight="1" thickBot="1">
      <c r="A7" s="196" t="s">
        <v>738</v>
      </c>
      <c r="B7" s="197"/>
      <c r="C7" s="198" t="s">
        <v>744</v>
      </c>
      <c r="D7" s="198"/>
      <c r="E7" s="198"/>
      <c r="F7" s="198"/>
      <c r="G7" s="198"/>
      <c r="H7" s="198"/>
      <c r="I7" s="198"/>
      <c r="J7" s="199"/>
    </row>
    <row r="8" spans="1:11" ht="24.95" customHeight="1" thickBot="1">
      <c r="A8" s="200" t="s">
        <v>0</v>
      </c>
      <c r="B8" s="201"/>
      <c r="C8" s="201"/>
      <c r="D8" s="201"/>
      <c r="E8" s="201"/>
      <c r="F8" s="201"/>
      <c r="G8" s="201"/>
      <c r="H8" s="201"/>
      <c r="I8" s="201"/>
      <c r="J8" s="202"/>
    </row>
    <row r="9" spans="1:11" ht="30">
      <c r="A9" s="151" t="s">
        <v>1</v>
      </c>
      <c r="B9" s="152" t="s">
        <v>2</v>
      </c>
      <c r="C9" s="153" t="s">
        <v>3</v>
      </c>
      <c r="D9" s="154" t="s">
        <v>4</v>
      </c>
      <c r="E9" s="155" t="s">
        <v>5</v>
      </c>
      <c r="F9" s="156" t="s">
        <v>6</v>
      </c>
      <c r="G9" s="157" t="s">
        <v>7</v>
      </c>
      <c r="H9" s="157" t="s">
        <v>8</v>
      </c>
      <c r="I9" s="157" t="s">
        <v>9</v>
      </c>
      <c r="J9" s="158" t="s">
        <v>10</v>
      </c>
    </row>
    <row r="10" spans="1:11" ht="20.100000000000001" customHeight="1">
      <c r="A10" s="159" t="s">
        <v>11</v>
      </c>
      <c r="B10" s="160"/>
      <c r="C10" s="160"/>
      <c r="D10" s="161" t="s">
        <v>12</v>
      </c>
      <c r="E10" s="161"/>
      <c r="F10" s="160"/>
      <c r="G10" s="179"/>
      <c r="H10" s="179"/>
      <c r="I10" s="179">
        <f>SUM(I11:I18)</f>
        <v>158572.10999999999</v>
      </c>
      <c r="J10" s="162">
        <f t="shared" ref="J10:J73" si="0">I10 / 3087170.37</f>
        <v>5.136487170936406E-2</v>
      </c>
      <c r="K10" s="182">
        <f>I10</f>
        <v>158572.10999999999</v>
      </c>
    </row>
    <row r="11" spans="1:11" ht="20.100000000000001" customHeight="1">
      <c r="A11" s="142" t="s">
        <v>13</v>
      </c>
      <c r="B11" s="141" t="s">
        <v>14</v>
      </c>
      <c r="C11" s="141" t="s">
        <v>15</v>
      </c>
      <c r="D11" s="143" t="s">
        <v>16</v>
      </c>
      <c r="E11" s="141" t="s">
        <v>17</v>
      </c>
      <c r="F11" s="141">
        <v>600</v>
      </c>
      <c r="G11" s="180">
        <v>11.82</v>
      </c>
      <c r="H11" s="180">
        <f t="shared" ref="H11:H18" si="1">TRUNC(G11 * (1 + 22.88 / 100), 2)</f>
        <v>14.52</v>
      </c>
      <c r="I11" s="180">
        <f t="shared" ref="I11:I18" si="2">TRUNC(F11 * H11, 2)</f>
        <v>8712</v>
      </c>
      <c r="J11" s="144">
        <f t="shared" si="0"/>
        <v>2.8220016895277472E-3</v>
      </c>
    </row>
    <row r="12" spans="1:11" ht="20.100000000000001" customHeight="1">
      <c r="A12" s="142" t="s">
        <v>18</v>
      </c>
      <c r="B12" s="141" t="s">
        <v>19</v>
      </c>
      <c r="C12" s="141" t="s">
        <v>15</v>
      </c>
      <c r="D12" s="143" t="s">
        <v>20</v>
      </c>
      <c r="E12" s="141" t="s">
        <v>21</v>
      </c>
      <c r="F12" s="141">
        <v>30</v>
      </c>
      <c r="G12" s="180">
        <v>405.32</v>
      </c>
      <c r="H12" s="180">
        <f t="shared" si="1"/>
        <v>498.05</v>
      </c>
      <c r="I12" s="180">
        <f t="shared" si="2"/>
        <v>14941.5</v>
      </c>
      <c r="J12" s="144">
        <f t="shared" si="0"/>
        <v>4.8398689444534926E-3</v>
      </c>
    </row>
    <row r="13" spans="1:11" ht="20.100000000000001" customHeight="1">
      <c r="A13" s="142" t="s">
        <v>22</v>
      </c>
      <c r="B13" s="141" t="s">
        <v>23</v>
      </c>
      <c r="C13" s="141" t="s">
        <v>24</v>
      </c>
      <c r="D13" s="143" t="s">
        <v>25</v>
      </c>
      <c r="E13" s="141" t="s">
        <v>26</v>
      </c>
      <c r="F13" s="141">
        <v>1</v>
      </c>
      <c r="G13" s="180">
        <v>25000</v>
      </c>
      <c r="H13" s="180">
        <f t="shared" si="1"/>
        <v>30720</v>
      </c>
      <c r="I13" s="180">
        <f t="shared" si="2"/>
        <v>30720</v>
      </c>
      <c r="J13" s="144">
        <f t="shared" si="0"/>
        <v>9.9508599520537633E-3</v>
      </c>
    </row>
    <row r="14" spans="1:11" ht="20.100000000000001" customHeight="1">
      <c r="A14" s="142" t="s">
        <v>27</v>
      </c>
      <c r="B14" s="141" t="s">
        <v>28</v>
      </c>
      <c r="C14" s="141" t="s">
        <v>15</v>
      </c>
      <c r="D14" s="143" t="s">
        <v>29</v>
      </c>
      <c r="E14" s="141" t="s">
        <v>21</v>
      </c>
      <c r="F14" s="141">
        <v>1033.26</v>
      </c>
      <c r="G14" s="180">
        <v>4.54</v>
      </c>
      <c r="H14" s="180">
        <f t="shared" si="1"/>
        <v>5.57</v>
      </c>
      <c r="I14" s="180">
        <f t="shared" si="2"/>
        <v>5755.25</v>
      </c>
      <c r="J14" s="144">
        <f t="shared" si="0"/>
        <v>1.8642476152036921E-3</v>
      </c>
    </row>
    <row r="15" spans="1:11" ht="20.100000000000001" customHeight="1">
      <c r="A15" s="142" t="s">
        <v>30</v>
      </c>
      <c r="B15" s="141" t="s">
        <v>31</v>
      </c>
      <c r="C15" s="141" t="s">
        <v>15</v>
      </c>
      <c r="D15" s="143" t="s">
        <v>32</v>
      </c>
      <c r="E15" s="141" t="s">
        <v>33</v>
      </c>
      <c r="F15" s="141">
        <v>3</v>
      </c>
      <c r="G15" s="180">
        <v>1553.18</v>
      </c>
      <c r="H15" s="180">
        <f t="shared" si="1"/>
        <v>1908.54</v>
      </c>
      <c r="I15" s="180">
        <f t="shared" si="2"/>
        <v>5725.62</v>
      </c>
      <c r="J15" s="144">
        <f t="shared" si="0"/>
        <v>1.8546498293840518E-3</v>
      </c>
    </row>
    <row r="16" spans="1:11" ht="20.100000000000001" customHeight="1">
      <c r="A16" s="142" t="s">
        <v>34</v>
      </c>
      <c r="B16" s="141" t="s">
        <v>35</v>
      </c>
      <c r="C16" s="141" t="s">
        <v>15</v>
      </c>
      <c r="D16" s="143" t="s">
        <v>36</v>
      </c>
      <c r="E16" s="141" t="s">
        <v>21</v>
      </c>
      <c r="F16" s="141">
        <v>1033.26</v>
      </c>
      <c r="G16" s="180">
        <v>5.0599999999999996</v>
      </c>
      <c r="H16" s="180">
        <f t="shared" si="1"/>
        <v>6.21</v>
      </c>
      <c r="I16" s="180">
        <f t="shared" si="2"/>
        <v>6416.54</v>
      </c>
      <c r="J16" s="144">
        <f t="shared" si="0"/>
        <v>2.0784534803629899E-3</v>
      </c>
    </row>
    <row r="17" spans="1:11" ht="20.100000000000001" customHeight="1">
      <c r="A17" s="142" t="s">
        <v>37</v>
      </c>
      <c r="B17" s="141" t="s">
        <v>38</v>
      </c>
      <c r="C17" s="141" t="s">
        <v>15</v>
      </c>
      <c r="D17" s="143" t="s">
        <v>39</v>
      </c>
      <c r="E17" s="141" t="s">
        <v>21</v>
      </c>
      <c r="F17" s="141">
        <v>6</v>
      </c>
      <c r="G17" s="180">
        <v>159.66999999999999</v>
      </c>
      <c r="H17" s="180">
        <f t="shared" si="1"/>
        <v>196.2</v>
      </c>
      <c r="I17" s="180">
        <f t="shared" si="2"/>
        <v>1177.2</v>
      </c>
      <c r="J17" s="144">
        <f t="shared" si="0"/>
        <v>3.8132006300643524E-4</v>
      </c>
    </row>
    <row r="18" spans="1:11" ht="20.100000000000001" customHeight="1">
      <c r="A18" s="142" t="s">
        <v>40</v>
      </c>
      <c r="B18" s="141" t="s">
        <v>685</v>
      </c>
      <c r="C18" s="141" t="s">
        <v>15</v>
      </c>
      <c r="D18" s="143" t="s">
        <v>686</v>
      </c>
      <c r="E18" s="141" t="s">
        <v>21</v>
      </c>
      <c r="F18" s="141">
        <v>520</v>
      </c>
      <c r="G18" s="180">
        <v>133.22</v>
      </c>
      <c r="H18" s="180">
        <f t="shared" si="1"/>
        <v>163.69999999999999</v>
      </c>
      <c r="I18" s="180">
        <f t="shared" si="2"/>
        <v>85124</v>
      </c>
      <c r="J18" s="144">
        <f t="shared" si="0"/>
        <v>2.7573470135371893E-2</v>
      </c>
    </row>
    <row r="19" spans="1:11" ht="20.100000000000001" customHeight="1">
      <c r="A19" s="159" t="s">
        <v>41</v>
      </c>
      <c r="B19" s="160"/>
      <c r="C19" s="160"/>
      <c r="D19" s="161" t="s">
        <v>42</v>
      </c>
      <c r="E19" s="161"/>
      <c r="F19" s="160"/>
      <c r="G19" s="179"/>
      <c r="H19" s="179"/>
      <c r="I19" s="179">
        <f>SUM(I20:I22)</f>
        <v>9131.39</v>
      </c>
      <c r="J19" s="162">
        <f t="shared" si="0"/>
        <v>2.9578510109890691E-3</v>
      </c>
      <c r="K19" s="182">
        <f>I19</f>
        <v>9131.39</v>
      </c>
    </row>
    <row r="20" spans="1:11" ht="20.100000000000001" customHeight="1">
      <c r="A20" s="142" t="s">
        <v>43</v>
      </c>
      <c r="B20" s="141" t="s">
        <v>44</v>
      </c>
      <c r="C20" s="141" t="s">
        <v>15</v>
      </c>
      <c r="D20" s="143" t="s">
        <v>45</v>
      </c>
      <c r="E20" s="141" t="s">
        <v>46</v>
      </c>
      <c r="F20" s="141">
        <v>107.58</v>
      </c>
      <c r="G20" s="180">
        <v>61.32</v>
      </c>
      <c r="H20" s="180">
        <f>TRUNC(G20 * (1 + 22.88 / 100), 2)</f>
        <v>75.349999999999994</v>
      </c>
      <c r="I20" s="180">
        <f>TRUNC(F20 * H20, 2)</f>
        <v>8106.15</v>
      </c>
      <c r="J20" s="144">
        <f t="shared" si="0"/>
        <v>2.625754016938171E-3</v>
      </c>
    </row>
    <row r="21" spans="1:11" ht="20.100000000000001" customHeight="1">
      <c r="A21" s="142" t="s">
        <v>47</v>
      </c>
      <c r="B21" s="141" t="s">
        <v>48</v>
      </c>
      <c r="C21" s="141" t="s">
        <v>15</v>
      </c>
      <c r="D21" s="143" t="s">
        <v>49</v>
      </c>
      <c r="E21" s="141" t="s">
        <v>21</v>
      </c>
      <c r="F21" s="141">
        <v>54</v>
      </c>
      <c r="G21" s="180">
        <v>4.12</v>
      </c>
      <c r="H21" s="180">
        <f>TRUNC(G21 * (1 + 22.88 / 100), 2)</f>
        <v>5.0599999999999996</v>
      </c>
      <c r="I21" s="180">
        <f>TRUNC(F21 * H21, 2)</f>
        <v>273.24</v>
      </c>
      <c r="J21" s="144">
        <f t="shared" si="0"/>
        <v>8.8508234807915706E-5</v>
      </c>
    </row>
    <row r="22" spans="1:11" ht="20.100000000000001" customHeight="1">
      <c r="A22" s="142" t="s">
        <v>50</v>
      </c>
      <c r="B22" s="141" t="s">
        <v>51</v>
      </c>
      <c r="C22" s="141" t="s">
        <v>15</v>
      </c>
      <c r="D22" s="143" t="s">
        <v>52</v>
      </c>
      <c r="E22" s="141" t="s">
        <v>21</v>
      </c>
      <c r="F22" s="141">
        <v>50</v>
      </c>
      <c r="G22" s="180">
        <v>12.24</v>
      </c>
      <c r="H22" s="180">
        <f>TRUNC(G22 * (1 + 22.88 / 100), 2)</f>
        <v>15.04</v>
      </c>
      <c r="I22" s="180">
        <f>TRUNC(F22 * H22, 2)</f>
        <v>752</v>
      </c>
      <c r="J22" s="144">
        <f t="shared" si="0"/>
        <v>2.4358875924298276E-4</v>
      </c>
    </row>
    <row r="23" spans="1:11" ht="20.100000000000001" customHeight="1">
      <c r="A23" s="159" t="s">
        <v>53</v>
      </c>
      <c r="B23" s="160"/>
      <c r="C23" s="160"/>
      <c r="D23" s="161" t="s">
        <v>54</v>
      </c>
      <c r="E23" s="161"/>
      <c r="F23" s="160"/>
      <c r="G23" s="179"/>
      <c r="H23" s="179"/>
      <c r="I23" s="179">
        <f>SUM(I24:I26)</f>
        <v>210753.52</v>
      </c>
      <c r="J23" s="162">
        <f t="shared" si="0"/>
        <v>6.8267537822993551E-2</v>
      </c>
      <c r="K23" s="182">
        <f>I23</f>
        <v>210753.52</v>
      </c>
    </row>
    <row r="24" spans="1:11" ht="20.100000000000001" customHeight="1">
      <c r="A24" s="142" t="s">
        <v>55</v>
      </c>
      <c r="B24" s="141" t="s">
        <v>56</v>
      </c>
      <c r="C24" s="141" t="s">
        <v>15</v>
      </c>
      <c r="D24" s="143" t="s">
        <v>57</v>
      </c>
      <c r="E24" s="141" t="s">
        <v>46</v>
      </c>
      <c r="F24" s="141">
        <v>1193.9000000000001</v>
      </c>
      <c r="G24" s="180">
        <v>133.74</v>
      </c>
      <c r="H24" s="180">
        <f>TRUNC(G24 * (1 + 22.88 / 100), 2)</f>
        <v>164.33</v>
      </c>
      <c r="I24" s="180">
        <f>TRUNC(F24 * H24, 2)</f>
        <v>196193.58</v>
      </c>
      <c r="J24" s="144">
        <f t="shared" si="0"/>
        <v>6.3551264260158072E-2</v>
      </c>
    </row>
    <row r="25" spans="1:11" ht="20.100000000000001" customHeight="1">
      <c r="A25" s="142" t="s">
        <v>58</v>
      </c>
      <c r="B25" s="141" t="s">
        <v>59</v>
      </c>
      <c r="C25" s="141" t="s">
        <v>15</v>
      </c>
      <c r="D25" s="143" t="s">
        <v>60</v>
      </c>
      <c r="E25" s="141" t="s">
        <v>46</v>
      </c>
      <c r="F25" s="141">
        <v>155.58000000000001</v>
      </c>
      <c r="G25" s="180">
        <v>72.64</v>
      </c>
      <c r="H25" s="180">
        <f>TRUNC(G25 * (1 + 22.88 / 100), 2)</f>
        <v>89.26</v>
      </c>
      <c r="I25" s="180">
        <f>TRUNC(F25 * H25, 2)</f>
        <v>13887.07</v>
      </c>
      <c r="J25" s="144">
        <f t="shared" si="0"/>
        <v>4.4983166899208093E-3</v>
      </c>
    </row>
    <row r="26" spans="1:11" ht="20.100000000000001" customHeight="1">
      <c r="A26" s="142" t="s">
        <v>61</v>
      </c>
      <c r="B26" s="141" t="s">
        <v>62</v>
      </c>
      <c r="C26" s="141" t="s">
        <v>15</v>
      </c>
      <c r="D26" s="143" t="s">
        <v>63</v>
      </c>
      <c r="E26" s="141" t="s">
        <v>46</v>
      </c>
      <c r="F26" s="141">
        <v>33.56</v>
      </c>
      <c r="G26" s="180">
        <v>16.32</v>
      </c>
      <c r="H26" s="180">
        <f>TRUNC(G26 * (1 + 22.88 / 100), 2)</f>
        <v>20.05</v>
      </c>
      <c r="I26" s="180">
        <f>TRUNC(F26 * H26, 2)</f>
        <v>672.87</v>
      </c>
      <c r="J26" s="144">
        <f t="shared" si="0"/>
        <v>2.1795687291466197E-4</v>
      </c>
    </row>
    <row r="27" spans="1:11" ht="20.100000000000001" customHeight="1">
      <c r="A27" s="159" t="s">
        <v>64</v>
      </c>
      <c r="B27" s="160"/>
      <c r="C27" s="160"/>
      <c r="D27" s="161" t="s">
        <v>65</v>
      </c>
      <c r="E27" s="161"/>
      <c r="F27" s="160"/>
      <c r="G27" s="179"/>
      <c r="H27" s="179"/>
      <c r="I27" s="179">
        <f>SUM(I28:I29)</f>
        <v>278130.83</v>
      </c>
      <c r="J27" s="162">
        <f t="shared" si="0"/>
        <v>9.0092478440054483E-2</v>
      </c>
      <c r="K27" s="182">
        <f>I27/2</f>
        <v>139065.41500000001</v>
      </c>
    </row>
    <row r="28" spans="1:11" ht="20.100000000000001" customHeight="1">
      <c r="A28" s="142" t="s">
        <v>66</v>
      </c>
      <c r="B28" s="141" t="s">
        <v>67</v>
      </c>
      <c r="C28" s="141" t="s">
        <v>15</v>
      </c>
      <c r="D28" s="143" t="s">
        <v>68</v>
      </c>
      <c r="E28" s="141" t="s">
        <v>46</v>
      </c>
      <c r="F28" s="141">
        <v>29.37</v>
      </c>
      <c r="G28" s="180">
        <v>2863.62</v>
      </c>
      <c r="H28" s="180">
        <f>TRUNC(G28 * (1 + 22.88 / 100), 2)</f>
        <v>3518.81</v>
      </c>
      <c r="I28" s="180">
        <f>TRUNC(F28 * H28, 2)</f>
        <v>103347.44</v>
      </c>
      <c r="J28" s="144">
        <f t="shared" si="0"/>
        <v>3.3476429096460911E-2</v>
      </c>
    </row>
    <row r="29" spans="1:11" ht="20.100000000000001" customHeight="1">
      <c r="A29" s="142" t="s">
        <v>69</v>
      </c>
      <c r="B29" s="141" t="s">
        <v>70</v>
      </c>
      <c r="C29" s="141" t="s">
        <v>15</v>
      </c>
      <c r="D29" s="143" t="s">
        <v>71</v>
      </c>
      <c r="E29" s="141" t="s">
        <v>46</v>
      </c>
      <c r="F29" s="141">
        <v>45.93</v>
      </c>
      <c r="G29" s="180">
        <v>3096.87</v>
      </c>
      <c r="H29" s="180">
        <f>TRUNC(G29 * (1 + 22.88 / 100), 2)</f>
        <v>3805.43</v>
      </c>
      <c r="I29" s="180">
        <f>TRUNC(F29 * H29, 2)</f>
        <v>174783.39</v>
      </c>
      <c r="J29" s="144">
        <f t="shared" si="0"/>
        <v>5.6616049343593565E-2</v>
      </c>
    </row>
    <row r="30" spans="1:11" ht="20.100000000000001" customHeight="1">
      <c r="A30" s="159" t="s">
        <v>72</v>
      </c>
      <c r="B30" s="160"/>
      <c r="C30" s="160"/>
      <c r="D30" s="161" t="s">
        <v>73</v>
      </c>
      <c r="E30" s="161"/>
      <c r="F30" s="160"/>
      <c r="G30" s="179"/>
      <c r="H30" s="179"/>
      <c r="I30" s="179">
        <f>SUM(I31)</f>
        <v>80990.05</v>
      </c>
      <c r="J30" s="162">
        <f t="shared" si="0"/>
        <v>2.6234395998041404E-2</v>
      </c>
      <c r="K30" s="182">
        <f>I30/2</f>
        <v>40495.025000000001</v>
      </c>
    </row>
    <row r="31" spans="1:11" ht="20.100000000000001" customHeight="1">
      <c r="A31" s="159" t="s">
        <v>74</v>
      </c>
      <c r="B31" s="160"/>
      <c r="C31" s="160"/>
      <c r="D31" s="161" t="s">
        <v>687</v>
      </c>
      <c r="E31" s="161"/>
      <c r="F31" s="160"/>
      <c r="G31" s="179"/>
      <c r="H31" s="179"/>
      <c r="I31" s="179">
        <f>SUM(I32:I33)</f>
        <v>80990.05</v>
      </c>
      <c r="J31" s="162">
        <f t="shared" si="0"/>
        <v>2.6234395998041404E-2</v>
      </c>
    </row>
    <row r="32" spans="1:11" ht="20.100000000000001" customHeight="1">
      <c r="A32" s="142" t="s">
        <v>75</v>
      </c>
      <c r="B32" s="141" t="s">
        <v>76</v>
      </c>
      <c r="C32" s="141" t="s">
        <v>15</v>
      </c>
      <c r="D32" s="143" t="s">
        <v>77</v>
      </c>
      <c r="E32" s="141" t="s">
        <v>46</v>
      </c>
      <c r="F32" s="141">
        <v>51.2</v>
      </c>
      <c r="G32" s="180">
        <v>937.4</v>
      </c>
      <c r="H32" s="180">
        <f>TRUNC(G32 * (1 + 22.88 / 100), 2)</f>
        <v>1151.8699999999999</v>
      </c>
      <c r="I32" s="180">
        <f>TRUNC(F32 * H32, 2)</f>
        <v>58975.74</v>
      </c>
      <c r="J32" s="144">
        <f t="shared" si="0"/>
        <v>1.9103493792602056E-2</v>
      </c>
    </row>
    <row r="33" spans="1:12" ht="20.100000000000001" customHeight="1">
      <c r="A33" s="142" t="s">
        <v>78</v>
      </c>
      <c r="B33" s="141" t="s">
        <v>79</v>
      </c>
      <c r="C33" s="141" t="s">
        <v>15</v>
      </c>
      <c r="D33" s="143" t="s">
        <v>80</v>
      </c>
      <c r="E33" s="141" t="s">
        <v>21</v>
      </c>
      <c r="F33" s="141">
        <v>104.9</v>
      </c>
      <c r="G33" s="180">
        <v>170.79</v>
      </c>
      <c r="H33" s="180">
        <f>TRUNC(G33 * (1 + 22.88 / 100), 2)</f>
        <v>209.86</v>
      </c>
      <c r="I33" s="180">
        <f>TRUNC(F33 * H33, 2)</f>
        <v>22014.31</v>
      </c>
      <c r="J33" s="144">
        <f t="shared" si="0"/>
        <v>7.1309022054393458E-3</v>
      </c>
    </row>
    <row r="34" spans="1:12" ht="20.100000000000001" customHeight="1">
      <c r="A34" s="159" t="s">
        <v>81</v>
      </c>
      <c r="B34" s="160"/>
      <c r="C34" s="160"/>
      <c r="D34" s="161" t="s">
        <v>82</v>
      </c>
      <c r="E34" s="161"/>
      <c r="F34" s="160"/>
      <c r="G34" s="179"/>
      <c r="H34" s="179"/>
      <c r="I34" s="179">
        <f>SUM(I35:I36)</f>
        <v>104048.56</v>
      </c>
      <c r="J34" s="162">
        <f t="shared" si="0"/>
        <v>3.3703536743908302E-2</v>
      </c>
      <c r="K34" s="182">
        <f>I34/2</f>
        <v>52024.28</v>
      </c>
    </row>
    <row r="35" spans="1:12" ht="20.100000000000001" customHeight="1">
      <c r="A35" s="142" t="s">
        <v>83</v>
      </c>
      <c r="B35" s="141" t="s">
        <v>84</v>
      </c>
      <c r="C35" s="141" t="s">
        <v>15</v>
      </c>
      <c r="D35" s="143" t="s">
        <v>85</v>
      </c>
      <c r="E35" s="141" t="s">
        <v>21</v>
      </c>
      <c r="F35" s="141">
        <v>830.25</v>
      </c>
      <c r="G35" s="180">
        <v>70.41</v>
      </c>
      <c r="H35" s="180">
        <f>TRUNC(G35 * (1 + 22.88 / 100), 2)</f>
        <v>86.51</v>
      </c>
      <c r="I35" s="180">
        <f>TRUNC(F35 * H35, 2)</f>
        <v>71824.92</v>
      </c>
      <c r="J35" s="144">
        <f t="shared" si="0"/>
        <v>2.3265615885008639E-2</v>
      </c>
    </row>
    <row r="36" spans="1:12" ht="20.100000000000001" customHeight="1">
      <c r="A36" s="142" t="s">
        <v>86</v>
      </c>
      <c r="B36" s="141" t="s">
        <v>87</v>
      </c>
      <c r="C36" s="141" t="s">
        <v>15</v>
      </c>
      <c r="D36" s="143" t="s">
        <v>88</v>
      </c>
      <c r="E36" s="141" t="s">
        <v>21</v>
      </c>
      <c r="F36" s="141">
        <v>275.51</v>
      </c>
      <c r="G36" s="180">
        <v>95.19</v>
      </c>
      <c r="H36" s="180">
        <f>TRUNC(G36 * (1 + 22.88 / 100), 2)</f>
        <v>116.96</v>
      </c>
      <c r="I36" s="180">
        <f>TRUNC(F36 * H36, 2)</f>
        <v>32223.64</v>
      </c>
      <c r="J36" s="144">
        <f t="shared" si="0"/>
        <v>1.0437920858899665E-2</v>
      </c>
    </row>
    <row r="37" spans="1:12" ht="20.100000000000001" customHeight="1">
      <c r="A37" s="159" t="s">
        <v>89</v>
      </c>
      <c r="B37" s="160"/>
      <c r="C37" s="160"/>
      <c r="D37" s="161" t="s">
        <v>90</v>
      </c>
      <c r="E37" s="161"/>
      <c r="F37" s="160"/>
      <c r="G37" s="179"/>
      <c r="H37" s="179"/>
      <c r="I37" s="179">
        <f>SUM(I38,I43,I46)</f>
        <v>747369.14999999991</v>
      </c>
      <c r="J37" s="162">
        <f t="shared" si="0"/>
        <v>0.24208872865024286</v>
      </c>
      <c r="K37" s="182">
        <f>I37*33%</f>
        <v>246631.81949999998</v>
      </c>
      <c r="L37" s="182">
        <f>I37*34%</f>
        <v>254105.511</v>
      </c>
    </row>
    <row r="38" spans="1:12" ht="20.100000000000001" customHeight="1">
      <c r="A38" s="159" t="s">
        <v>91</v>
      </c>
      <c r="B38" s="160"/>
      <c r="C38" s="160"/>
      <c r="D38" s="161" t="s">
        <v>73</v>
      </c>
      <c r="E38" s="161"/>
      <c r="F38" s="160"/>
      <c r="G38" s="179"/>
      <c r="H38" s="179"/>
      <c r="I38" s="179">
        <f>SUM(I39:I42)</f>
        <v>537287.11</v>
      </c>
      <c r="J38" s="162">
        <f t="shared" si="0"/>
        <v>0.17403869744966488</v>
      </c>
    </row>
    <row r="39" spans="1:12" ht="20.100000000000001" customHeight="1">
      <c r="A39" s="142" t="s">
        <v>92</v>
      </c>
      <c r="B39" s="141" t="s">
        <v>93</v>
      </c>
      <c r="C39" s="141" t="s">
        <v>15</v>
      </c>
      <c r="D39" s="143" t="s">
        <v>94</v>
      </c>
      <c r="E39" s="141" t="s">
        <v>21</v>
      </c>
      <c r="F39" s="141">
        <v>571.46</v>
      </c>
      <c r="G39" s="180">
        <v>58.42</v>
      </c>
      <c r="H39" s="180">
        <f>TRUNC(G39 * (1 + 22.88 / 100), 2)</f>
        <v>71.78</v>
      </c>
      <c r="I39" s="180">
        <f>TRUNC(F39 * H39, 2)</f>
        <v>41019.39</v>
      </c>
      <c r="J39" s="144">
        <f t="shared" si="0"/>
        <v>1.328705095080321E-2</v>
      </c>
    </row>
    <row r="40" spans="1:12" ht="20.100000000000001" customHeight="1">
      <c r="A40" s="142" t="s">
        <v>95</v>
      </c>
      <c r="B40" s="141" t="s">
        <v>96</v>
      </c>
      <c r="C40" s="141" t="s">
        <v>15</v>
      </c>
      <c r="D40" s="143" t="s">
        <v>97</v>
      </c>
      <c r="E40" s="141" t="s">
        <v>21</v>
      </c>
      <c r="F40" s="141">
        <v>790</v>
      </c>
      <c r="G40" s="180">
        <v>289.43</v>
      </c>
      <c r="H40" s="180">
        <f>TRUNC(G40 * (1 + 22.88 / 100), 2)</f>
        <v>355.65</v>
      </c>
      <c r="I40" s="180">
        <f>TRUNC(F40 * H40, 2)</f>
        <v>280963.5</v>
      </c>
      <c r="J40" s="144">
        <f t="shared" si="0"/>
        <v>9.1010040369103429E-2</v>
      </c>
    </row>
    <row r="41" spans="1:12" ht="20.100000000000001" customHeight="1">
      <c r="A41" s="142" t="s">
        <v>98</v>
      </c>
      <c r="B41" s="141" t="s">
        <v>99</v>
      </c>
      <c r="C41" s="141" t="s">
        <v>15</v>
      </c>
      <c r="D41" s="143" t="s">
        <v>100</v>
      </c>
      <c r="E41" s="141" t="s">
        <v>21</v>
      </c>
      <c r="F41" s="141">
        <v>597.36</v>
      </c>
      <c r="G41" s="180">
        <v>264.74</v>
      </c>
      <c r="H41" s="180">
        <f>TRUNC(G41 * (1 + 22.88 / 100), 2)</f>
        <v>325.31</v>
      </c>
      <c r="I41" s="180">
        <f>TRUNC(F41 * H41, 2)</f>
        <v>194327.18</v>
      </c>
      <c r="J41" s="144">
        <f t="shared" si="0"/>
        <v>6.2946697690675221E-2</v>
      </c>
    </row>
    <row r="42" spans="1:12" ht="20.100000000000001" customHeight="1">
      <c r="A42" s="142" t="s">
        <v>101</v>
      </c>
      <c r="B42" s="141" t="s">
        <v>102</v>
      </c>
      <c r="C42" s="141" t="s">
        <v>15</v>
      </c>
      <c r="D42" s="143" t="s">
        <v>103</v>
      </c>
      <c r="E42" s="141" t="s">
        <v>33</v>
      </c>
      <c r="F42" s="141">
        <v>8</v>
      </c>
      <c r="G42" s="180">
        <v>2133.9</v>
      </c>
      <c r="H42" s="180">
        <f>TRUNC(G42 * (1 + 22.88 / 100), 2)</f>
        <v>2622.13</v>
      </c>
      <c r="I42" s="180">
        <f>TRUNC(F42 * H42, 2)</f>
        <v>20977.040000000001</v>
      </c>
      <c r="J42" s="144">
        <f t="shared" si="0"/>
        <v>6.794908439083004E-3</v>
      </c>
    </row>
    <row r="43" spans="1:12" ht="20.100000000000001" customHeight="1">
      <c r="A43" s="159" t="s">
        <v>104</v>
      </c>
      <c r="B43" s="160"/>
      <c r="C43" s="160"/>
      <c r="D43" s="161" t="s">
        <v>688</v>
      </c>
      <c r="E43" s="161"/>
      <c r="F43" s="160"/>
      <c r="G43" s="179"/>
      <c r="H43" s="179"/>
      <c r="I43" s="179">
        <f>SUM(I44:I45)</f>
        <v>189790.59</v>
      </c>
      <c r="J43" s="162">
        <f t="shared" si="0"/>
        <v>6.1477199912358574E-2</v>
      </c>
    </row>
    <row r="44" spans="1:12" ht="20.100000000000001" customHeight="1">
      <c r="A44" s="142" t="s">
        <v>105</v>
      </c>
      <c r="B44" s="141" t="s">
        <v>106</v>
      </c>
      <c r="C44" s="141" t="s">
        <v>15</v>
      </c>
      <c r="D44" s="143" t="s">
        <v>107</v>
      </c>
      <c r="E44" s="141" t="s">
        <v>21</v>
      </c>
      <c r="F44" s="141">
        <v>1387.36</v>
      </c>
      <c r="G44" s="180">
        <v>70.900000000000006</v>
      </c>
      <c r="H44" s="180">
        <f>TRUNC(G44 * (1 + 22.88 / 100), 2)</f>
        <v>87.12</v>
      </c>
      <c r="I44" s="180">
        <f>TRUNC(F44 * H44, 2)</f>
        <v>120866.8</v>
      </c>
      <c r="J44" s="144">
        <f t="shared" si="0"/>
        <v>3.9151321603284238E-2</v>
      </c>
    </row>
    <row r="45" spans="1:12" ht="20.100000000000001" customHeight="1">
      <c r="A45" s="142" t="s">
        <v>108</v>
      </c>
      <c r="B45" s="141" t="s">
        <v>109</v>
      </c>
      <c r="C45" s="141" t="s">
        <v>15</v>
      </c>
      <c r="D45" s="143" t="s">
        <v>110</v>
      </c>
      <c r="E45" s="141" t="s">
        <v>21</v>
      </c>
      <c r="F45" s="141">
        <v>571.46</v>
      </c>
      <c r="G45" s="180">
        <v>98.16</v>
      </c>
      <c r="H45" s="180">
        <f>TRUNC(G45 * (1 + 22.88 / 100), 2)</f>
        <v>120.61</v>
      </c>
      <c r="I45" s="180">
        <f>TRUNC(F45 * H45, 2)</f>
        <v>68923.789999999994</v>
      </c>
      <c r="J45" s="144">
        <f t="shared" si="0"/>
        <v>2.2325878309074336E-2</v>
      </c>
    </row>
    <row r="46" spans="1:12" ht="20.100000000000001" customHeight="1">
      <c r="A46" s="159" t="s">
        <v>111</v>
      </c>
      <c r="B46" s="160"/>
      <c r="C46" s="160"/>
      <c r="D46" s="161" t="s">
        <v>689</v>
      </c>
      <c r="E46" s="161"/>
      <c r="F46" s="160"/>
      <c r="G46" s="179"/>
      <c r="H46" s="179"/>
      <c r="I46" s="179">
        <f>SUM(I47:I48)</f>
        <v>20291.449999999997</v>
      </c>
      <c r="J46" s="162">
        <f t="shared" si="0"/>
        <v>6.5728312882194434E-3</v>
      </c>
    </row>
    <row r="47" spans="1:12" ht="20.100000000000001" customHeight="1">
      <c r="A47" s="142" t="s">
        <v>112</v>
      </c>
      <c r="B47" s="141" t="s">
        <v>113</v>
      </c>
      <c r="C47" s="141" t="s">
        <v>15</v>
      </c>
      <c r="D47" s="143" t="s">
        <v>114</v>
      </c>
      <c r="E47" s="141" t="s">
        <v>115</v>
      </c>
      <c r="F47" s="141">
        <v>165</v>
      </c>
      <c r="G47" s="180">
        <v>86.5</v>
      </c>
      <c r="H47" s="180">
        <f>TRUNC(G47 * (1 + 22.88 / 100), 2)</f>
        <v>106.29</v>
      </c>
      <c r="I47" s="180">
        <f>TRUNC(F47 * H47, 2)</f>
        <v>17537.849999999999</v>
      </c>
      <c r="J47" s="144">
        <f t="shared" si="0"/>
        <v>5.6808818102254584E-3</v>
      </c>
    </row>
    <row r="48" spans="1:12" ht="20.100000000000001" customHeight="1">
      <c r="A48" s="142" t="s">
        <v>116</v>
      </c>
      <c r="B48" s="141" t="s">
        <v>117</v>
      </c>
      <c r="C48" s="141" t="s">
        <v>15</v>
      </c>
      <c r="D48" s="143" t="s">
        <v>118</v>
      </c>
      <c r="E48" s="141" t="s">
        <v>115</v>
      </c>
      <c r="F48" s="141">
        <v>32</v>
      </c>
      <c r="G48" s="180">
        <v>70.03</v>
      </c>
      <c r="H48" s="180">
        <f>TRUNC(G48 * (1 + 22.88 / 100), 2)</f>
        <v>86.05</v>
      </c>
      <c r="I48" s="180">
        <f>TRUNC(F48 * H48, 2)</f>
        <v>2753.6</v>
      </c>
      <c r="J48" s="144">
        <f t="shared" si="0"/>
        <v>8.9194947799398571E-4</v>
      </c>
    </row>
    <row r="49" spans="1:11" ht="20.100000000000001" customHeight="1">
      <c r="A49" s="159" t="s">
        <v>119</v>
      </c>
      <c r="B49" s="160"/>
      <c r="C49" s="160"/>
      <c r="D49" s="161" t="s">
        <v>120</v>
      </c>
      <c r="E49" s="161"/>
      <c r="F49" s="160"/>
      <c r="G49" s="179"/>
      <c r="H49" s="179"/>
      <c r="I49" s="179">
        <f>SUM(I50:I52)</f>
        <v>46931.380000000005</v>
      </c>
      <c r="J49" s="162">
        <f t="shared" si="0"/>
        <v>1.5202069978405501E-2</v>
      </c>
      <c r="K49" s="182">
        <f>I49/2</f>
        <v>23465.690000000002</v>
      </c>
    </row>
    <row r="50" spans="1:11" ht="20.100000000000001" customHeight="1">
      <c r="A50" s="142" t="s">
        <v>121</v>
      </c>
      <c r="B50" s="141" t="s">
        <v>122</v>
      </c>
      <c r="C50" s="141" t="s">
        <v>15</v>
      </c>
      <c r="D50" s="143" t="s">
        <v>123</v>
      </c>
      <c r="E50" s="141" t="s">
        <v>21</v>
      </c>
      <c r="F50" s="141">
        <v>405.39</v>
      </c>
      <c r="G50" s="180">
        <v>32.479999999999997</v>
      </c>
      <c r="H50" s="180">
        <f>TRUNC(G50 * (1 + 22.88 / 100), 2)</f>
        <v>39.909999999999997</v>
      </c>
      <c r="I50" s="180">
        <f>TRUNC(F50 * H50, 2)</f>
        <v>16179.11</v>
      </c>
      <c r="J50" s="144">
        <f t="shared" si="0"/>
        <v>5.2407570885049668E-3</v>
      </c>
    </row>
    <row r="51" spans="1:11" ht="20.100000000000001" customHeight="1">
      <c r="A51" s="142" t="s">
        <v>124</v>
      </c>
      <c r="B51" s="141" t="s">
        <v>125</v>
      </c>
      <c r="C51" s="141" t="s">
        <v>15</v>
      </c>
      <c r="D51" s="143" t="s">
        <v>126</v>
      </c>
      <c r="E51" s="141" t="s">
        <v>21</v>
      </c>
      <c r="F51" s="141">
        <v>25</v>
      </c>
      <c r="G51" s="180">
        <v>83.7</v>
      </c>
      <c r="H51" s="180">
        <f>TRUNC(G51 * (1 + 22.88 / 100), 2)</f>
        <v>102.85</v>
      </c>
      <c r="I51" s="180">
        <f>TRUNC(F51 * H51, 2)</f>
        <v>2571.25</v>
      </c>
      <c r="J51" s="144">
        <f t="shared" si="0"/>
        <v>8.3288244308978639E-4</v>
      </c>
    </row>
    <row r="52" spans="1:11" ht="20.100000000000001" customHeight="1">
      <c r="A52" s="142" t="s">
        <v>127</v>
      </c>
      <c r="B52" s="141" t="s">
        <v>128</v>
      </c>
      <c r="C52" s="141" t="s">
        <v>15</v>
      </c>
      <c r="D52" s="143" t="s">
        <v>129</v>
      </c>
      <c r="E52" s="141" t="s">
        <v>21</v>
      </c>
      <c r="F52" s="141">
        <v>314.38</v>
      </c>
      <c r="G52" s="180">
        <v>72.95</v>
      </c>
      <c r="H52" s="180">
        <f>TRUNC(G52 * (1 + 22.88 / 100), 2)</f>
        <v>89.64</v>
      </c>
      <c r="I52" s="180">
        <f>TRUNC(F52 * H52, 2)</f>
        <v>28181.02</v>
      </c>
      <c r="J52" s="144">
        <f t="shared" si="0"/>
        <v>9.1284304468107463E-3</v>
      </c>
    </row>
    <row r="53" spans="1:11" ht="20.100000000000001" customHeight="1">
      <c r="A53" s="159" t="s">
        <v>130</v>
      </c>
      <c r="B53" s="160"/>
      <c r="C53" s="160"/>
      <c r="D53" s="161" t="s">
        <v>131</v>
      </c>
      <c r="E53" s="161"/>
      <c r="F53" s="160"/>
      <c r="G53" s="179"/>
      <c r="H53" s="179"/>
      <c r="I53" s="179">
        <f>SUM(I54,I58,I61)</f>
        <v>122025.14</v>
      </c>
      <c r="J53" s="162">
        <f t="shared" si="0"/>
        <v>3.9526532512036257E-2</v>
      </c>
      <c r="K53" s="182">
        <f>I53/2</f>
        <v>61012.57</v>
      </c>
    </row>
    <row r="54" spans="1:11" ht="20.100000000000001" customHeight="1">
      <c r="A54" s="159" t="s">
        <v>132</v>
      </c>
      <c r="B54" s="160"/>
      <c r="C54" s="160"/>
      <c r="D54" s="161" t="s">
        <v>690</v>
      </c>
      <c r="E54" s="161"/>
      <c r="F54" s="160"/>
      <c r="G54" s="179"/>
      <c r="H54" s="179"/>
      <c r="I54" s="179">
        <f>SUM(I55:I57)</f>
        <v>20344.199999999997</v>
      </c>
      <c r="J54" s="162">
        <f t="shared" si="0"/>
        <v>6.5899181327009164E-3</v>
      </c>
    </row>
    <row r="55" spans="1:11" ht="20.100000000000001" customHeight="1">
      <c r="A55" s="142" t="s">
        <v>133</v>
      </c>
      <c r="B55" s="141" t="s">
        <v>134</v>
      </c>
      <c r="C55" s="141" t="s">
        <v>15</v>
      </c>
      <c r="D55" s="143" t="s">
        <v>135</v>
      </c>
      <c r="E55" s="141" t="s">
        <v>115</v>
      </c>
      <c r="F55" s="141">
        <v>130</v>
      </c>
      <c r="G55" s="180">
        <v>13.3</v>
      </c>
      <c r="H55" s="180">
        <f>TRUNC(G55 * (1 + 22.88 / 100), 2)</f>
        <v>16.34</v>
      </c>
      <c r="I55" s="180">
        <f>TRUNC(F55 * H55, 2)</f>
        <v>2124.1999999999998</v>
      </c>
      <c r="J55" s="144">
        <f t="shared" si="0"/>
        <v>6.8807346061694669E-4</v>
      </c>
    </row>
    <row r="56" spans="1:11" ht="20.100000000000001" customHeight="1">
      <c r="A56" s="142" t="s">
        <v>136</v>
      </c>
      <c r="B56" s="141" t="s">
        <v>137</v>
      </c>
      <c r="C56" s="141" t="s">
        <v>15</v>
      </c>
      <c r="D56" s="143" t="s">
        <v>138</v>
      </c>
      <c r="E56" s="141" t="s">
        <v>21</v>
      </c>
      <c r="F56" s="141">
        <v>23.94</v>
      </c>
      <c r="G56" s="180">
        <v>231.01</v>
      </c>
      <c r="H56" s="180">
        <f>TRUNC(G56 * (1 + 22.88 / 100), 2)</f>
        <v>283.86</v>
      </c>
      <c r="I56" s="180">
        <f>TRUNC(F56 * H56, 2)</f>
        <v>6795.6</v>
      </c>
      <c r="J56" s="144">
        <f t="shared" si="0"/>
        <v>2.2012390589250183E-3</v>
      </c>
    </row>
    <row r="57" spans="1:11" ht="20.100000000000001" customHeight="1">
      <c r="A57" s="142" t="s">
        <v>139</v>
      </c>
      <c r="B57" s="141" t="s">
        <v>691</v>
      </c>
      <c r="C57" s="141" t="s">
        <v>15</v>
      </c>
      <c r="D57" s="143" t="s">
        <v>140</v>
      </c>
      <c r="E57" s="141" t="s">
        <v>21</v>
      </c>
      <c r="F57" s="141">
        <v>23.94</v>
      </c>
      <c r="G57" s="180">
        <v>388.36</v>
      </c>
      <c r="H57" s="180">
        <f>TRUNC(G57 * (1 + 22.88 / 100), 2)</f>
        <v>477.21</v>
      </c>
      <c r="I57" s="180">
        <f>TRUNC(F57 * H57, 2)</f>
        <v>11424.4</v>
      </c>
      <c r="J57" s="144">
        <f t="shared" si="0"/>
        <v>3.700605613158952E-3</v>
      </c>
    </row>
    <row r="58" spans="1:11" ht="20.100000000000001" customHeight="1">
      <c r="A58" s="159" t="s">
        <v>141</v>
      </c>
      <c r="B58" s="160"/>
      <c r="C58" s="160"/>
      <c r="D58" s="161" t="s">
        <v>692</v>
      </c>
      <c r="E58" s="161"/>
      <c r="F58" s="160"/>
      <c r="G58" s="179"/>
      <c r="H58" s="179"/>
      <c r="I58" s="179">
        <f>SUM(I59:I60)</f>
        <v>32364.37</v>
      </c>
      <c r="J58" s="162">
        <f t="shared" si="0"/>
        <v>1.0483506292527678E-2</v>
      </c>
    </row>
    <row r="59" spans="1:11" ht="20.100000000000001" customHeight="1">
      <c r="A59" s="142" t="s">
        <v>142</v>
      </c>
      <c r="B59" s="141" t="s">
        <v>693</v>
      </c>
      <c r="C59" s="141" t="s">
        <v>15</v>
      </c>
      <c r="D59" s="143" t="s">
        <v>143</v>
      </c>
      <c r="E59" s="141" t="s">
        <v>21</v>
      </c>
      <c r="F59" s="141">
        <v>68.86</v>
      </c>
      <c r="G59" s="180">
        <v>356.49</v>
      </c>
      <c r="H59" s="180">
        <f>TRUNC(G59 * (1 + 22.88 / 100), 2)</f>
        <v>438.05</v>
      </c>
      <c r="I59" s="180">
        <f>TRUNC(F59 * H59, 2)</f>
        <v>30164.12</v>
      </c>
      <c r="J59" s="144">
        <f t="shared" si="0"/>
        <v>9.770798622947394E-3</v>
      </c>
    </row>
    <row r="60" spans="1:11" ht="20.100000000000001" customHeight="1">
      <c r="A60" s="142" t="s">
        <v>144</v>
      </c>
      <c r="B60" s="141" t="s">
        <v>694</v>
      </c>
      <c r="C60" s="141" t="s">
        <v>15</v>
      </c>
      <c r="D60" s="143" t="s">
        <v>145</v>
      </c>
      <c r="E60" s="141" t="s">
        <v>21</v>
      </c>
      <c r="F60" s="141">
        <v>4.2</v>
      </c>
      <c r="G60" s="180">
        <v>426.33</v>
      </c>
      <c r="H60" s="180">
        <f>TRUNC(G60 * (1 + 22.88 / 100), 2)</f>
        <v>523.87</v>
      </c>
      <c r="I60" s="180">
        <f>TRUNC(F60 * H60, 2)</f>
        <v>2200.25</v>
      </c>
      <c r="J60" s="144">
        <f t="shared" si="0"/>
        <v>7.1270766958028296E-4</v>
      </c>
    </row>
    <row r="61" spans="1:11" ht="20.100000000000001" customHeight="1">
      <c r="A61" s="159" t="s">
        <v>146</v>
      </c>
      <c r="B61" s="160"/>
      <c r="C61" s="160"/>
      <c r="D61" s="161" t="s">
        <v>695</v>
      </c>
      <c r="E61" s="161"/>
      <c r="F61" s="160"/>
      <c r="G61" s="179"/>
      <c r="H61" s="179"/>
      <c r="I61" s="179">
        <f>SUM(I62:I63)</f>
        <v>69316.570000000007</v>
      </c>
      <c r="J61" s="162">
        <f t="shared" si="0"/>
        <v>2.2453108086807661E-2</v>
      </c>
    </row>
    <row r="62" spans="1:11" ht="20.100000000000001" customHeight="1">
      <c r="A62" s="142" t="s">
        <v>147</v>
      </c>
      <c r="B62" s="141" t="s">
        <v>696</v>
      </c>
      <c r="C62" s="141" t="s">
        <v>15</v>
      </c>
      <c r="D62" s="143" t="s">
        <v>148</v>
      </c>
      <c r="E62" s="141" t="s">
        <v>21</v>
      </c>
      <c r="F62" s="141">
        <v>24.8</v>
      </c>
      <c r="G62" s="180">
        <v>1479.76</v>
      </c>
      <c r="H62" s="180">
        <f>TRUNC(G62 * (1 + 22.88 / 100), 2)</f>
        <v>1818.32</v>
      </c>
      <c r="I62" s="180">
        <f>TRUNC(F62 * H62, 2)</f>
        <v>45094.33</v>
      </c>
      <c r="J62" s="144">
        <f t="shared" si="0"/>
        <v>1.460701049680002E-2</v>
      </c>
    </row>
    <row r="63" spans="1:11" ht="20.100000000000001" customHeight="1">
      <c r="A63" s="142" t="s">
        <v>149</v>
      </c>
      <c r="B63" s="141" t="s">
        <v>150</v>
      </c>
      <c r="C63" s="141" t="s">
        <v>15</v>
      </c>
      <c r="D63" s="143" t="s">
        <v>151</v>
      </c>
      <c r="E63" s="141" t="s">
        <v>21</v>
      </c>
      <c r="F63" s="141">
        <v>25.95</v>
      </c>
      <c r="G63" s="180">
        <v>759.62</v>
      </c>
      <c r="H63" s="180">
        <f>TRUNC(G63 * (1 + 22.88 / 100), 2)</f>
        <v>933.42</v>
      </c>
      <c r="I63" s="180">
        <f>TRUNC(F63 * H63, 2)</f>
        <v>24222.240000000002</v>
      </c>
      <c r="J63" s="144">
        <f t="shared" si="0"/>
        <v>7.8460975900076415E-3</v>
      </c>
    </row>
    <row r="64" spans="1:11" ht="20.100000000000001" customHeight="1">
      <c r="A64" s="159" t="s">
        <v>152</v>
      </c>
      <c r="B64" s="160"/>
      <c r="C64" s="160"/>
      <c r="D64" s="161" t="s">
        <v>153</v>
      </c>
      <c r="E64" s="161"/>
      <c r="F64" s="160"/>
      <c r="G64" s="179"/>
      <c r="H64" s="179"/>
      <c r="I64" s="179">
        <f>SUM(I65)</f>
        <v>6180.4599999999991</v>
      </c>
      <c r="J64" s="162">
        <f t="shared" si="0"/>
        <v>2.0019821581793683E-3</v>
      </c>
      <c r="K64" s="182">
        <f>I64</f>
        <v>6180.4599999999991</v>
      </c>
    </row>
    <row r="65" spans="1:11" ht="20.100000000000001" customHeight="1">
      <c r="A65" s="159" t="s">
        <v>154</v>
      </c>
      <c r="B65" s="160"/>
      <c r="C65" s="160"/>
      <c r="D65" s="161" t="s">
        <v>697</v>
      </c>
      <c r="E65" s="161"/>
      <c r="F65" s="160"/>
      <c r="G65" s="179"/>
      <c r="H65" s="179"/>
      <c r="I65" s="179">
        <f>SUM(I66:I71)</f>
        <v>6180.4599999999991</v>
      </c>
      <c r="J65" s="162">
        <f t="shared" si="0"/>
        <v>2.0019821581793683E-3</v>
      </c>
    </row>
    <row r="66" spans="1:11" ht="20.100000000000001" customHeight="1">
      <c r="A66" s="142" t="s">
        <v>155</v>
      </c>
      <c r="B66" s="141" t="s">
        <v>156</v>
      </c>
      <c r="C66" s="141" t="s">
        <v>15</v>
      </c>
      <c r="D66" s="143" t="s">
        <v>157</v>
      </c>
      <c r="E66" s="141" t="s">
        <v>33</v>
      </c>
      <c r="F66" s="141">
        <v>4</v>
      </c>
      <c r="G66" s="180">
        <v>79.25</v>
      </c>
      <c r="H66" s="180">
        <f t="shared" ref="H66:H71" si="3">TRUNC(G66 * (1 + 22.88 / 100), 2)</f>
        <v>97.38</v>
      </c>
      <c r="I66" s="180">
        <f t="shared" ref="I66:I71" si="4">TRUNC(F66 * H66, 2)</f>
        <v>389.52</v>
      </c>
      <c r="J66" s="144">
        <f t="shared" si="0"/>
        <v>1.2617379454830669E-4</v>
      </c>
    </row>
    <row r="67" spans="1:11" ht="20.100000000000001" customHeight="1">
      <c r="A67" s="142" t="s">
        <v>158</v>
      </c>
      <c r="B67" s="141" t="s">
        <v>159</v>
      </c>
      <c r="C67" s="141" t="s">
        <v>15</v>
      </c>
      <c r="D67" s="143" t="s">
        <v>160</v>
      </c>
      <c r="E67" s="141" t="s">
        <v>33</v>
      </c>
      <c r="F67" s="141">
        <v>8</v>
      </c>
      <c r="G67" s="180">
        <v>118.53</v>
      </c>
      <c r="H67" s="180">
        <f t="shared" si="3"/>
        <v>145.63999999999999</v>
      </c>
      <c r="I67" s="180">
        <f t="shared" si="4"/>
        <v>1165.1199999999999</v>
      </c>
      <c r="J67" s="144">
        <f t="shared" si="0"/>
        <v>3.774070946398724E-4</v>
      </c>
    </row>
    <row r="68" spans="1:11" ht="20.100000000000001" customHeight="1">
      <c r="A68" s="142" t="s">
        <v>161</v>
      </c>
      <c r="B68" s="141" t="s">
        <v>162</v>
      </c>
      <c r="C68" s="141" t="s">
        <v>15</v>
      </c>
      <c r="D68" s="143" t="s">
        <v>163</v>
      </c>
      <c r="E68" s="141" t="s">
        <v>33</v>
      </c>
      <c r="F68" s="141">
        <v>2</v>
      </c>
      <c r="G68" s="180">
        <v>92.21</v>
      </c>
      <c r="H68" s="180">
        <f t="shared" si="3"/>
        <v>113.3</v>
      </c>
      <c r="I68" s="180">
        <f t="shared" si="4"/>
        <v>226.6</v>
      </c>
      <c r="J68" s="144">
        <f t="shared" si="0"/>
        <v>7.3400548995292405E-5</v>
      </c>
    </row>
    <row r="69" spans="1:11" ht="25.5">
      <c r="A69" s="142" t="s">
        <v>164</v>
      </c>
      <c r="B69" s="141" t="s">
        <v>698</v>
      </c>
      <c r="C69" s="141" t="s">
        <v>521</v>
      </c>
      <c r="D69" s="143" t="s">
        <v>699</v>
      </c>
      <c r="E69" s="141" t="s">
        <v>700</v>
      </c>
      <c r="F69" s="141">
        <v>4</v>
      </c>
      <c r="G69" s="180">
        <v>258.69</v>
      </c>
      <c r="H69" s="180">
        <f t="shared" si="3"/>
        <v>317.87</v>
      </c>
      <c r="I69" s="180">
        <f t="shared" si="4"/>
        <v>1271.48</v>
      </c>
      <c r="J69" s="144">
        <f t="shared" si="0"/>
        <v>4.1185935585407943E-4</v>
      </c>
    </row>
    <row r="70" spans="1:11" ht="25.5">
      <c r="A70" s="142" t="s">
        <v>165</v>
      </c>
      <c r="B70" s="141" t="s">
        <v>701</v>
      </c>
      <c r="C70" s="141" t="s">
        <v>521</v>
      </c>
      <c r="D70" s="143" t="s">
        <v>702</v>
      </c>
      <c r="E70" s="141" t="s">
        <v>700</v>
      </c>
      <c r="F70" s="141">
        <v>8</v>
      </c>
      <c r="G70" s="180">
        <v>241.28</v>
      </c>
      <c r="H70" s="180">
        <f t="shared" si="3"/>
        <v>296.48</v>
      </c>
      <c r="I70" s="180">
        <f t="shared" si="4"/>
        <v>2371.84</v>
      </c>
      <c r="J70" s="144">
        <f t="shared" si="0"/>
        <v>7.6828931213148441E-4</v>
      </c>
    </row>
    <row r="71" spans="1:11" ht="25.5">
      <c r="A71" s="142" t="s">
        <v>166</v>
      </c>
      <c r="B71" s="141" t="s">
        <v>703</v>
      </c>
      <c r="C71" s="141" t="s">
        <v>521</v>
      </c>
      <c r="D71" s="143" t="s">
        <v>704</v>
      </c>
      <c r="E71" s="141" t="s">
        <v>700</v>
      </c>
      <c r="F71" s="141">
        <v>2</v>
      </c>
      <c r="G71" s="180">
        <v>307.58</v>
      </c>
      <c r="H71" s="180">
        <f t="shared" si="3"/>
        <v>377.95</v>
      </c>
      <c r="I71" s="180">
        <f t="shared" si="4"/>
        <v>755.9</v>
      </c>
      <c r="J71" s="144">
        <f t="shared" si="0"/>
        <v>2.4485205201033332E-4</v>
      </c>
    </row>
    <row r="72" spans="1:11" ht="20.100000000000001" customHeight="1">
      <c r="A72" s="159" t="s">
        <v>167</v>
      </c>
      <c r="B72" s="160"/>
      <c r="C72" s="160"/>
      <c r="D72" s="161" t="s">
        <v>168</v>
      </c>
      <c r="E72" s="161"/>
      <c r="F72" s="160"/>
      <c r="G72" s="179"/>
      <c r="H72" s="179"/>
      <c r="I72" s="179">
        <f>SUM(I73:I76)</f>
        <v>156218.98999999996</v>
      </c>
      <c r="J72" s="162">
        <f t="shared" si="0"/>
        <v>5.0602646202515852E-2</v>
      </c>
      <c r="K72" s="182">
        <f>I72/4</f>
        <v>39054.74749999999</v>
      </c>
    </row>
    <row r="73" spans="1:11" ht="20.100000000000001" customHeight="1">
      <c r="A73" s="142" t="s">
        <v>169</v>
      </c>
      <c r="B73" s="141" t="s">
        <v>170</v>
      </c>
      <c r="C73" s="141" t="s">
        <v>15</v>
      </c>
      <c r="D73" s="143" t="s">
        <v>171</v>
      </c>
      <c r="E73" s="141" t="s">
        <v>21</v>
      </c>
      <c r="F73" s="141">
        <v>1974.27</v>
      </c>
      <c r="G73" s="180">
        <v>11.67</v>
      </c>
      <c r="H73" s="180">
        <f>TRUNC(G73 * (1 + 22.88 / 100), 2)</f>
        <v>14.34</v>
      </c>
      <c r="I73" s="180">
        <f>TRUNC(F73 * H73, 2)</f>
        <v>28311.03</v>
      </c>
      <c r="J73" s="144">
        <f t="shared" si="0"/>
        <v>9.1705434449346566E-3</v>
      </c>
    </row>
    <row r="74" spans="1:11" ht="20.100000000000001" customHeight="1">
      <c r="A74" s="142" t="s">
        <v>172</v>
      </c>
      <c r="B74" s="141" t="s">
        <v>173</v>
      </c>
      <c r="C74" s="141" t="s">
        <v>15</v>
      </c>
      <c r="D74" s="143" t="s">
        <v>174</v>
      </c>
      <c r="E74" s="141" t="s">
        <v>21</v>
      </c>
      <c r="F74" s="141">
        <v>1854.27</v>
      </c>
      <c r="G74" s="180">
        <v>47.7</v>
      </c>
      <c r="H74" s="180">
        <f>TRUNC(G74 * (1 + 22.88 / 100), 2)</f>
        <v>58.61</v>
      </c>
      <c r="I74" s="180">
        <f>TRUNC(F74 * H74, 2)</f>
        <v>108678.76</v>
      </c>
      <c r="J74" s="144">
        <f t="shared" ref="J74:J137" si="5">I74 / 3087170.37</f>
        <v>3.5203356787853593E-2</v>
      </c>
    </row>
    <row r="75" spans="1:11" ht="20.100000000000001" customHeight="1">
      <c r="A75" s="142" t="s">
        <v>175</v>
      </c>
      <c r="B75" s="141" t="s">
        <v>705</v>
      </c>
      <c r="C75" s="141" t="s">
        <v>15</v>
      </c>
      <c r="D75" s="143" t="s">
        <v>706</v>
      </c>
      <c r="E75" s="141" t="s">
        <v>21</v>
      </c>
      <c r="F75" s="141">
        <v>120.87</v>
      </c>
      <c r="G75" s="180">
        <v>40.72</v>
      </c>
      <c r="H75" s="180">
        <f>TRUNC(G75 * (1 + 22.88 / 100), 2)</f>
        <v>50.03</v>
      </c>
      <c r="I75" s="180">
        <f>TRUNC(F75 * H75, 2)</f>
        <v>6047.12</v>
      </c>
      <c r="J75" s="144">
        <f t="shared" si="5"/>
        <v>1.9587905023848748E-3</v>
      </c>
    </row>
    <row r="76" spans="1:11" ht="20.100000000000001" customHeight="1">
      <c r="A76" s="142" t="s">
        <v>707</v>
      </c>
      <c r="B76" s="141" t="s">
        <v>176</v>
      </c>
      <c r="C76" s="141" t="s">
        <v>15</v>
      </c>
      <c r="D76" s="143" t="s">
        <v>177</v>
      </c>
      <c r="E76" s="141" t="s">
        <v>21</v>
      </c>
      <c r="F76" s="141">
        <v>120.87</v>
      </c>
      <c r="G76" s="180">
        <v>88.76</v>
      </c>
      <c r="H76" s="180">
        <f>TRUNC(G76 * (1 + 22.88 / 100), 2)</f>
        <v>109.06</v>
      </c>
      <c r="I76" s="180">
        <f>TRUNC(F76 * H76, 2)</f>
        <v>13182.08</v>
      </c>
      <c r="J76" s="144">
        <f t="shared" si="5"/>
        <v>4.2699554673427363E-3</v>
      </c>
    </row>
    <row r="77" spans="1:11" ht="20.100000000000001" customHeight="1">
      <c r="A77" s="159" t="s">
        <v>178</v>
      </c>
      <c r="B77" s="160"/>
      <c r="C77" s="160"/>
      <c r="D77" s="161" t="s">
        <v>179</v>
      </c>
      <c r="E77" s="161"/>
      <c r="F77" s="160"/>
      <c r="G77" s="179"/>
      <c r="H77" s="179"/>
      <c r="I77" s="179">
        <f>SUM(I78)</f>
        <v>2798.57</v>
      </c>
      <c r="J77" s="162">
        <f t="shared" si="5"/>
        <v>9.0651621536520517E-4</v>
      </c>
      <c r="K77" s="182">
        <f>I77/2</f>
        <v>1399.2850000000001</v>
      </c>
    </row>
    <row r="78" spans="1:11" ht="20.100000000000001" customHeight="1">
      <c r="A78" s="142" t="s">
        <v>180</v>
      </c>
      <c r="B78" s="141" t="s">
        <v>181</v>
      </c>
      <c r="C78" s="141" t="s">
        <v>15</v>
      </c>
      <c r="D78" s="143" t="s">
        <v>182</v>
      </c>
      <c r="E78" s="141" t="s">
        <v>21</v>
      </c>
      <c r="F78" s="141">
        <v>3.52</v>
      </c>
      <c r="G78" s="180">
        <v>647.02</v>
      </c>
      <c r="H78" s="180">
        <f>TRUNC(G78 * (1 + 22.88 / 100), 2)</f>
        <v>795.05</v>
      </c>
      <c r="I78" s="180">
        <f>TRUNC(F78 * H78, 2)</f>
        <v>2798.57</v>
      </c>
      <c r="J78" s="144">
        <f t="shared" si="5"/>
        <v>9.0651621536520517E-4</v>
      </c>
    </row>
    <row r="79" spans="1:11" ht="20.100000000000001" customHeight="1">
      <c r="A79" s="159" t="s">
        <v>183</v>
      </c>
      <c r="B79" s="160"/>
      <c r="C79" s="160"/>
      <c r="D79" s="161" t="s">
        <v>184</v>
      </c>
      <c r="E79" s="161"/>
      <c r="F79" s="160"/>
      <c r="G79" s="179"/>
      <c r="H79" s="179"/>
      <c r="I79" s="179">
        <f>SUM(I80:I82)</f>
        <v>384874.52</v>
      </c>
      <c r="J79" s="162">
        <f t="shared" si="5"/>
        <v>0.12466902498808319</v>
      </c>
      <c r="K79" s="182">
        <f>I79/4</f>
        <v>96218.63</v>
      </c>
    </row>
    <row r="80" spans="1:11" ht="20.100000000000001" customHeight="1">
      <c r="A80" s="142" t="s">
        <v>185</v>
      </c>
      <c r="B80" s="141" t="s">
        <v>186</v>
      </c>
      <c r="C80" s="141" t="s">
        <v>15</v>
      </c>
      <c r="D80" s="143" t="s">
        <v>187</v>
      </c>
      <c r="E80" s="141" t="s">
        <v>21</v>
      </c>
      <c r="F80" s="141">
        <v>62.54</v>
      </c>
      <c r="G80" s="180">
        <v>128.31</v>
      </c>
      <c r="H80" s="180">
        <f>TRUNC(G80 * (1 + 22.88 / 100), 2)</f>
        <v>157.66</v>
      </c>
      <c r="I80" s="180">
        <f>TRUNC(F80 * H80, 2)</f>
        <v>9860.0499999999993</v>
      </c>
      <c r="J80" s="144">
        <f t="shared" si="5"/>
        <v>3.1938794489012926E-3</v>
      </c>
    </row>
    <row r="81" spans="1:11" ht="20.100000000000001" customHeight="1">
      <c r="A81" s="142" t="s">
        <v>188</v>
      </c>
      <c r="B81" s="141" t="s">
        <v>189</v>
      </c>
      <c r="C81" s="141" t="s">
        <v>15</v>
      </c>
      <c r="D81" s="143" t="s">
        <v>190</v>
      </c>
      <c r="E81" s="141" t="s">
        <v>21</v>
      </c>
      <c r="F81" s="141">
        <v>1515.21</v>
      </c>
      <c r="G81" s="180">
        <v>75.7</v>
      </c>
      <c r="H81" s="180">
        <f>TRUNC(G81 * (1 + 22.88 / 100), 2)</f>
        <v>93.02</v>
      </c>
      <c r="I81" s="180">
        <f>TRUNC(F81 * H81, 2)</f>
        <v>140944.82999999999</v>
      </c>
      <c r="J81" s="144">
        <f t="shared" si="5"/>
        <v>4.565502162421959E-2</v>
      </c>
    </row>
    <row r="82" spans="1:11" ht="20.100000000000001" customHeight="1">
      <c r="A82" s="142" t="s">
        <v>191</v>
      </c>
      <c r="B82" s="141" t="s">
        <v>192</v>
      </c>
      <c r="C82" s="141" t="s">
        <v>15</v>
      </c>
      <c r="D82" s="143" t="s">
        <v>193</v>
      </c>
      <c r="E82" s="141" t="s">
        <v>21</v>
      </c>
      <c r="F82" s="141">
        <v>1515.21</v>
      </c>
      <c r="G82" s="180">
        <v>125.72</v>
      </c>
      <c r="H82" s="180">
        <f>TRUNC(G82 * (1 + 22.88 / 100), 2)</f>
        <v>154.47999999999999</v>
      </c>
      <c r="I82" s="180">
        <f>TRUNC(F82 * H82, 2)</f>
        <v>234069.64</v>
      </c>
      <c r="J82" s="144">
        <f t="shared" si="5"/>
        <v>7.5820123914962304E-2</v>
      </c>
    </row>
    <row r="83" spans="1:11" ht="20.100000000000001" customHeight="1">
      <c r="A83" s="159" t="s">
        <v>194</v>
      </c>
      <c r="B83" s="160"/>
      <c r="C83" s="160"/>
      <c r="D83" s="161" t="s">
        <v>195</v>
      </c>
      <c r="E83" s="161"/>
      <c r="F83" s="160"/>
      <c r="G83" s="179"/>
      <c r="H83" s="179"/>
      <c r="I83" s="179">
        <f>SUM(I84:I85)</f>
        <v>34686.17</v>
      </c>
      <c r="J83" s="162">
        <f t="shared" si="5"/>
        <v>1.1235586586690386E-2</v>
      </c>
      <c r="K83" s="182">
        <f>I83/2</f>
        <v>17343.084999999999</v>
      </c>
    </row>
    <row r="84" spans="1:11" ht="20.100000000000001" customHeight="1">
      <c r="A84" s="142" t="s">
        <v>196</v>
      </c>
      <c r="B84" s="141" t="s">
        <v>197</v>
      </c>
      <c r="C84" s="141" t="s">
        <v>15</v>
      </c>
      <c r="D84" s="143" t="s">
        <v>198</v>
      </c>
      <c r="E84" s="141" t="s">
        <v>21</v>
      </c>
      <c r="F84" s="141">
        <v>295.73</v>
      </c>
      <c r="G84" s="180">
        <v>57.36</v>
      </c>
      <c r="H84" s="180">
        <f>TRUNC(G84 * (1 + 22.88 / 100), 2)</f>
        <v>70.48</v>
      </c>
      <c r="I84" s="180">
        <f>TRUNC(F84 * H84, 2)</f>
        <v>20843.05</v>
      </c>
      <c r="J84" s="144">
        <f t="shared" si="5"/>
        <v>6.7515062344939512E-3</v>
      </c>
    </row>
    <row r="85" spans="1:11" ht="20.100000000000001" customHeight="1">
      <c r="A85" s="142" t="s">
        <v>199</v>
      </c>
      <c r="B85" s="141" t="s">
        <v>200</v>
      </c>
      <c r="C85" s="141" t="s">
        <v>15</v>
      </c>
      <c r="D85" s="143" t="s">
        <v>201</v>
      </c>
      <c r="E85" s="141" t="s">
        <v>21</v>
      </c>
      <c r="F85" s="141">
        <v>295.73</v>
      </c>
      <c r="G85" s="180">
        <v>38.1</v>
      </c>
      <c r="H85" s="180">
        <f>TRUNC(G85 * (1 + 22.88 / 100), 2)</f>
        <v>46.81</v>
      </c>
      <c r="I85" s="180">
        <f>TRUNC(F85 * H85, 2)</f>
        <v>13843.12</v>
      </c>
      <c r="J85" s="144">
        <f t="shared" si="5"/>
        <v>4.4840803521964357E-3</v>
      </c>
    </row>
    <row r="86" spans="1:11" ht="20.100000000000001" customHeight="1">
      <c r="A86" s="159" t="s">
        <v>202</v>
      </c>
      <c r="B86" s="160"/>
      <c r="C86" s="160"/>
      <c r="D86" s="161" t="s">
        <v>203</v>
      </c>
      <c r="E86" s="161"/>
      <c r="F86" s="160"/>
      <c r="G86" s="179"/>
      <c r="H86" s="179"/>
      <c r="I86" s="179">
        <f>SUM(I87,I90,I92)</f>
        <v>148778.13</v>
      </c>
      <c r="J86" s="162">
        <f t="shared" si="5"/>
        <v>4.8192393735626581E-2</v>
      </c>
      <c r="K86" s="182">
        <f>I86/2</f>
        <v>74389.065000000002</v>
      </c>
    </row>
    <row r="87" spans="1:11" ht="20.100000000000001" customHeight="1">
      <c r="A87" s="159" t="s">
        <v>204</v>
      </c>
      <c r="B87" s="160"/>
      <c r="C87" s="160"/>
      <c r="D87" s="161" t="s">
        <v>205</v>
      </c>
      <c r="E87" s="161"/>
      <c r="F87" s="160"/>
      <c r="G87" s="179"/>
      <c r="H87" s="179"/>
      <c r="I87" s="179">
        <f>SUM(I88:I89)</f>
        <v>11533.07</v>
      </c>
      <c r="J87" s="162">
        <f t="shared" si="5"/>
        <v>3.7358061323968976E-3</v>
      </c>
    </row>
    <row r="88" spans="1:11" ht="20.100000000000001" customHeight="1">
      <c r="A88" s="142" t="s">
        <v>206</v>
      </c>
      <c r="B88" s="141" t="s">
        <v>207</v>
      </c>
      <c r="C88" s="141" t="s">
        <v>15</v>
      </c>
      <c r="D88" s="143" t="s">
        <v>208</v>
      </c>
      <c r="E88" s="141" t="s">
        <v>21</v>
      </c>
      <c r="F88" s="141">
        <v>47.88</v>
      </c>
      <c r="G88" s="180">
        <v>27.02</v>
      </c>
      <c r="H88" s="180">
        <f>TRUNC(G88 * (1 + 22.88 / 100), 2)</f>
        <v>33.200000000000003</v>
      </c>
      <c r="I88" s="180">
        <f>TRUNC(F88 * H88, 2)</f>
        <v>1589.61</v>
      </c>
      <c r="J88" s="144">
        <f t="shared" si="5"/>
        <v>5.1490841433542254E-4</v>
      </c>
    </row>
    <row r="89" spans="1:11" ht="20.100000000000001" customHeight="1">
      <c r="A89" s="142" t="s">
        <v>209</v>
      </c>
      <c r="B89" s="141" t="s">
        <v>210</v>
      </c>
      <c r="C89" s="141" t="s">
        <v>15</v>
      </c>
      <c r="D89" s="143" t="s">
        <v>211</v>
      </c>
      <c r="E89" s="141" t="s">
        <v>21</v>
      </c>
      <c r="F89" s="141">
        <v>146.12</v>
      </c>
      <c r="G89" s="180">
        <v>55.38</v>
      </c>
      <c r="H89" s="180">
        <f>TRUNC(G89 * (1 + 22.88 / 100), 2)</f>
        <v>68.05</v>
      </c>
      <c r="I89" s="180">
        <f>TRUNC(F89 * H89, 2)</f>
        <v>9943.4599999999991</v>
      </c>
      <c r="J89" s="144">
        <f t="shared" si="5"/>
        <v>3.2208977180614748E-3</v>
      </c>
    </row>
    <row r="90" spans="1:11" ht="20.100000000000001" customHeight="1">
      <c r="A90" s="159" t="s">
        <v>212</v>
      </c>
      <c r="B90" s="160"/>
      <c r="C90" s="160"/>
      <c r="D90" s="161" t="s">
        <v>213</v>
      </c>
      <c r="E90" s="161"/>
      <c r="F90" s="160"/>
      <c r="G90" s="179"/>
      <c r="H90" s="179"/>
      <c r="I90" s="179">
        <f>SUM(I91)</f>
        <v>99255.86</v>
      </c>
      <c r="J90" s="162">
        <f t="shared" si="5"/>
        <v>3.2151079501323405E-2</v>
      </c>
    </row>
    <row r="91" spans="1:11" ht="20.100000000000001" customHeight="1">
      <c r="A91" s="142" t="s">
        <v>214</v>
      </c>
      <c r="B91" s="141" t="s">
        <v>215</v>
      </c>
      <c r="C91" s="141" t="s">
        <v>15</v>
      </c>
      <c r="D91" s="143" t="s">
        <v>216</v>
      </c>
      <c r="E91" s="141" t="s">
        <v>21</v>
      </c>
      <c r="F91" s="141">
        <v>1854.21</v>
      </c>
      <c r="G91" s="180">
        <v>43.57</v>
      </c>
      <c r="H91" s="180">
        <f>TRUNC(G91 * (1 + 22.88 / 100), 2)</f>
        <v>53.53</v>
      </c>
      <c r="I91" s="180">
        <f>TRUNC(F91 * H91, 2)</f>
        <v>99255.86</v>
      </c>
      <c r="J91" s="144">
        <f t="shared" si="5"/>
        <v>3.2151079501323405E-2</v>
      </c>
    </row>
    <row r="92" spans="1:11" ht="20.100000000000001" customHeight="1">
      <c r="A92" s="159" t="s">
        <v>217</v>
      </c>
      <c r="B92" s="160"/>
      <c r="C92" s="160"/>
      <c r="D92" s="161" t="s">
        <v>218</v>
      </c>
      <c r="E92" s="161"/>
      <c r="F92" s="160"/>
      <c r="G92" s="179"/>
      <c r="H92" s="179"/>
      <c r="I92" s="179">
        <f>SUM(I93:I95)</f>
        <v>37989.199999999997</v>
      </c>
      <c r="J92" s="162">
        <f t="shared" si="5"/>
        <v>1.2305508101906277E-2</v>
      </c>
    </row>
    <row r="93" spans="1:11" ht="20.100000000000001" customHeight="1">
      <c r="A93" s="142" t="s">
        <v>219</v>
      </c>
      <c r="B93" s="141" t="s">
        <v>220</v>
      </c>
      <c r="C93" s="141" t="s">
        <v>15</v>
      </c>
      <c r="D93" s="143" t="s">
        <v>221</v>
      </c>
      <c r="E93" s="141" t="s">
        <v>21</v>
      </c>
      <c r="F93" s="141">
        <v>643.77</v>
      </c>
      <c r="G93" s="180">
        <v>20.48</v>
      </c>
      <c r="H93" s="180">
        <f>TRUNC(G93 * (1 + 22.88 / 100), 2)</f>
        <v>25.16</v>
      </c>
      <c r="I93" s="180">
        <f>TRUNC(F93 * H93, 2)</f>
        <v>16197.25</v>
      </c>
      <c r="J93" s="144">
        <f t="shared" si="5"/>
        <v>5.2466330194792582E-3</v>
      </c>
    </row>
    <row r="94" spans="1:11" ht="20.100000000000001" customHeight="1">
      <c r="A94" s="142" t="s">
        <v>222</v>
      </c>
      <c r="B94" s="141" t="s">
        <v>223</v>
      </c>
      <c r="C94" s="141" t="s">
        <v>15</v>
      </c>
      <c r="D94" s="143" t="s">
        <v>224</v>
      </c>
      <c r="E94" s="141" t="s">
        <v>21</v>
      </c>
      <c r="F94" s="141">
        <v>373.14</v>
      </c>
      <c r="G94" s="180">
        <v>39.57</v>
      </c>
      <c r="H94" s="180">
        <f>TRUNC(G94 * (1 + 22.88 / 100), 2)</f>
        <v>48.62</v>
      </c>
      <c r="I94" s="180">
        <f>TRUNC(F94 * H94, 2)</f>
        <v>18142.060000000001</v>
      </c>
      <c r="J94" s="144">
        <f t="shared" si="5"/>
        <v>5.8765982520103035E-3</v>
      </c>
    </row>
    <row r="95" spans="1:11" ht="20.100000000000001" customHeight="1">
      <c r="A95" s="142" t="s">
        <v>225</v>
      </c>
      <c r="B95" s="141" t="s">
        <v>226</v>
      </c>
      <c r="C95" s="141" t="s">
        <v>15</v>
      </c>
      <c r="D95" s="143" t="s">
        <v>227</v>
      </c>
      <c r="E95" s="141" t="s">
        <v>21</v>
      </c>
      <c r="F95" s="141">
        <v>180.42</v>
      </c>
      <c r="G95" s="180">
        <v>16.47</v>
      </c>
      <c r="H95" s="180">
        <f>TRUNC(G95 * (1 + 22.88 / 100), 2)</f>
        <v>20.23</v>
      </c>
      <c r="I95" s="180">
        <f>TRUNC(F95 * H95, 2)</f>
        <v>3649.89</v>
      </c>
      <c r="J95" s="144">
        <f t="shared" si="5"/>
        <v>1.1822768304167158E-3</v>
      </c>
    </row>
    <row r="96" spans="1:11" ht="20.100000000000001" customHeight="1">
      <c r="A96" s="159" t="s">
        <v>228</v>
      </c>
      <c r="B96" s="160"/>
      <c r="C96" s="160"/>
      <c r="D96" s="161" t="s">
        <v>229</v>
      </c>
      <c r="E96" s="161"/>
      <c r="F96" s="160"/>
      <c r="G96" s="179"/>
      <c r="H96" s="179"/>
      <c r="I96" s="179">
        <f>SUM(I97,I103,I108,I113,I122,I128,I130,I136,I148)</f>
        <v>294271.63000000006</v>
      </c>
      <c r="J96" s="162">
        <f t="shared" si="5"/>
        <v>9.5320826106529408E-2</v>
      </c>
      <c r="K96" s="182">
        <f>I96/5</f>
        <v>58854.326000000015</v>
      </c>
    </row>
    <row r="97" spans="1:10" ht="20.100000000000001" customHeight="1">
      <c r="A97" s="159" t="s">
        <v>230</v>
      </c>
      <c r="B97" s="160"/>
      <c r="C97" s="160"/>
      <c r="D97" s="161" t="s">
        <v>231</v>
      </c>
      <c r="E97" s="161"/>
      <c r="F97" s="160"/>
      <c r="G97" s="179"/>
      <c r="H97" s="179"/>
      <c r="I97" s="179">
        <f>SUM(I98:I102)</f>
        <v>8521.4699999999993</v>
      </c>
      <c r="J97" s="162">
        <f t="shared" si="5"/>
        <v>2.7602849790243351E-3</v>
      </c>
    </row>
    <row r="98" spans="1:10" ht="20.100000000000001" customHeight="1">
      <c r="A98" s="142" t="s">
        <v>232</v>
      </c>
      <c r="B98" s="141" t="s">
        <v>233</v>
      </c>
      <c r="C98" s="141" t="s">
        <v>15</v>
      </c>
      <c r="D98" s="143" t="s">
        <v>234</v>
      </c>
      <c r="E98" s="141" t="s">
        <v>33</v>
      </c>
      <c r="F98" s="141">
        <v>63</v>
      </c>
      <c r="G98" s="180">
        <v>3.31</v>
      </c>
      <c r="H98" s="180">
        <f>TRUNC(G98 * (1 + 22.88 / 100), 2)</f>
        <v>4.0599999999999996</v>
      </c>
      <c r="I98" s="180">
        <f>TRUNC(F98 * H98, 2)</f>
        <v>255.78</v>
      </c>
      <c r="J98" s="144">
        <f t="shared" si="5"/>
        <v>8.2852570264853892E-5</v>
      </c>
    </row>
    <row r="99" spans="1:10" ht="20.100000000000001" customHeight="1">
      <c r="A99" s="142" t="s">
        <v>235</v>
      </c>
      <c r="B99" s="141" t="s">
        <v>236</v>
      </c>
      <c r="C99" s="141" t="s">
        <v>15</v>
      </c>
      <c r="D99" s="143" t="s">
        <v>237</v>
      </c>
      <c r="E99" s="141" t="s">
        <v>33</v>
      </c>
      <c r="F99" s="141">
        <v>40</v>
      </c>
      <c r="G99" s="180">
        <v>5.97</v>
      </c>
      <c r="H99" s="180">
        <f>TRUNC(G99 * (1 + 22.88 / 100), 2)</f>
        <v>7.33</v>
      </c>
      <c r="I99" s="180">
        <f>TRUNC(F99 * H99, 2)</f>
        <v>293.2</v>
      </c>
      <c r="J99" s="144">
        <f t="shared" si="5"/>
        <v>9.4973702406971468E-5</v>
      </c>
    </row>
    <row r="100" spans="1:10" ht="20.100000000000001" customHeight="1">
      <c r="A100" s="142" t="s">
        <v>238</v>
      </c>
      <c r="B100" s="141" t="s">
        <v>239</v>
      </c>
      <c r="C100" s="141" t="s">
        <v>15</v>
      </c>
      <c r="D100" s="143" t="s">
        <v>241</v>
      </c>
      <c r="E100" s="141" t="s">
        <v>33</v>
      </c>
      <c r="F100" s="141">
        <v>4</v>
      </c>
      <c r="G100" s="180">
        <v>650.20000000000005</v>
      </c>
      <c r="H100" s="180">
        <f>TRUNC(G100 * (1 + 22.88 / 100), 2)</f>
        <v>798.96</v>
      </c>
      <c r="I100" s="180">
        <f>TRUNC(F100 * H100, 2)</f>
        <v>3195.84</v>
      </c>
      <c r="J100" s="144">
        <f t="shared" si="5"/>
        <v>1.0352003993870931E-3</v>
      </c>
    </row>
    <row r="101" spans="1:10" ht="20.100000000000001" customHeight="1">
      <c r="A101" s="142" t="s">
        <v>242</v>
      </c>
      <c r="B101" s="141" t="s">
        <v>243</v>
      </c>
      <c r="C101" s="141" t="s">
        <v>15</v>
      </c>
      <c r="D101" s="143" t="s">
        <v>244</v>
      </c>
      <c r="E101" s="141" t="s">
        <v>33</v>
      </c>
      <c r="F101" s="141">
        <v>3</v>
      </c>
      <c r="G101" s="180">
        <v>696.28</v>
      </c>
      <c r="H101" s="180">
        <f>TRUNC(G101 * (1 + 22.88 / 100), 2)</f>
        <v>855.58</v>
      </c>
      <c r="I101" s="180">
        <f>TRUNC(F101 * H101, 2)</f>
        <v>2566.7399999999998</v>
      </c>
      <c r="J101" s="144">
        <f t="shared" si="5"/>
        <v>8.3142155837677325E-4</v>
      </c>
    </row>
    <row r="102" spans="1:10" ht="20.100000000000001" customHeight="1">
      <c r="A102" s="142" t="s">
        <v>245</v>
      </c>
      <c r="B102" s="141" t="s">
        <v>246</v>
      </c>
      <c r="C102" s="141" t="s">
        <v>15</v>
      </c>
      <c r="D102" s="143" t="s">
        <v>247</v>
      </c>
      <c r="E102" s="141" t="s">
        <v>33</v>
      </c>
      <c r="F102" s="141">
        <v>1</v>
      </c>
      <c r="G102" s="180">
        <v>1798.43</v>
      </c>
      <c r="H102" s="180">
        <f>TRUNC(G102 * (1 + 22.88 / 100), 2)</f>
        <v>2209.91</v>
      </c>
      <c r="I102" s="180">
        <f>TRUNC(F102 * H102, 2)</f>
        <v>2209.91</v>
      </c>
      <c r="J102" s="144">
        <f t="shared" si="5"/>
        <v>7.1583674858864362E-4</v>
      </c>
    </row>
    <row r="103" spans="1:10" ht="20.100000000000001" customHeight="1">
      <c r="A103" s="159" t="s">
        <v>248</v>
      </c>
      <c r="B103" s="160"/>
      <c r="C103" s="160"/>
      <c r="D103" s="161" t="s">
        <v>249</v>
      </c>
      <c r="E103" s="161"/>
      <c r="F103" s="160"/>
      <c r="G103" s="179"/>
      <c r="H103" s="179"/>
      <c r="I103" s="179">
        <f>SUM(I104:I107)</f>
        <v>3000.78</v>
      </c>
      <c r="J103" s="162">
        <f t="shared" si="5"/>
        <v>9.720163257462205E-4</v>
      </c>
    </row>
    <row r="104" spans="1:10" ht="20.100000000000001" customHeight="1">
      <c r="A104" s="142" t="s">
        <v>250</v>
      </c>
      <c r="B104" s="141" t="s">
        <v>251</v>
      </c>
      <c r="C104" s="141" t="s">
        <v>15</v>
      </c>
      <c r="D104" s="143" t="s">
        <v>252</v>
      </c>
      <c r="E104" s="141" t="s">
        <v>33</v>
      </c>
      <c r="F104" s="141">
        <v>5</v>
      </c>
      <c r="G104" s="180">
        <v>259.64999999999998</v>
      </c>
      <c r="H104" s="180">
        <f>TRUNC(G104 * (1 + 22.88 / 100), 2)</f>
        <v>319.05</v>
      </c>
      <c r="I104" s="180">
        <f>TRUNC(F104 * H104, 2)</f>
        <v>1595.25</v>
      </c>
      <c r="J104" s="144">
        <f t="shared" si="5"/>
        <v>5.1673533002974501E-4</v>
      </c>
    </row>
    <row r="105" spans="1:10" ht="20.100000000000001" customHeight="1">
      <c r="A105" s="142" t="s">
        <v>253</v>
      </c>
      <c r="B105" s="141" t="s">
        <v>254</v>
      </c>
      <c r="C105" s="141" t="s">
        <v>15</v>
      </c>
      <c r="D105" s="143" t="s">
        <v>255</v>
      </c>
      <c r="E105" s="141" t="s">
        <v>33</v>
      </c>
      <c r="F105" s="141">
        <v>5</v>
      </c>
      <c r="G105" s="180">
        <v>38.58</v>
      </c>
      <c r="H105" s="180">
        <f>TRUNC(G105 * (1 + 22.88 / 100), 2)</f>
        <v>47.4</v>
      </c>
      <c r="I105" s="180">
        <f>TRUNC(F105 * H105, 2)</f>
        <v>237</v>
      </c>
      <c r="J105" s="144">
        <f t="shared" si="5"/>
        <v>7.6769329708227269E-5</v>
      </c>
    </row>
    <row r="106" spans="1:10" ht="20.100000000000001" customHeight="1">
      <c r="A106" s="142" t="s">
        <v>256</v>
      </c>
      <c r="B106" s="141" t="s">
        <v>257</v>
      </c>
      <c r="C106" s="141" t="s">
        <v>15</v>
      </c>
      <c r="D106" s="143" t="s">
        <v>258</v>
      </c>
      <c r="E106" s="141" t="s">
        <v>33</v>
      </c>
      <c r="F106" s="141">
        <v>8</v>
      </c>
      <c r="G106" s="180">
        <v>65.599999999999994</v>
      </c>
      <c r="H106" s="180">
        <f>TRUNC(G106 * (1 + 22.88 / 100), 2)</f>
        <v>80.599999999999994</v>
      </c>
      <c r="I106" s="180">
        <f>TRUNC(F106 * H106, 2)</f>
        <v>644.79999999999995</v>
      </c>
      <c r="J106" s="144">
        <f t="shared" si="5"/>
        <v>2.0886440420196179E-4</v>
      </c>
    </row>
    <row r="107" spans="1:10" ht="20.100000000000001" customHeight="1">
      <c r="A107" s="142" t="s">
        <v>259</v>
      </c>
      <c r="B107" s="141" t="s">
        <v>260</v>
      </c>
      <c r="C107" s="141" t="s">
        <v>15</v>
      </c>
      <c r="D107" s="143" t="s">
        <v>261</v>
      </c>
      <c r="E107" s="141" t="s">
        <v>33</v>
      </c>
      <c r="F107" s="141">
        <v>1</v>
      </c>
      <c r="G107" s="180">
        <v>426.22</v>
      </c>
      <c r="H107" s="180">
        <f>TRUNC(G107 * (1 + 22.88 / 100), 2)</f>
        <v>523.73</v>
      </c>
      <c r="I107" s="180">
        <f>TRUNC(F107 * H107, 2)</f>
        <v>523.73</v>
      </c>
      <c r="J107" s="144">
        <f t="shared" si="5"/>
        <v>1.6964726180628638E-4</v>
      </c>
    </row>
    <row r="108" spans="1:10" ht="20.100000000000001" customHeight="1">
      <c r="A108" s="159" t="s">
        <v>262</v>
      </c>
      <c r="B108" s="160"/>
      <c r="C108" s="160"/>
      <c r="D108" s="161" t="s">
        <v>263</v>
      </c>
      <c r="E108" s="161"/>
      <c r="F108" s="160"/>
      <c r="G108" s="179"/>
      <c r="H108" s="179"/>
      <c r="I108" s="179">
        <f>SUM(I109:I112)</f>
        <v>17176.349999999999</v>
      </c>
      <c r="J108" s="162">
        <f t="shared" si="5"/>
        <v>5.563784288328732E-3</v>
      </c>
    </row>
    <row r="109" spans="1:10" ht="20.100000000000001" customHeight="1">
      <c r="A109" s="142" t="s">
        <v>264</v>
      </c>
      <c r="B109" s="141" t="s">
        <v>265</v>
      </c>
      <c r="C109" s="141" t="s">
        <v>15</v>
      </c>
      <c r="D109" s="143" t="s">
        <v>266</v>
      </c>
      <c r="E109" s="141" t="s">
        <v>115</v>
      </c>
      <c r="F109" s="141">
        <v>3</v>
      </c>
      <c r="G109" s="180">
        <v>92.94</v>
      </c>
      <c r="H109" s="180">
        <f>TRUNC(G109 * (1 + 22.88 / 100), 2)</f>
        <v>114.2</v>
      </c>
      <c r="I109" s="180">
        <f>TRUNC(F109 * H109, 2)</f>
        <v>342.6</v>
      </c>
      <c r="J109" s="144">
        <f t="shared" si="5"/>
        <v>1.1097541079341209E-4</v>
      </c>
    </row>
    <row r="110" spans="1:10" ht="20.100000000000001" customHeight="1">
      <c r="A110" s="142" t="s">
        <v>267</v>
      </c>
      <c r="B110" s="141" t="s">
        <v>268</v>
      </c>
      <c r="C110" s="141" t="s">
        <v>15</v>
      </c>
      <c r="D110" s="143" t="s">
        <v>269</v>
      </c>
      <c r="E110" s="141" t="s">
        <v>115</v>
      </c>
      <c r="F110" s="141">
        <v>250</v>
      </c>
      <c r="G110" s="180">
        <v>15.71</v>
      </c>
      <c r="H110" s="180">
        <f>TRUNC(G110 * (1 + 22.88 / 100), 2)</f>
        <v>19.3</v>
      </c>
      <c r="I110" s="180">
        <f>TRUNC(F110 * H110, 2)</f>
        <v>4825</v>
      </c>
      <c r="J110" s="144">
        <f t="shared" si="5"/>
        <v>1.56291989806834E-3</v>
      </c>
    </row>
    <row r="111" spans="1:10" ht="20.100000000000001" customHeight="1">
      <c r="A111" s="142" t="s">
        <v>270</v>
      </c>
      <c r="B111" s="141" t="s">
        <v>271</v>
      </c>
      <c r="C111" s="141" t="s">
        <v>15</v>
      </c>
      <c r="D111" s="143" t="s">
        <v>272</v>
      </c>
      <c r="E111" s="141" t="s">
        <v>115</v>
      </c>
      <c r="F111" s="141">
        <v>50</v>
      </c>
      <c r="G111" s="180">
        <v>49.43</v>
      </c>
      <c r="H111" s="180">
        <f>TRUNC(G111 * (1 + 22.88 / 100), 2)</f>
        <v>60.73</v>
      </c>
      <c r="I111" s="180">
        <f>TRUNC(F111 * H111, 2)</f>
        <v>3036.5</v>
      </c>
      <c r="J111" s="144">
        <f t="shared" si="5"/>
        <v>9.8358679181026216E-4</v>
      </c>
    </row>
    <row r="112" spans="1:10" ht="20.100000000000001" customHeight="1">
      <c r="A112" s="142" t="s">
        <v>273</v>
      </c>
      <c r="B112" s="141" t="s">
        <v>274</v>
      </c>
      <c r="C112" s="141" t="s">
        <v>15</v>
      </c>
      <c r="D112" s="143" t="s">
        <v>275</v>
      </c>
      <c r="E112" s="141" t="s">
        <v>115</v>
      </c>
      <c r="F112" s="141">
        <v>525</v>
      </c>
      <c r="G112" s="180">
        <v>13.91</v>
      </c>
      <c r="H112" s="180">
        <f>TRUNC(G112 * (1 + 22.88 / 100), 2)</f>
        <v>17.09</v>
      </c>
      <c r="I112" s="180">
        <f>TRUNC(F112 * H112, 2)</f>
        <v>8972.25</v>
      </c>
      <c r="J112" s="144">
        <f t="shared" si="5"/>
        <v>2.9063021876567182E-3</v>
      </c>
    </row>
    <row r="113" spans="1:10" ht="20.100000000000001" customHeight="1">
      <c r="A113" s="159" t="s">
        <v>276</v>
      </c>
      <c r="B113" s="160"/>
      <c r="C113" s="160"/>
      <c r="D113" s="161" t="s">
        <v>277</v>
      </c>
      <c r="E113" s="161"/>
      <c r="F113" s="160"/>
      <c r="G113" s="179"/>
      <c r="H113" s="179"/>
      <c r="I113" s="179">
        <f>SUM(I114:I121)</f>
        <v>95802.15</v>
      </c>
      <c r="J113" s="162">
        <f t="shared" si="5"/>
        <v>3.1032349536316648E-2</v>
      </c>
    </row>
    <row r="114" spans="1:10" ht="20.100000000000001" customHeight="1">
      <c r="A114" s="142" t="s">
        <v>278</v>
      </c>
      <c r="B114" s="141" t="s">
        <v>279</v>
      </c>
      <c r="C114" s="141" t="s">
        <v>15</v>
      </c>
      <c r="D114" s="143" t="s">
        <v>280</v>
      </c>
      <c r="E114" s="141" t="s">
        <v>115</v>
      </c>
      <c r="F114" s="141">
        <v>1550</v>
      </c>
      <c r="G114" s="180">
        <v>7.93</v>
      </c>
      <c r="H114" s="180">
        <f t="shared" ref="H114:H121" si="6">TRUNC(G114 * (1 + 22.88 / 100), 2)</f>
        <v>9.74</v>
      </c>
      <c r="I114" s="180">
        <f t="shared" ref="I114:I121" si="7">TRUNC(F114 * H114, 2)</f>
        <v>15097</v>
      </c>
      <c r="J114" s="144">
        <f t="shared" si="5"/>
        <v>4.8902386945363172E-3</v>
      </c>
    </row>
    <row r="115" spans="1:10" ht="20.100000000000001" customHeight="1">
      <c r="A115" s="142" t="s">
        <v>281</v>
      </c>
      <c r="B115" s="141" t="s">
        <v>282</v>
      </c>
      <c r="C115" s="141" t="s">
        <v>15</v>
      </c>
      <c r="D115" s="143" t="s">
        <v>283</v>
      </c>
      <c r="E115" s="141" t="s">
        <v>115</v>
      </c>
      <c r="F115" s="141">
        <v>850</v>
      </c>
      <c r="G115" s="180">
        <v>10.84</v>
      </c>
      <c r="H115" s="180">
        <f t="shared" si="6"/>
        <v>13.32</v>
      </c>
      <c r="I115" s="180">
        <f t="shared" si="7"/>
        <v>11322</v>
      </c>
      <c r="J115" s="144">
        <f t="shared" si="5"/>
        <v>3.6674360799854398E-3</v>
      </c>
    </row>
    <row r="116" spans="1:10" ht="20.100000000000001" customHeight="1">
      <c r="A116" s="142" t="s">
        <v>284</v>
      </c>
      <c r="B116" s="141" t="s">
        <v>285</v>
      </c>
      <c r="C116" s="141" t="s">
        <v>15</v>
      </c>
      <c r="D116" s="143" t="s">
        <v>286</v>
      </c>
      <c r="E116" s="141" t="s">
        <v>115</v>
      </c>
      <c r="F116" s="141">
        <v>450</v>
      </c>
      <c r="G116" s="180">
        <v>13.08</v>
      </c>
      <c r="H116" s="180">
        <f t="shared" si="6"/>
        <v>16.07</v>
      </c>
      <c r="I116" s="180">
        <f t="shared" si="7"/>
        <v>7231.5</v>
      </c>
      <c r="J116" s="144">
        <f t="shared" si="5"/>
        <v>2.3424363197681246E-3</v>
      </c>
    </row>
    <row r="117" spans="1:10" ht="20.100000000000001" customHeight="1">
      <c r="A117" s="142" t="s">
        <v>287</v>
      </c>
      <c r="B117" s="141" t="s">
        <v>288</v>
      </c>
      <c r="C117" s="141" t="s">
        <v>15</v>
      </c>
      <c r="D117" s="143" t="s">
        <v>289</v>
      </c>
      <c r="E117" s="141" t="s">
        <v>115</v>
      </c>
      <c r="F117" s="141">
        <v>350</v>
      </c>
      <c r="G117" s="180">
        <v>25.9</v>
      </c>
      <c r="H117" s="180">
        <f t="shared" si="6"/>
        <v>31.82</v>
      </c>
      <c r="I117" s="180">
        <f t="shared" si="7"/>
        <v>11137</v>
      </c>
      <c r="J117" s="144">
        <f t="shared" si="5"/>
        <v>3.6075106538418869E-3</v>
      </c>
    </row>
    <row r="118" spans="1:10" ht="20.100000000000001" customHeight="1">
      <c r="A118" s="142" t="s">
        <v>290</v>
      </c>
      <c r="B118" s="141" t="s">
        <v>291</v>
      </c>
      <c r="C118" s="141" t="s">
        <v>15</v>
      </c>
      <c r="D118" s="143" t="s">
        <v>292</v>
      </c>
      <c r="E118" s="141" t="s">
        <v>115</v>
      </c>
      <c r="F118" s="141">
        <v>115</v>
      </c>
      <c r="G118" s="180">
        <v>51.54</v>
      </c>
      <c r="H118" s="180">
        <f t="shared" si="6"/>
        <v>63.33</v>
      </c>
      <c r="I118" s="180">
        <f t="shared" si="7"/>
        <v>7282.95</v>
      </c>
      <c r="J118" s="144">
        <f t="shared" si="5"/>
        <v>2.3591020666604802E-3</v>
      </c>
    </row>
    <row r="119" spans="1:10" ht="20.100000000000001" customHeight="1">
      <c r="A119" s="142" t="s">
        <v>293</v>
      </c>
      <c r="B119" s="141" t="s">
        <v>294</v>
      </c>
      <c r="C119" s="141" t="s">
        <v>15</v>
      </c>
      <c r="D119" s="143" t="s">
        <v>295</v>
      </c>
      <c r="E119" s="141" t="s">
        <v>115</v>
      </c>
      <c r="F119" s="141">
        <v>185</v>
      </c>
      <c r="G119" s="180">
        <v>70.66</v>
      </c>
      <c r="H119" s="180">
        <f t="shared" si="6"/>
        <v>86.82</v>
      </c>
      <c r="I119" s="180">
        <f t="shared" si="7"/>
        <v>16061.7</v>
      </c>
      <c r="J119" s="144">
        <f t="shared" si="5"/>
        <v>5.2027254977832661E-3</v>
      </c>
    </row>
    <row r="120" spans="1:10" ht="20.100000000000001" customHeight="1">
      <c r="A120" s="142" t="s">
        <v>296</v>
      </c>
      <c r="B120" s="141" t="s">
        <v>297</v>
      </c>
      <c r="C120" s="141" t="s">
        <v>15</v>
      </c>
      <c r="D120" s="143" t="s">
        <v>298</v>
      </c>
      <c r="E120" s="141" t="s">
        <v>115</v>
      </c>
      <c r="F120" s="141">
        <v>450</v>
      </c>
      <c r="G120" s="180">
        <v>36.9</v>
      </c>
      <c r="H120" s="180">
        <f t="shared" si="6"/>
        <v>45.34</v>
      </c>
      <c r="I120" s="180">
        <f t="shared" si="7"/>
        <v>20403</v>
      </c>
      <c r="J120" s="144">
        <f t="shared" si="5"/>
        <v>6.6089647005778953E-3</v>
      </c>
    </row>
    <row r="121" spans="1:10" ht="20.100000000000001" customHeight="1">
      <c r="A121" s="142" t="s">
        <v>299</v>
      </c>
      <c r="B121" s="141" t="s">
        <v>300</v>
      </c>
      <c r="C121" s="141" t="s">
        <v>15</v>
      </c>
      <c r="D121" s="143" t="s">
        <v>301</v>
      </c>
      <c r="E121" s="141" t="s">
        <v>115</v>
      </c>
      <c r="F121" s="141">
        <v>100</v>
      </c>
      <c r="G121" s="180">
        <v>59.14</v>
      </c>
      <c r="H121" s="180">
        <f t="shared" si="6"/>
        <v>72.67</v>
      </c>
      <c r="I121" s="180">
        <f t="shared" si="7"/>
        <v>7267</v>
      </c>
      <c r="J121" s="144">
        <f t="shared" si="5"/>
        <v>2.353935523163239E-3</v>
      </c>
    </row>
    <row r="122" spans="1:10" ht="20.100000000000001" customHeight="1">
      <c r="A122" s="159" t="s">
        <v>302</v>
      </c>
      <c r="B122" s="160"/>
      <c r="C122" s="160"/>
      <c r="D122" s="161" t="s">
        <v>303</v>
      </c>
      <c r="E122" s="161"/>
      <c r="F122" s="160"/>
      <c r="G122" s="179"/>
      <c r="H122" s="179"/>
      <c r="I122" s="179">
        <f>SUM(I123:I127)</f>
        <v>33958.51</v>
      </c>
      <c r="J122" s="162">
        <f t="shared" si="5"/>
        <v>1.0999882070000562E-2</v>
      </c>
    </row>
    <row r="123" spans="1:10" ht="20.100000000000001" customHeight="1">
      <c r="A123" s="142" t="s">
        <v>304</v>
      </c>
      <c r="B123" s="141" t="s">
        <v>305</v>
      </c>
      <c r="C123" s="141" t="s">
        <v>15</v>
      </c>
      <c r="D123" s="143" t="s">
        <v>306</v>
      </c>
      <c r="E123" s="141" t="s">
        <v>33</v>
      </c>
      <c r="F123" s="141">
        <v>7</v>
      </c>
      <c r="G123" s="180">
        <v>18.8</v>
      </c>
      <c r="H123" s="180">
        <f>TRUNC(G123 * (1 + 22.88 / 100), 2)</f>
        <v>23.1</v>
      </c>
      <c r="I123" s="180">
        <f>TRUNC(F123 * H123, 2)</f>
        <v>161.69999999999999</v>
      </c>
      <c r="J123" s="144">
        <f t="shared" si="5"/>
        <v>5.2378061661689242E-5</v>
      </c>
    </row>
    <row r="124" spans="1:10" ht="20.100000000000001" customHeight="1">
      <c r="A124" s="142" t="s">
        <v>307</v>
      </c>
      <c r="B124" s="141" t="s">
        <v>308</v>
      </c>
      <c r="C124" s="141" t="s">
        <v>15</v>
      </c>
      <c r="D124" s="143" t="s">
        <v>309</v>
      </c>
      <c r="E124" s="141" t="s">
        <v>33</v>
      </c>
      <c r="F124" s="141">
        <v>7</v>
      </c>
      <c r="G124" s="180">
        <v>35.78</v>
      </c>
      <c r="H124" s="180">
        <f>TRUNC(G124 * (1 + 22.88 / 100), 2)</f>
        <v>43.96</v>
      </c>
      <c r="I124" s="180">
        <f>TRUNC(F124 * H124, 2)</f>
        <v>307.72000000000003</v>
      </c>
      <c r="J124" s="144">
        <f t="shared" si="5"/>
        <v>9.9677038556184383E-5</v>
      </c>
    </row>
    <row r="125" spans="1:10" ht="20.100000000000001" customHeight="1">
      <c r="A125" s="142" t="s">
        <v>310</v>
      </c>
      <c r="B125" s="141" t="s">
        <v>311</v>
      </c>
      <c r="C125" s="141" t="s">
        <v>15</v>
      </c>
      <c r="D125" s="143" t="s">
        <v>312</v>
      </c>
      <c r="E125" s="141" t="s">
        <v>33</v>
      </c>
      <c r="F125" s="141">
        <v>2</v>
      </c>
      <c r="G125" s="180">
        <v>48.04</v>
      </c>
      <c r="H125" s="180">
        <f>TRUNC(G125 * (1 + 22.88 / 100), 2)</f>
        <v>59.03</v>
      </c>
      <c r="I125" s="180">
        <f>TRUNC(F125 * H125, 2)</f>
        <v>118.06</v>
      </c>
      <c r="J125" s="144">
        <f t="shared" si="5"/>
        <v>3.8242139516258705E-5</v>
      </c>
    </row>
    <row r="126" spans="1:10" ht="20.100000000000001" customHeight="1">
      <c r="A126" s="142" t="s">
        <v>313</v>
      </c>
      <c r="B126" s="141" t="s">
        <v>314</v>
      </c>
      <c r="C126" s="141" t="s">
        <v>15</v>
      </c>
      <c r="D126" s="143" t="s">
        <v>315</v>
      </c>
      <c r="E126" s="141" t="s">
        <v>399</v>
      </c>
      <c r="F126" s="141">
        <v>103</v>
      </c>
      <c r="G126" s="180">
        <v>250.92</v>
      </c>
      <c r="H126" s="180">
        <f>TRUNC(G126 * (1 + 22.88 / 100), 2)</f>
        <v>308.33</v>
      </c>
      <c r="I126" s="180">
        <f>TRUNC(F126 * H126, 2)</f>
        <v>31757.99</v>
      </c>
      <c r="J126" s="144">
        <f t="shared" si="5"/>
        <v>1.0287086941690232E-2</v>
      </c>
    </row>
    <row r="127" spans="1:10" ht="20.100000000000001" customHeight="1">
      <c r="A127" s="142" t="s">
        <v>316</v>
      </c>
      <c r="B127" s="141" t="s">
        <v>317</v>
      </c>
      <c r="C127" s="141" t="s">
        <v>15</v>
      </c>
      <c r="D127" s="143" t="s">
        <v>318</v>
      </c>
      <c r="E127" s="141" t="s">
        <v>33</v>
      </c>
      <c r="F127" s="141">
        <v>47</v>
      </c>
      <c r="G127" s="180">
        <v>27.93</v>
      </c>
      <c r="H127" s="180">
        <f>TRUNC(G127 * (1 + 22.88 / 100), 2)</f>
        <v>34.32</v>
      </c>
      <c r="I127" s="180">
        <f>TRUNC(F127 * H127, 2)</f>
        <v>1613.04</v>
      </c>
      <c r="J127" s="144">
        <f t="shared" si="5"/>
        <v>5.22497888576198E-4</v>
      </c>
    </row>
    <row r="128" spans="1:10" ht="20.100000000000001" customHeight="1">
      <c r="A128" s="159" t="s">
        <v>319</v>
      </c>
      <c r="B128" s="160"/>
      <c r="C128" s="160"/>
      <c r="D128" s="161" t="s">
        <v>320</v>
      </c>
      <c r="E128" s="161"/>
      <c r="F128" s="160"/>
      <c r="G128" s="179"/>
      <c r="H128" s="179"/>
      <c r="I128" s="179">
        <f>SUM(I129)</f>
        <v>4546.5600000000004</v>
      </c>
      <c r="J128" s="162">
        <f t="shared" si="5"/>
        <v>1.4727272729039571E-3</v>
      </c>
    </row>
    <row r="129" spans="1:10" ht="20.100000000000001" customHeight="1">
      <c r="A129" s="142" t="s">
        <v>321</v>
      </c>
      <c r="B129" s="141" t="s">
        <v>322</v>
      </c>
      <c r="C129" s="141" t="s">
        <v>15</v>
      </c>
      <c r="D129" s="143" t="s">
        <v>323</v>
      </c>
      <c r="E129" s="141" t="s">
        <v>33</v>
      </c>
      <c r="F129" s="141">
        <v>16</v>
      </c>
      <c r="G129" s="180">
        <v>231.25</v>
      </c>
      <c r="H129" s="180">
        <f>TRUNC(G129 * (1 + 22.88 / 100), 2)</f>
        <v>284.16000000000003</v>
      </c>
      <c r="I129" s="180">
        <f>TRUNC(F129 * H129, 2)</f>
        <v>4546.5600000000004</v>
      </c>
      <c r="J129" s="144">
        <f t="shared" si="5"/>
        <v>1.4727272729039571E-3</v>
      </c>
    </row>
    <row r="130" spans="1:10" ht="20.100000000000001" customHeight="1">
      <c r="A130" s="159" t="s">
        <v>324</v>
      </c>
      <c r="B130" s="160"/>
      <c r="C130" s="160"/>
      <c r="D130" s="161" t="s">
        <v>325</v>
      </c>
      <c r="E130" s="161"/>
      <c r="F130" s="160"/>
      <c r="G130" s="179"/>
      <c r="H130" s="179"/>
      <c r="I130" s="179">
        <f>SUM(I131:I135)</f>
        <v>116346.95999999999</v>
      </c>
      <c r="J130" s="162">
        <f t="shared" si="5"/>
        <v>3.7687249505442742E-2</v>
      </c>
    </row>
    <row r="131" spans="1:10" ht="20.100000000000001" customHeight="1">
      <c r="A131" s="142" t="s">
        <v>326</v>
      </c>
      <c r="B131" s="141" t="s">
        <v>327</v>
      </c>
      <c r="C131" s="141" t="s">
        <v>15</v>
      </c>
      <c r="D131" s="143" t="s">
        <v>328</v>
      </c>
      <c r="E131" s="141" t="s">
        <v>115</v>
      </c>
      <c r="F131" s="141">
        <v>235</v>
      </c>
      <c r="G131" s="180">
        <v>69.64</v>
      </c>
      <c r="H131" s="180">
        <f>TRUNC(G131 * (1 + 22.88 / 100), 2)</f>
        <v>85.57</v>
      </c>
      <c r="I131" s="180">
        <f>TRUNC(F131 * H131, 2)</f>
        <v>20108.95</v>
      </c>
      <c r="J131" s="144">
        <f t="shared" si="5"/>
        <v>6.513715665131886E-3</v>
      </c>
    </row>
    <row r="132" spans="1:10" ht="20.100000000000001" customHeight="1">
      <c r="A132" s="142" t="s">
        <v>329</v>
      </c>
      <c r="B132" s="141" t="s">
        <v>330</v>
      </c>
      <c r="C132" s="141" t="s">
        <v>15</v>
      </c>
      <c r="D132" s="143" t="s">
        <v>331</v>
      </c>
      <c r="E132" s="141" t="s">
        <v>115</v>
      </c>
      <c r="F132" s="141">
        <v>20</v>
      </c>
      <c r="G132" s="180">
        <v>125.89</v>
      </c>
      <c r="H132" s="180">
        <f>TRUNC(G132 * (1 + 22.88 / 100), 2)</f>
        <v>154.69</v>
      </c>
      <c r="I132" s="180">
        <f>TRUNC(F132 * H132, 2)</f>
        <v>3093.8</v>
      </c>
      <c r="J132" s="144">
        <f t="shared" si="5"/>
        <v>1.0021474778536437E-3</v>
      </c>
    </row>
    <row r="133" spans="1:10" ht="20.100000000000001" customHeight="1">
      <c r="A133" s="142" t="s">
        <v>332</v>
      </c>
      <c r="B133" s="141" t="s">
        <v>333</v>
      </c>
      <c r="C133" s="141" t="s">
        <v>15</v>
      </c>
      <c r="D133" s="143" t="s">
        <v>334</v>
      </c>
      <c r="E133" s="141" t="s">
        <v>33</v>
      </c>
      <c r="F133" s="141">
        <v>1</v>
      </c>
      <c r="G133" s="180">
        <v>164.94</v>
      </c>
      <c r="H133" s="180">
        <f>TRUNC(G133 * (1 + 22.88 / 100), 2)</f>
        <v>202.67</v>
      </c>
      <c r="I133" s="180">
        <f>TRUNC(F133 * H133, 2)</f>
        <v>202.67</v>
      </c>
      <c r="J133" s="144">
        <f t="shared" si="5"/>
        <v>6.5649114143318232E-5</v>
      </c>
    </row>
    <row r="134" spans="1:10" ht="20.100000000000001" customHeight="1">
      <c r="A134" s="142" t="s">
        <v>335</v>
      </c>
      <c r="B134" s="141" t="s">
        <v>336</v>
      </c>
      <c r="C134" s="141" t="s">
        <v>15</v>
      </c>
      <c r="D134" s="143" t="s">
        <v>337</v>
      </c>
      <c r="E134" s="141" t="s">
        <v>33</v>
      </c>
      <c r="F134" s="141">
        <v>1</v>
      </c>
      <c r="G134" s="180">
        <v>2128.2600000000002</v>
      </c>
      <c r="H134" s="180">
        <f>TRUNC(G134 * (1 + 22.88 / 100), 2)</f>
        <v>2615.1999999999998</v>
      </c>
      <c r="I134" s="180">
        <f>TRUNC(F134 * H134, 2)</f>
        <v>2615.1999999999998</v>
      </c>
      <c r="J134" s="144">
        <f t="shared" si="5"/>
        <v>8.4711878081416018E-4</v>
      </c>
    </row>
    <row r="135" spans="1:10" ht="25.5">
      <c r="A135" s="142" t="s">
        <v>338</v>
      </c>
      <c r="B135" s="141" t="s">
        <v>339</v>
      </c>
      <c r="C135" s="141" t="s">
        <v>15</v>
      </c>
      <c r="D135" s="143" t="s">
        <v>340</v>
      </c>
      <c r="E135" s="141" t="s">
        <v>33</v>
      </c>
      <c r="F135" s="141">
        <v>1</v>
      </c>
      <c r="G135" s="180">
        <v>73507.77</v>
      </c>
      <c r="H135" s="180">
        <f>TRUNC(G135 * (1 + 22.88 / 100), 2)</f>
        <v>90326.34</v>
      </c>
      <c r="I135" s="180">
        <f>TRUNC(F135 * H135, 2)</f>
        <v>90326.34</v>
      </c>
      <c r="J135" s="144">
        <f t="shared" si="5"/>
        <v>2.9258618467499737E-2</v>
      </c>
    </row>
    <row r="136" spans="1:10" ht="20.100000000000001" customHeight="1">
      <c r="A136" s="159" t="s">
        <v>341</v>
      </c>
      <c r="B136" s="160"/>
      <c r="C136" s="160"/>
      <c r="D136" s="161" t="s">
        <v>342</v>
      </c>
      <c r="E136" s="161"/>
      <c r="F136" s="160"/>
      <c r="G136" s="179"/>
      <c r="H136" s="179"/>
      <c r="I136" s="179">
        <f>SUM(I137:I147)</f>
        <v>3457.2</v>
      </c>
      <c r="J136" s="162">
        <f t="shared" si="5"/>
        <v>1.1198604500729254E-3</v>
      </c>
    </row>
    <row r="137" spans="1:10" ht="20.100000000000001" customHeight="1">
      <c r="A137" s="142" t="s">
        <v>343</v>
      </c>
      <c r="B137" s="141" t="s">
        <v>344</v>
      </c>
      <c r="C137" s="141" t="s">
        <v>15</v>
      </c>
      <c r="D137" s="143" t="s">
        <v>345</v>
      </c>
      <c r="E137" s="141" t="s">
        <v>33</v>
      </c>
      <c r="F137" s="141">
        <v>6</v>
      </c>
      <c r="G137" s="180">
        <v>3.77</v>
      </c>
      <c r="H137" s="180">
        <f t="shared" ref="H137:H147" si="8">TRUNC(G137 * (1 + 22.88 / 100), 2)</f>
        <v>4.63</v>
      </c>
      <c r="I137" s="180">
        <f t="shared" ref="I137:I147" si="9">TRUNC(F137 * H137, 2)</f>
        <v>27.78</v>
      </c>
      <c r="J137" s="144">
        <f t="shared" si="5"/>
        <v>8.9985315582048683E-6</v>
      </c>
    </row>
    <row r="138" spans="1:10" ht="20.100000000000001" customHeight="1">
      <c r="A138" s="142" t="s">
        <v>346</v>
      </c>
      <c r="B138" s="141" t="s">
        <v>347</v>
      </c>
      <c r="C138" s="141" t="s">
        <v>15</v>
      </c>
      <c r="D138" s="143" t="s">
        <v>348</v>
      </c>
      <c r="E138" s="141" t="s">
        <v>33</v>
      </c>
      <c r="F138" s="141">
        <v>8</v>
      </c>
      <c r="G138" s="180">
        <v>7.55</v>
      </c>
      <c r="H138" s="180">
        <f t="shared" si="8"/>
        <v>9.27</v>
      </c>
      <c r="I138" s="180">
        <f t="shared" si="9"/>
        <v>74.16</v>
      </c>
      <c r="J138" s="144">
        <f t="shared" ref="J138:J201" si="10">I138 / 3087170.37</f>
        <v>2.4021997853004787E-5</v>
      </c>
    </row>
    <row r="139" spans="1:10" ht="20.100000000000001" customHeight="1">
      <c r="A139" s="142" t="s">
        <v>349</v>
      </c>
      <c r="B139" s="141" t="s">
        <v>350</v>
      </c>
      <c r="C139" s="141" t="s">
        <v>15</v>
      </c>
      <c r="D139" s="143" t="s">
        <v>351</v>
      </c>
      <c r="E139" s="141" t="s">
        <v>33</v>
      </c>
      <c r="F139" s="141">
        <v>16</v>
      </c>
      <c r="G139" s="180">
        <v>28.03</v>
      </c>
      <c r="H139" s="180">
        <f t="shared" si="8"/>
        <v>34.44</v>
      </c>
      <c r="I139" s="180">
        <f t="shared" si="9"/>
        <v>551.04</v>
      </c>
      <c r="J139" s="144">
        <f t="shared" si="10"/>
        <v>1.7849355038996437E-4</v>
      </c>
    </row>
    <row r="140" spans="1:10" ht="20.100000000000001" customHeight="1">
      <c r="A140" s="142" t="s">
        <v>352</v>
      </c>
      <c r="B140" s="141" t="s">
        <v>353</v>
      </c>
      <c r="C140" s="141" t="s">
        <v>15</v>
      </c>
      <c r="D140" s="143" t="s">
        <v>354</v>
      </c>
      <c r="E140" s="141" t="s">
        <v>33</v>
      </c>
      <c r="F140" s="141">
        <v>25</v>
      </c>
      <c r="G140" s="180">
        <v>30.34</v>
      </c>
      <c r="H140" s="180">
        <f t="shared" si="8"/>
        <v>37.28</v>
      </c>
      <c r="I140" s="180">
        <f t="shared" si="9"/>
        <v>932</v>
      </c>
      <c r="J140" s="144">
        <f t="shared" si="10"/>
        <v>3.0189457927454774E-4</v>
      </c>
    </row>
    <row r="141" spans="1:10" ht="20.100000000000001" customHeight="1">
      <c r="A141" s="142" t="s">
        <v>355</v>
      </c>
      <c r="B141" s="141" t="s">
        <v>356</v>
      </c>
      <c r="C141" s="141" t="s">
        <v>15</v>
      </c>
      <c r="D141" s="143" t="s">
        <v>357</v>
      </c>
      <c r="E141" s="141" t="s">
        <v>33</v>
      </c>
      <c r="F141" s="141">
        <v>24</v>
      </c>
      <c r="G141" s="180">
        <v>39.1</v>
      </c>
      <c r="H141" s="180">
        <f t="shared" si="8"/>
        <v>48.04</v>
      </c>
      <c r="I141" s="180">
        <f t="shared" si="9"/>
        <v>1152.96</v>
      </c>
      <c r="J141" s="144">
        <f t="shared" si="10"/>
        <v>3.734682125755178E-4</v>
      </c>
    </row>
    <row r="142" spans="1:10" ht="20.100000000000001" customHeight="1">
      <c r="A142" s="142" t="s">
        <v>358</v>
      </c>
      <c r="B142" s="141" t="s">
        <v>359</v>
      </c>
      <c r="C142" s="141" t="s">
        <v>15</v>
      </c>
      <c r="D142" s="143" t="s">
        <v>360</v>
      </c>
      <c r="E142" s="141" t="s">
        <v>33</v>
      </c>
      <c r="F142" s="141">
        <v>4</v>
      </c>
      <c r="G142" s="180">
        <v>33.020000000000003</v>
      </c>
      <c r="H142" s="180">
        <f t="shared" si="8"/>
        <v>40.57</v>
      </c>
      <c r="I142" s="180">
        <f t="shared" si="9"/>
        <v>162.28</v>
      </c>
      <c r="J142" s="144">
        <f t="shared" si="10"/>
        <v>5.2565935970679842E-5</v>
      </c>
    </row>
    <row r="143" spans="1:10" ht="20.100000000000001" customHeight="1">
      <c r="A143" s="142" t="s">
        <v>361</v>
      </c>
      <c r="B143" s="141" t="s">
        <v>362</v>
      </c>
      <c r="C143" s="141" t="s">
        <v>15</v>
      </c>
      <c r="D143" s="143" t="s">
        <v>363</v>
      </c>
      <c r="E143" s="141" t="s">
        <v>33</v>
      </c>
      <c r="F143" s="141">
        <v>4</v>
      </c>
      <c r="G143" s="180">
        <v>26.24</v>
      </c>
      <c r="H143" s="180">
        <f t="shared" si="8"/>
        <v>32.24</v>
      </c>
      <c r="I143" s="180">
        <f t="shared" si="9"/>
        <v>128.96</v>
      </c>
      <c r="J143" s="144">
        <f t="shared" si="10"/>
        <v>4.1772880840392365E-5</v>
      </c>
    </row>
    <row r="144" spans="1:10" ht="20.100000000000001" customHeight="1">
      <c r="A144" s="142" t="s">
        <v>364</v>
      </c>
      <c r="B144" s="141" t="s">
        <v>365</v>
      </c>
      <c r="C144" s="141" t="s">
        <v>15</v>
      </c>
      <c r="D144" s="143" t="s">
        <v>366</v>
      </c>
      <c r="E144" s="141" t="s">
        <v>33</v>
      </c>
      <c r="F144" s="141">
        <v>4</v>
      </c>
      <c r="G144" s="180">
        <v>10.79</v>
      </c>
      <c r="H144" s="180">
        <f t="shared" si="8"/>
        <v>13.25</v>
      </c>
      <c r="I144" s="180">
        <f t="shared" si="9"/>
        <v>53</v>
      </c>
      <c r="J144" s="144">
        <f t="shared" si="10"/>
        <v>1.7167824787071923E-5</v>
      </c>
    </row>
    <row r="145" spans="1:11" ht="20.100000000000001" customHeight="1">
      <c r="A145" s="142" t="s">
        <v>367</v>
      </c>
      <c r="B145" s="141" t="s">
        <v>368</v>
      </c>
      <c r="C145" s="141" t="s">
        <v>15</v>
      </c>
      <c r="D145" s="143" t="s">
        <v>369</v>
      </c>
      <c r="E145" s="141" t="s">
        <v>33</v>
      </c>
      <c r="F145" s="141">
        <v>2</v>
      </c>
      <c r="G145" s="180">
        <v>39.71</v>
      </c>
      <c r="H145" s="180">
        <f t="shared" si="8"/>
        <v>48.79</v>
      </c>
      <c r="I145" s="180">
        <f t="shared" si="9"/>
        <v>97.58</v>
      </c>
      <c r="J145" s="144">
        <f t="shared" si="10"/>
        <v>3.1608232881556195E-5</v>
      </c>
    </row>
    <row r="146" spans="1:11" ht="20.100000000000001" customHeight="1">
      <c r="A146" s="142" t="s">
        <v>370</v>
      </c>
      <c r="B146" s="141" t="s">
        <v>371</v>
      </c>
      <c r="C146" s="141" t="s">
        <v>15</v>
      </c>
      <c r="D146" s="143" t="s">
        <v>372</v>
      </c>
      <c r="E146" s="141" t="s">
        <v>33</v>
      </c>
      <c r="F146" s="141">
        <v>32</v>
      </c>
      <c r="G146" s="180">
        <v>6.75</v>
      </c>
      <c r="H146" s="180">
        <f t="shared" si="8"/>
        <v>8.2899999999999991</v>
      </c>
      <c r="I146" s="180">
        <f t="shared" si="9"/>
        <v>265.27999999999997</v>
      </c>
      <c r="J146" s="144">
        <f t="shared" si="10"/>
        <v>8.5929821877630931E-5</v>
      </c>
    </row>
    <row r="147" spans="1:11" ht="20.100000000000001" customHeight="1">
      <c r="A147" s="142" t="s">
        <v>373</v>
      </c>
      <c r="B147" s="141" t="s">
        <v>374</v>
      </c>
      <c r="C147" s="141" t="s">
        <v>15</v>
      </c>
      <c r="D147" s="143" t="s">
        <v>375</v>
      </c>
      <c r="E147" s="141" t="s">
        <v>33</v>
      </c>
      <c r="F147" s="141">
        <v>2</v>
      </c>
      <c r="G147" s="180">
        <v>4.95</v>
      </c>
      <c r="H147" s="180">
        <f t="shared" si="8"/>
        <v>6.08</v>
      </c>
      <c r="I147" s="180">
        <f t="shared" si="9"/>
        <v>12.16</v>
      </c>
      <c r="J147" s="144">
        <f t="shared" si="10"/>
        <v>3.9388820643546144E-6</v>
      </c>
    </row>
    <row r="148" spans="1:11" ht="20.100000000000001" customHeight="1">
      <c r="A148" s="159" t="s">
        <v>376</v>
      </c>
      <c r="B148" s="160"/>
      <c r="C148" s="160"/>
      <c r="D148" s="161" t="s">
        <v>377</v>
      </c>
      <c r="E148" s="161"/>
      <c r="F148" s="160"/>
      <c r="G148" s="179"/>
      <c r="H148" s="179"/>
      <c r="I148" s="179">
        <f>SUM(I149:I156)</f>
        <v>11461.65</v>
      </c>
      <c r="J148" s="162">
        <f t="shared" si="10"/>
        <v>3.712671678693262E-3</v>
      </c>
    </row>
    <row r="149" spans="1:11" ht="20.100000000000001" customHeight="1">
      <c r="A149" s="142" t="s">
        <v>378</v>
      </c>
      <c r="B149" s="141" t="s">
        <v>379</v>
      </c>
      <c r="C149" s="141" t="s">
        <v>15</v>
      </c>
      <c r="D149" s="143" t="s">
        <v>380</v>
      </c>
      <c r="E149" s="141" t="s">
        <v>33</v>
      </c>
      <c r="F149" s="141">
        <v>3</v>
      </c>
      <c r="G149" s="180">
        <v>111.44</v>
      </c>
      <c r="H149" s="180">
        <f t="shared" ref="H149:H156" si="11">TRUNC(G149 * (1 + 22.88 / 100), 2)</f>
        <v>136.93</v>
      </c>
      <c r="I149" s="180">
        <f t="shared" ref="I149:I156" si="12">TRUNC(F149 * H149, 2)</f>
        <v>410.79</v>
      </c>
      <c r="J149" s="144">
        <f t="shared" si="10"/>
        <v>1.3306359894870332E-4</v>
      </c>
    </row>
    <row r="150" spans="1:11" ht="20.100000000000001" customHeight="1">
      <c r="A150" s="142" t="s">
        <v>381</v>
      </c>
      <c r="B150" s="141" t="s">
        <v>382</v>
      </c>
      <c r="C150" s="141" t="s">
        <v>15</v>
      </c>
      <c r="D150" s="143" t="s">
        <v>383</v>
      </c>
      <c r="E150" s="141" t="s">
        <v>33</v>
      </c>
      <c r="F150" s="141">
        <v>9</v>
      </c>
      <c r="G150" s="180">
        <v>26.97</v>
      </c>
      <c r="H150" s="180">
        <f t="shared" si="11"/>
        <v>33.14</v>
      </c>
      <c r="I150" s="180">
        <f t="shared" si="12"/>
        <v>298.26</v>
      </c>
      <c r="J150" s="144">
        <f t="shared" si="10"/>
        <v>9.6612743792303237E-5</v>
      </c>
    </row>
    <row r="151" spans="1:11" ht="20.100000000000001" customHeight="1">
      <c r="A151" s="142" t="s">
        <v>384</v>
      </c>
      <c r="B151" s="141" t="s">
        <v>385</v>
      </c>
      <c r="C151" s="141" t="s">
        <v>15</v>
      </c>
      <c r="D151" s="143" t="s">
        <v>386</v>
      </c>
      <c r="E151" s="141" t="s">
        <v>33</v>
      </c>
      <c r="F151" s="141">
        <v>42</v>
      </c>
      <c r="G151" s="180">
        <v>2.61</v>
      </c>
      <c r="H151" s="180">
        <f t="shared" si="11"/>
        <v>3.2</v>
      </c>
      <c r="I151" s="180">
        <f t="shared" si="12"/>
        <v>134.4</v>
      </c>
      <c r="J151" s="144">
        <f t="shared" si="10"/>
        <v>4.3535012290235218E-5</v>
      </c>
    </row>
    <row r="152" spans="1:11" ht="20.100000000000001" customHeight="1">
      <c r="A152" s="142" t="s">
        <v>387</v>
      </c>
      <c r="B152" s="141" t="s">
        <v>388</v>
      </c>
      <c r="C152" s="141" t="s">
        <v>15</v>
      </c>
      <c r="D152" s="143" t="s">
        <v>389</v>
      </c>
      <c r="E152" s="141" t="s">
        <v>33</v>
      </c>
      <c r="F152" s="141">
        <v>65</v>
      </c>
      <c r="G152" s="180">
        <v>2.44</v>
      </c>
      <c r="H152" s="180">
        <f t="shared" si="11"/>
        <v>2.99</v>
      </c>
      <c r="I152" s="180">
        <f t="shared" si="12"/>
        <v>194.35</v>
      </c>
      <c r="J152" s="144">
        <f t="shared" si="10"/>
        <v>6.2954089572970346E-5</v>
      </c>
    </row>
    <row r="153" spans="1:11" ht="20.100000000000001" customHeight="1">
      <c r="A153" s="142" t="s">
        <v>390</v>
      </c>
      <c r="B153" s="141" t="s">
        <v>391</v>
      </c>
      <c r="C153" s="141" t="s">
        <v>15</v>
      </c>
      <c r="D153" s="143" t="s">
        <v>392</v>
      </c>
      <c r="E153" s="141" t="s">
        <v>33</v>
      </c>
      <c r="F153" s="141">
        <v>8</v>
      </c>
      <c r="G153" s="180">
        <v>353.96</v>
      </c>
      <c r="H153" s="180">
        <f t="shared" si="11"/>
        <v>434.94</v>
      </c>
      <c r="I153" s="180">
        <f t="shared" si="12"/>
        <v>3479.52</v>
      </c>
      <c r="J153" s="144">
        <f t="shared" si="10"/>
        <v>1.1270903717568396E-3</v>
      </c>
    </row>
    <row r="154" spans="1:11" ht="20.100000000000001" customHeight="1">
      <c r="A154" s="142" t="s">
        <v>393</v>
      </c>
      <c r="B154" s="141" t="s">
        <v>394</v>
      </c>
      <c r="C154" s="141" t="s">
        <v>15</v>
      </c>
      <c r="D154" s="143" t="s">
        <v>395</v>
      </c>
      <c r="E154" s="141" t="s">
        <v>33</v>
      </c>
      <c r="F154" s="141">
        <v>25</v>
      </c>
      <c r="G154" s="180">
        <v>212.93</v>
      </c>
      <c r="H154" s="180">
        <f t="shared" si="11"/>
        <v>261.64</v>
      </c>
      <c r="I154" s="180">
        <f t="shared" si="12"/>
        <v>6541</v>
      </c>
      <c r="J154" s="144">
        <f t="shared" si="10"/>
        <v>2.1187687157025932E-3</v>
      </c>
    </row>
    <row r="155" spans="1:11" ht="20.100000000000001" customHeight="1">
      <c r="A155" s="142" t="s">
        <v>396</v>
      </c>
      <c r="B155" s="141" t="s">
        <v>397</v>
      </c>
      <c r="C155" s="141" t="s">
        <v>15</v>
      </c>
      <c r="D155" s="143" t="s">
        <v>398</v>
      </c>
      <c r="E155" s="141" t="s">
        <v>399</v>
      </c>
      <c r="F155" s="141">
        <v>7</v>
      </c>
      <c r="G155" s="180">
        <v>42.98</v>
      </c>
      <c r="H155" s="180">
        <f t="shared" si="11"/>
        <v>52.81</v>
      </c>
      <c r="I155" s="180">
        <f t="shared" si="12"/>
        <v>369.67</v>
      </c>
      <c r="J155" s="144">
        <f t="shared" si="10"/>
        <v>1.1974395828371468E-4</v>
      </c>
    </row>
    <row r="156" spans="1:11" ht="20.100000000000001" customHeight="1">
      <c r="A156" s="142" t="s">
        <v>400</v>
      </c>
      <c r="B156" s="141" t="s">
        <v>401</v>
      </c>
      <c r="C156" s="141" t="s">
        <v>15</v>
      </c>
      <c r="D156" s="143" t="s">
        <v>402</v>
      </c>
      <c r="E156" s="141" t="s">
        <v>33</v>
      </c>
      <c r="F156" s="141">
        <v>6</v>
      </c>
      <c r="G156" s="180">
        <v>4.57</v>
      </c>
      <c r="H156" s="180">
        <f t="shared" si="11"/>
        <v>5.61</v>
      </c>
      <c r="I156" s="180">
        <f t="shared" si="12"/>
        <v>33.659999999999997</v>
      </c>
      <c r="J156" s="144">
        <f t="shared" si="10"/>
        <v>1.0903188345902658E-5</v>
      </c>
    </row>
    <row r="157" spans="1:11" ht="20.100000000000001" customHeight="1">
      <c r="A157" s="159" t="s">
        <v>403</v>
      </c>
      <c r="B157" s="160"/>
      <c r="C157" s="160"/>
      <c r="D157" s="161" t="s">
        <v>404</v>
      </c>
      <c r="E157" s="161"/>
      <c r="F157" s="160"/>
      <c r="G157" s="179"/>
      <c r="H157" s="179"/>
      <c r="I157" s="179">
        <f>SUM(I158)</f>
        <v>4296.54</v>
      </c>
      <c r="J157" s="162">
        <f t="shared" si="10"/>
        <v>1.3917404888801131E-3</v>
      </c>
      <c r="K157" s="182">
        <f>I157/2</f>
        <v>2148.27</v>
      </c>
    </row>
    <row r="158" spans="1:11" ht="20.100000000000001" customHeight="1">
      <c r="A158" s="159" t="s">
        <v>405</v>
      </c>
      <c r="B158" s="160"/>
      <c r="C158" s="160"/>
      <c r="D158" s="161" t="s">
        <v>406</v>
      </c>
      <c r="E158" s="161"/>
      <c r="F158" s="160"/>
      <c r="G158" s="179"/>
      <c r="H158" s="179"/>
      <c r="I158" s="179">
        <f>SUM(I159:I160)</f>
        <v>4296.54</v>
      </c>
      <c r="J158" s="162">
        <f t="shared" si="10"/>
        <v>1.3917404888801131E-3</v>
      </c>
    </row>
    <row r="159" spans="1:11" ht="20.100000000000001" customHeight="1">
      <c r="A159" s="142" t="s">
        <v>407</v>
      </c>
      <c r="B159" s="141" t="s">
        <v>408</v>
      </c>
      <c r="C159" s="141" t="s">
        <v>15</v>
      </c>
      <c r="D159" s="143" t="s">
        <v>409</v>
      </c>
      <c r="E159" s="141" t="s">
        <v>33</v>
      </c>
      <c r="F159" s="141">
        <v>6</v>
      </c>
      <c r="G159" s="180">
        <v>71.52</v>
      </c>
      <c r="H159" s="180">
        <f>TRUNC(G159 * (1 + 22.88 / 100), 2)</f>
        <v>87.88</v>
      </c>
      <c r="I159" s="180">
        <f>TRUNC(F159 * H159, 2)</f>
        <v>527.28</v>
      </c>
      <c r="J159" s="144">
        <f t="shared" si="10"/>
        <v>1.7079718214579778E-4</v>
      </c>
    </row>
    <row r="160" spans="1:11" ht="20.100000000000001" customHeight="1">
      <c r="A160" s="142" t="s">
        <v>410</v>
      </c>
      <c r="B160" s="141" t="s">
        <v>411</v>
      </c>
      <c r="C160" s="141" t="s">
        <v>15</v>
      </c>
      <c r="D160" s="143" t="s">
        <v>412</v>
      </c>
      <c r="E160" s="141" t="s">
        <v>399</v>
      </c>
      <c r="F160" s="141">
        <v>6</v>
      </c>
      <c r="G160" s="180">
        <v>511.24</v>
      </c>
      <c r="H160" s="180">
        <f>TRUNC(G160 * (1 + 22.88 / 100), 2)</f>
        <v>628.21</v>
      </c>
      <c r="I160" s="180">
        <f>TRUNC(F160 * H160, 2)</f>
        <v>3769.26</v>
      </c>
      <c r="J160" s="144">
        <f t="shared" si="10"/>
        <v>1.2209433067343154E-3</v>
      </c>
    </row>
    <row r="161" spans="1:11" ht="20.100000000000001" customHeight="1">
      <c r="A161" s="159" t="s">
        <v>413</v>
      </c>
      <c r="B161" s="160"/>
      <c r="C161" s="160"/>
      <c r="D161" s="161" t="s">
        <v>414</v>
      </c>
      <c r="E161" s="161"/>
      <c r="F161" s="160"/>
      <c r="G161" s="179"/>
      <c r="H161" s="179"/>
      <c r="I161" s="179">
        <f>SUM(I162,I164,I172)</f>
        <v>207067.33999999997</v>
      </c>
      <c r="J161" s="162">
        <f t="shared" si="10"/>
        <v>6.7073505891416016E-2</v>
      </c>
      <c r="K161" s="182">
        <f>I161/5</f>
        <v>41413.467999999993</v>
      </c>
    </row>
    <row r="162" spans="1:11" ht="20.100000000000001" customHeight="1">
      <c r="A162" s="159" t="s">
        <v>415</v>
      </c>
      <c r="B162" s="160"/>
      <c r="C162" s="160"/>
      <c r="D162" s="161" t="s">
        <v>416</v>
      </c>
      <c r="E162" s="161"/>
      <c r="F162" s="160"/>
      <c r="G162" s="179"/>
      <c r="H162" s="179"/>
      <c r="I162" s="179">
        <f>SUM(I163)</f>
        <v>28098.720000000001</v>
      </c>
      <c r="J162" s="162">
        <f t="shared" si="10"/>
        <v>9.1017717302074256E-3</v>
      </c>
    </row>
    <row r="163" spans="1:11" ht="20.100000000000001" customHeight="1">
      <c r="A163" s="142" t="s">
        <v>417</v>
      </c>
      <c r="B163" s="141" t="s">
        <v>418</v>
      </c>
      <c r="C163" s="141" t="s">
        <v>15</v>
      </c>
      <c r="D163" s="143" t="s">
        <v>419</v>
      </c>
      <c r="E163" s="141" t="s">
        <v>399</v>
      </c>
      <c r="F163" s="141">
        <v>38</v>
      </c>
      <c r="G163" s="180">
        <v>601.76</v>
      </c>
      <c r="H163" s="180">
        <f>TRUNC(G163 * (1 + 22.88 / 100), 2)</f>
        <v>739.44</v>
      </c>
      <c r="I163" s="180">
        <f>TRUNC(F163 * H163, 2)</f>
        <v>28098.720000000001</v>
      </c>
      <c r="J163" s="144">
        <f t="shared" si="10"/>
        <v>9.1017717302074256E-3</v>
      </c>
    </row>
    <row r="164" spans="1:11" ht="20.100000000000001" customHeight="1">
      <c r="A164" s="159" t="s">
        <v>420</v>
      </c>
      <c r="B164" s="160"/>
      <c r="C164" s="160"/>
      <c r="D164" s="161" t="s">
        <v>421</v>
      </c>
      <c r="E164" s="161"/>
      <c r="F164" s="160"/>
      <c r="G164" s="179"/>
      <c r="H164" s="179"/>
      <c r="I164" s="179">
        <f>SUM(I165:I171)</f>
        <v>121699.2</v>
      </c>
      <c r="J164" s="162">
        <f t="shared" si="10"/>
        <v>3.9420953628807986E-2</v>
      </c>
    </row>
    <row r="165" spans="1:11" ht="20.100000000000001" customHeight="1">
      <c r="A165" s="142" t="s">
        <v>422</v>
      </c>
      <c r="B165" s="141" t="s">
        <v>423</v>
      </c>
      <c r="C165" s="141" t="s">
        <v>15</v>
      </c>
      <c r="D165" s="143" t="s">
        <v>424</v>
      </c>
      <c r="E165" s="141" t="s">
        <v>33</v>
      </c>
      <c r="F165" s="141">
        <v>38</v>
      </c>
      <c r="G165" s="180">
        <v>570.77</v>
      </c>
      <c r="H165" s="180">
        <f t="shared" ref="H165:H171" si="13">TRUNC(G165 * (1 + 22.88 / 100), 2)</f>
        <v>701.36</v>
      </c>
      <c r="I165" s="180">
        <f t="shared" ref="I165:I171" si="14">TRUNC(F165 * H165, 2)</f>
        <v>26651.68</v>
      </c>
      <c r="J165" s="144">
        <f t="shared" si="10"/>
        <v>8.6330447645492272E-3</v>
      </c>
    </row>
    <row r="166" spans="1:11" ht="20.100000000000001" customHeight="1">
      <c r="A166" s="142" t="s">
        <v>425</v>
      </c>
      <c r="B166" s="141" t="s">
        <v>426</v>
      </c>
      <c r="C166" s="141" t="s">
        <v>15</v>
      </c>
      <c r="D166" s="143" t="s">
        <v>427</v>
      </c>
      <c r="E166" s="141" t="s">
        <v>33</v>
      </c>
      <c r="F166" s="141">
        <v>2</v>
      </c>
      <c r="G166" s="180">
        <v>1058.5999999999999</v>
      </c>
      <c r="H166" s="180">
        <f t="shared" si="13"/>
        <v>1300.8</v>
      </c>
      <c r="I166" s="180">
        <f t="shared" si="14"/>
        <v>2601.6</v>
      </c>
      <c r="J166" s="144">
        <f t="shared" si="10"/>
        <v>8.4271345218955309E-4</v>
      </c>
    </row>
    <row r="167" spans="1:11" ht="20.100000000000001" customHeight="1">
      <c r="A167" s="142" t="s">
        <v>428</v>
      </c>
      <c r="B167" s="141" t="s">
        <v>429</v>
      </c>
      <c r="C167" s="141" t="s">
        <v>15</v>
      </c>
      <c r="D167" s="143" t="s">
        <v>430</v>
      </c>
      <c r="E167" s="141" t="s">
        <v>33</v>
      </c>
      <c r="F167" s="141">
        <v>2</v>
      </c>
      <c r="G167" s="180">
        <v>3786.33</v>
      </c>
      <c r="H167" s="180">
        <f t="shared" si="13"/>
        <v>4652.6400000000003</v>
      </c>
      <c r="I167" s="180">
        <f t="shared" si="14"/>
        <v>9305.2800000000007</v>
      </c>
      <c r="J167" s="144">
        <f t="shared" si="10"/>
        <v>3.0141776723517856E-3</v>
      </c>
    </row>
    <row r="168" spans="1:11" ht="20.100000000000001" customHeight="1">
      <c r="A168" s="142" t="s">
        <v>431</v>
      </c>
      <c r="B168" s="141" t="s">
        <v>432</v>
      </c>
      <c r="C168" s="141" t="s">
        <v>15</v>
      </c>
      <c r="D168" s="143" t="s">
        <v>433</v>
      </c>
      <c r="E168" s="141" t="s">
        <v>33</v>
      </c>
      <c r="F168" s="141">
        <v>2</v>
      </c>
      <c r="G168" s="180">
        <v>15830.17</v>
      </c>
      <c r="H168" s="180">
        <f t="shared" si="13"/>
        <v>19452.11</v>
      </c>
      <c r="I168" s="180">
        <f t="shared" si="14"/>
        <v>38904.22</v>
      </c>
      <c r="J168" s="144">
        <f t="shared" si="10"/>
        <v>1.2601902498824515E-2</v>
      </c>
    </row>
    <row r="169" spans="1:11" ht="20.100000000000001" customHeight="1">
      <c r="A169" s="142" t="s">
        <v>434</v>
      </c>
      <c r="B169" s="141" t="s">
        <v>435</v>
      </c>
      <c r="C169" s="141" t="s">
        <v>15</v>
      </c>
      <c r="D169" s="143" t="s">
        <v>436</v>
      </c>
      <c r="E169" s="141" t="s">
        <v>399</v>
      </c>
      <c r="F169" s="141">
        <v>38</v>
      </c>
      <c r="G169" s="180">
        <v>424.53</v>
      </c>
      <c r="H169" s="180">
        <f t="shared" si="13"/>
        <v>521.66</v>
      </c>
      <c r="I169" s="180">
        <f t="shared" si="14"/>
        <v>19823.080000000002</v>
      </c>
      <c r="J169" s="144">
        <f t="shared" si="10"/>
        <v>6.421116305285089E-3</v>
      </c>
    </row>
    <row r="170" spans="1:11" ht="20.100000000000001" customHeight="1">
      <c r="A170" s="142" t="s">
        <v>437</v>
      </c>
      <c r="B170" s="141" t="s">
        <v>438</v>
      </c>
      <c r="C170" s="141" t="s">
        <v>15</v>
      </c>
      <c r="D170" s="143" t="s">
        <v>439</v>
      </c>
      <c r="E170" s="141" t="s">
        <v>33</v>
      </c>
      <c r="F170" s="141">
        <v>2</v>
      </c>
      <c r="G170" s="180">
        <v>7518.78</v>
      </c>
      <c r="H170" s="180">
        <f t="shared" si="13"/>
        <v>9239.07</v>
      </c>
      <c r="I170" s="180">
        <f t="shared" si="14"/>
        <v>18478.14</v>
      </c>
      <c r="J170" s="144">
        <f t="shared" si="10"/>
        <v>5.9854616964336825E-3</v>
      </c>
    </row>
    <row r="171" spans="1:11" ht="20.100000000000001" customHeight="1">
      <c r="A171" s="142" t="s">
        <v>440</v>
      </c>
      <c r="B171" s="141" t="s">
        <v>441</v>
      </c>
      <c r="C171" s="141" t="s">
        <v>15</v>
      </c>
      <c r="D171" s="143" t="s">
        <v>442</v>
      </c>
      <c r="E171" s="141" t="s">
        <v>115</v>
      </c>
      <c r="F171" s="141">
        <v>30</v>
      </c>
      <c r="G171" s="180">
        <v>161.01</v>
      </c>
      <c r="H171" s="180">
        <f t="shared" si="13"/>
        <v>197.84</v>
      </c>
      <c r="I171" s="180">
        <f t="shared" si="14"/>
        <v>5935.2</v>
      </c>
      <c r="J171" s="144">
        <f t="shared" si="10"/>
        <v>1.9225372391741373E-3</v>
      </c>
    </row>
    <row r="172" spans="1:11" ht="20.100000000000001" customHeight="1">
      <c r="A172" s="159" t="s">
        <v>443</v>
      </c>
      <c r="B172" s="160"/>
      <c r="C172" s="160"/>
      <c r="D172" s="161" t="s">
        <v>444</v>
      </c>
      <c r="E172" s="161"/>
      <c r="F172" s="160"/>
      <c r="G172" s="179"/>
      <c r="H172" s="179"/>
      <c r="I172" s="179">
        <f>SUM(I173:I175)</f>
        <v>57269.42</v>
      </c>
      <c r="J172" s="162">
        <f t="shared" si="10"/>
        <v>1.8550780532400613E-2</v>
      </c>
    </row>
    <row r="173" spans="1:11" ht="20.100000000000001" customHeight="1">
      <c r="A173" s="142" t="s">
        <v>445</v>
      </c>
      <c r="B173" s="141" t="s">
        <v>446</v>
      </c>
      <c r="C173" s="141" t="s">
        <v>15</v>
      </c>
      <c r="D173" s="143" t="s">
        <v>447</v>
      </c>
      <c r="E173" s="141" t="s">
        <v>115</v>
      </c>
      <c r="F173" s="141">
        <v>199.5</v>
      </c>
      <c r="G173" s="180">
        <v>65.400000000000006</v>
      </c>
      <c r="H173" s="180">
        <f>TRUNC(G173 * (1 + 22.88 / 100), 2)</f>
        <v>80.36</v>
      </c>
      <c r="I173" s="180">
        <f>TRUNC(F173 * H173, 2)</f>
        <v>16031.82</v>
      </c>
      <c r="J173" s="144">
        <f t="shared" si="10"/>
        <v>5.1930467316580265E-3</v>
      </c>
    </row>
    <row r="174" spans="1:11" ht="20.100000000000001" customHeight="1">
      <c r="A174" s="142" t="s">
        <v>448</v>
      </c>
      <c r="B174" s="141" t="s">
        <v>449</v>
      </c>
      <c r="C174" s="141" t="s">
        <v>15</v>
      </c>
      <c r="D174" s="143" t="s">
        <v>450</v>
      </c>
      <c r="E174" s="141" t="s">
        <v>115</v>
      </c>
      <c r="F174" s="141">
        <v>165</v>
      </c>
      <c r="G174" s="180">
        <v>104.37</v>
      </c>
      <c r="H174" s="180">
        <f>TRUNC(G174 * (1 + 22.88 / 100), 2)</f>
        <v>128.24</v>
      </c>
      <c r="I174" s="180">
        <f>TRUNC(F174 * H174, 2)</f>
        <v>21159.599999999999</v>
      </c>
      <c r="J174" s="144">
        <f t="shared" si="10"/>
        <v>6.8540434974439061E-3</v>
      </c>
    </row>
    <row r="175" spans="1:11" ht="20.100000000000001" customHeight="1">
      <c r="A175" s="142" t="s">
        <v>708</v>
      </c>
      <c r="B175" s="141" t="s">
        <v>709</v>
      </c>
      <c r="C175" s="141" t="s">
        <v>240</v>
      </c>
      <c r="D175" s="143" t="s">
        <v>710</v>
      </c>
      <c r="E175" s="141" t="s">
        <v>33</v>
      </c>
      <c r="F175" s="141">
        <v>20</v>
      </c>
      <c r="G175" s="180">
        <v>816.98</v>
      </c>
      <c r="H175" s="180">
        <f>TRUNC(G175 * (1 + 22.88 / 100), 2)</f>
        <v>1003.9</v>
      </c>
      <c r="I175" s="180">
        <f>TRUNC(F175 * H175, 2)</f>
        <v>20078</v>
      </c>
      <c r="J175" s="144">
        <f t="shared" si="10"/>
        <v>6.5036903032986808E-3</v>
      </c>
    </row>
    <row r="176" spans="1:11" ht="20.100000000000001" customHeight="1">
      <c r="A176" s="159" t="s">
        <v>451</v>
      </c>
      <c r="B176" s="160"/>
      <c r="C176" s="160"/>
      <c r="D176" s="161" t="s">
        <v>452</v>
      </c>
      <c r="E176" s="161"/>
      <c r="F176" s="160"/>
      <c r="G176" s="179"/>
      <c r="H176" s="179"/>
      <c r="I176" s="179">
        <f>SUM(I177:I178)</f>
        <v>3890.41</v>
      </c>
      <c r="J176" s="162">
        <f t="shared" si="10"/>
        <v>1.2601863628277825E-3</v>
      </c>
      <c r="K176" s="182">
        <f>I176</f>
        <v>3890.41</v>
      </c>
    </row>
    <row r="177" spans="1:12" ht="20.100000000000001" customHeight="1">
      <c r="A177" s="142" t="s">
        <v>453</v>
      </c>
      <c r="B177" s="141" t="s">
        <v>454</v>
      </c>
      <c r="C177" s="141" t="s">
        <v>15</v>
      </c>
      <c r="D177" s="143" t="s">
        <v>455</v>
      </c>
      <c r="E177" s="141" t="s">
        <v>33</v>
      </c>
      <c r="F177" s="141">
        <v>6</v>
      </c>
      <c r="G177" s="180">
        <v>238.26</v>
      </c>
      <c r="H177" s="180">
        <f>TRUNC(G177 * (1 + 22.88 / 100), 2)</f>
        <v>292.77</v>
      </c>
      <c r="I177" s="180">
        <f>TRUNC(F177 * H177, 2)</f>
        <v>1756.62</v>
      </c>
      <c r="J177" s="144">
        <f t="shared" si="10"/>
        <v>5.6900649768804295E-4</v>
      </c>
    </row>
    <row r="178" spans="1:12" ht="20.100000000000001" customHeight="1">
      <c r="A178" s="142" t="s">
        <v>456</v>
      </c>
      <c r="B178" s="141" t="s">
        <v>457</v>
      </c>
      <c r="C178" s="141" t="s">
        <v>240</v>
      </c>
      <c r="D178" s="143" t="s">
        <v>458</v>
      </c>
      <c r="E178" s="141" t="s">
        <v>33</v>
      </c>
      <c r="F178" s="141">
        <v>1</v>
      </c>
      <c r="G178" s="180">
        <v>1736.49</v>
      </c>
      <c r="H178" s="180">
        <f>TRUNC(G178 * (1 + 22.88 / 100), 2)</f>
        <v>2133.79</v>
      </c>
      <c r="I178" s="180">
        <f>TRUNC(F178 * H178, 2)</f>
        <v>2133.79</v>
      </c>
      <c r="J178" s="144">
        <f t="shared" si="10"/>
        <v>6.9117986513973957E-4</v>
      </c>
    </row>
    <row r="179" spans="1:12" ht="20.100000000000001" customHeight="1">
      <c r="A179" s="159" t="s">
        <v>459</v>
      </c>
      <c r="B179" s="160"/>
      <c r="C179" s="160"/>
      <c r="D179" s="161" t="s">
        <v>460</v>
      </c>
      <c r="E179" s="161"/>
      <c r="F179" s="160"/>
      <c r="G179" s="179"/>
      <c r="H179" s="179"/>
      <c r="I179" s="179">
        <f>SUM(I180:I193)</f>
        <v>17618.090000000004</v>
      </c>
      <c r="J179" s="162">
        <f t="shared" si="10"/>
        <v>5.7068732491106422E-3</v>
      </c>
      <c r="K179" s="182">
        <f>I179*33%</f>
        <v>5813.9697000000015</v>
      </c>
      <c r="L179" s="182">
        <f>I179*34%</f>
        <v>5990.1506000000018</v>
      </c>
    </row>
    <row r="180" spans="1:12" ht="20.100000000000001" customHeight="1">
      <c r="A180" s="142" t="s">
        <v>461</v>
      </c>
      <c r="B180" s="141" t="s">
        <v>462</v>
      </c>
      <c r="C180" s="141" t="s">
        <v>15</v>
      </c>
      <c r="D180" s="143" t="s">
        <v>463</v>
      </c>
      <c r="E180" s="141" t="s">
        <v>33</v>
      </c>
      <c r="F180" s="141">
        <v>6</v>
      </c>
      <c r="G180" s="180">
        <v>72.53</v>
      </c>
      <c r="H180" s="180">
        <f t="shared" ref="H180:H193" si="15">TRUNC(G180 * (1 + 22.88 / 100), 2)</f>
        <v>89.12</v>
      </c>
      <c r="I180" s="180">
        <f t="shared" ref="I180:I193" si="16">TRUNC(F180 * H180, 2)</f>
        <v>534.72</v>
      </c>
      <c r="J180" s="144">
        <f t="shared" si="10"/>
        <v>1.7320715604043582E-4</v>
      </c>
    </row>
    <row r="181" spans="1:12" ht="20.100000000000001" customHeight="1">
      <c r="A181" s="142" t="s">
        <v>464</v>
      </c>
      <c r="B181" s="141" t="s">
        <v>465</v>
      </c>
      <c r="C181" s="141" t="s">
        <v>15</v>
      </c>
      <c r="D181" s="143" t="s">
        <v>466</v>
      </c>
      <c r="E181" s="141" t="s">
        <v>33</v>
      </c>
      <c r="F181" s="141">
        <v>6</v>
      </c>
      <c r="G181" s="180">
        <v>45.04</v>
      </c>
      <c r="H181" s="180">
        <f t="shared" si="15"/>
        <v>55.34</v>
      </c>
      <c r="I181" s="180">
        <f t="shared" si="16"/>
        <v>332.04</v>
      </c>
      <c r="J181" s="144">
        <f t="shared" si="10"/>
        <v>1.0755480268489362E-4</v>
      </c>
    </row>
    <row r="182" spans="1:12" ht="20.100000000000001" customHeight="1">
      <c r="A182" s="142" t="s">
        <v>467</v>
      </c>
      <c r="B182" s="141" t="s">
        <v>468</v>
      </c>
      <c r="C182" s="141" t="s">
        <v>15</v>
      </c>
      <c r="D182" s="143" t="s">
        <v>469</v>
      </c>
      <c r="E182" s="141" t="s">
        <v>33</v>
      </c>
      <c r="F182" s="141">
        <v>10</v>
      </c>
      <c r="G182" s="180">
        <v>593.59</v>
      </c>
      <c r="H182" s="180">
        <f t="shared" si="15"/>
        <v>729.4</v>
      </c>
      <c r="I182" s="180">
        <f t="shared" si="16"/>
        <v>7294</v>
      </c>
      <c r="J182" s="144">
        <f t="shared" si="10"/>
        <v>2.3626813961679736E-3</v>
      </c>
    </row>
    <row r="183" spans="1:12" ht="20.100000000000001" customHeight="1">
      <c r="A183" s="142" t="s">
        <v>470</v>
      </c>
      <c r="B183" s="141" t="s">
        <v>471</v>
      </c>
      <c r="C183" s="141" t="s">
        <v>15</v>
      </c>
      <c r="D183" s="143" t="s">
        <v>472</v>
      </c>
      <c r="E183" s="141" t="s">
        <v>115</v>
      </c>
      <c r="F183" s="141">
        <v>3.6</v>
      </c>
      <c r="G183" s="180">
        <v>280.77</v>
      </c>
      <c r="H183" s="180">
        <f t="shared" si="15"/>
        <v>345.01</v>
      </c>
      <c r="I183" s="180">
        <f t="shared" si="16"/>
        <v>1242.03</v>
      </c>
      <c r="J183" s="144">
        <f t="shared" si="10"/>
        <v>4.0231987585447054E-4</v>
      </c>
    </row>
    <row r="184" spans="1:12" ht="20.100000000000001" customHeight="1">
      <c r="A184" s="142" t="s">
        <v>473</v>
      </c>
      <c r="B184" s="141" t="s">
        <v>474</v>
      </c>
      <c r="C184" s="141" t="s">
        <v>15</v>
      </c>
      <c r="D184" s="143" t="s">
        <v>475</v>
      </c>
      <c r="E184" s="141" t="s">
        <v>33</v>
      </c>
      <c r="F184" s="141">
        <v>6</v>
      </c>
      <c r="G184" s="180">
        <v>48.94</v>
      </c>
      <c r="H184" s="180">
        <f t="shared" si="15"/>
        <v>60.13</v>
      </c>
      <c r="I184" s="180">
        <f t="shared" si="16"/>
        <v>360.78</v>
      </c>
      <c r="J184" s="144">
        <f t="shared" si="10"/>
        <v>1.1686429861660014E-4</v>
      </c>
    </row>
    <row r="185" spans="1:12" ht="20.100000000000001" customHeight="1">
      <c r="A185" s="142" t="s">
        <v>476</v>
      </c>
      <c r="B185" s="141" t="s">
        <v>477</v>
      </c>
      <c r="C185" s="141" t="s">
        <v>15</v>
      </c>
      <c r="D185" s="143" t="s">
        <v>478</v>
      </c>
      <c r="E185" s="141" t="s">
        <v>33</v>
      </c>
      <c r="F185" s="141">
        <v>13</v>
      </c>
      <c r="G185" s="180">
        <v>108.4</v>
      </c>
      <c r="H185" s="180">
        <f t="shared" si="15"/>
        <v>133.19999999999999</v>
      </c>
      <c r="I185" s="180">
        <f t="shared" si="16"/>
        <v>1731.6</v>
      </c>
      <c r="J185" s="144">
        <f t="shared" si="10"/>
        <v>5.6090198870365545E-4</v>
      </c>
    </row>
    <row r="186" spans="1:12" ht="20.100000000000001" customHeight="1">
      <c r="A186" s="142" t="s">
        <v>479</v>
      </c>
      <c r="B186" s="141" t="s">
        <v>480</v>
      </c>
      <c r="C186" s="141" t="s">
        <v>15</v>
      </c>
      <c r="D186" s="143" t="s">
        <v>481</v>
      </c>
      <c r="E186" s="141" t="s">
        <v>33</v>
      </c>
      <c r="F186" s="141">
        <v>4</v>
      </c>
      <c r="G186" s="180">
        <v>152.05000000000001</v>
      </c>
      <c r="H186" s="180">
        <f t="shared" si="15"/>
        <v>186.83</v>
      </c>
      <c r="I186" s="180">
        <f t="shared" si="16"/>
        <v>747.32</v>
      </c>
      <c r="J186" s="144">
        <f t="shared" si="10"/>
        <v>2.4207280792216208E-4</v>
      </c>
    </row>
    <row r="187" spans="1:12" ht="20.100000000000001" customHeight="1">
      <c r="A187" s="142" t="s">
        <v>482</v>
      </c>
      <c r="B187" s="141" t="s">
        <v>483</v>
      </c>
      <c r="C187" s="141" t="s">
        <v>15</v>
      </c>
      <c r="D187" s="143" t="s">
        <v>484</v>
      </c>
      <c r="E187" s="141" t="s">
        <v>33</v>
      </c>
      <c r="F187" s="141">
        <v>23</v>
      </c>
      <c r="G187" s="180">
        <v>12.8</v>
      </c>
      <c r="H187" s="180">
        <f t="shared" si="15"/>
        <v>15.72</v>
      </c>
      <c r="I187" s="180">
        <f t="shared" si="16"/>
        <v>361.56</v>
      </c>
      <c r="J187" s="144">
        <f t="shared" si="10"/>
        <v>1.1711695717007028E-4</v>
      </c>
    </row>
    <row r="188" spans="1:12" ht="20.100000000000001" customHeight="1">
      <c r="A188" s="142" t="s">
        <v>485</v>
      </c>
      <c r="B188" s="141" t="s">
        <v>486</v>
      </c>
      <c r="C188" s="141" t="s">
        <v>15</v>
      </c>
      <c r="D188" s="143" t="s">
        <v>487</v>
      </c>
      <c r="E188" s="141" t="s">
        <v>33</v>
      </c>
      <c r="F188" s="141">
        <v>10</v>
      </c>
      <c r="G188" s="180">
        <v>71.099999999999994</v>
      </c>
      <c r="H188" s="180">
        <f t="shared" si="15"/>
        <v>87.36</v>
      </c>
      <c r="I188" s="180">
        <f t="shared" si="16"/>
        <v>873.6</v>
      </c>
      <c r="J188" s="144">
        <f t="shared" si="10"/>
        <v>2.8297757988652889E-4</v>
      </c>
    </row>
    <row r="189" spans="1:12" ht="20.100000000000001" customHeight="1">
      <c r="A189" s="142" t="s">
        <v>488</v>
      </c>
      <c r="B189" s="141" t="s">
        <v>489</v>
      </c>
      <c r="C189" s="141" t="s">
        <v>15</v>
      </c>
      <c r="D189" s="143" t="s">
        <v>490</v>
      </c>
      <c r="E189" s="141" t="s">
        <v>33</v>
      </c>
      <c r="F189" s="141">
        <v>8</v>
      </c>
      <c r="G189" s="180">
        <v>93.12</v>
      </c>
      <c r="H189" s="180">
        <f t="shared" si="15"/>
        <v>114.42</v>
      </c>
      <c r="I189" s="180">
        <f t="shared" si="16"/>
        <v>915.36</v>
      </c>
      <c r="J189" s="144">
        <f t="shared" si="10"/>
        <v>2.9650453013385197E-4</v>
      </c>
    </row>
    <row r="190" spans="1:12" ht="20.100000000000001" customHeight="1">
      <c r="A190" s="142" t="s">
        <v>491</v>
      </c>
      <c r="B190" s="141" t="s">
        <v>492</v>
      </c>
      <c r="C190" s="141" t="s">
        <v>15</v>
      </c>
      <c r="D190" s="143" t="s">
        <v>493</v>
      </c>
      <c r="E190" s="141" t="s">
        <v>33</v>
      </c>
      <c r="F190" s="141">
        <v>10</v>
      </c>
      <c r="G190" s="180">
        <v>71.099999999999994</v>
      </c>
      <c r="H190" s="180">
        <f t="shared" si="15"/>
        <v>87.36</v>
      </c>
      <c r="I190" s="180">
        <f t="shared" si="16"/>
        <v>873.6</v>
      </c>
      <c r="J190" s="144">
        <f t="shared" si="10"/>
        <v>2.8297757988652889E-4</v>
      </c>
    </row>
    <row r="191" spans="1:12" ht="20.100000000000001" customHeight="1">
      <c r="A191" s="142" t="s">
        <v>494</v>
      </c>
      <c r="B191" s="141" t="s">
        <v>495</v>
      </c>
      <c r="C191" s="141" t="s">
        <v>15</v>
      </c>
      <c r="D191" s="143" t="s">
        <v>496</v>
      </c>
      <c r="E191" s="141" t="s">
        <v>33</v>
      </c>
      <c r="F191" s="141">
        <v>13</v>
      </c>
      <c r="G191" s="180">
        <v>16.809999999999999</v>
      </c>
      <c r="H191" s="180">
        <f t="shared" si="15"/>
        <v>20.65</v>
      </c>
      <c r="I191" s="180">
        <f t="shared" si="16"/>
        <v>268.45</v>
      </c>
      <c r="J191" s="144">
        <f t="shared" si="10"/>
        <v>8.6956652152631267E-5</v>
      </c>
    </row>
    <row r="192" spans="1:12" ht="20.100000000000001" customHeight="1">
      <c r="A192" s="142" t="s">
        <v>497</v>
      </c>
      <c r="B192" s="141" t="s">
        <v>498</v>
      </c>
      <c r="C192" s="141" t="s">
        <v>15</v>
      </c>
      <c r="D192" s="143" t="s">
        <v>499</v>
      </c>
      <c r="E192" s="141" t="s">
        <v>33</v>
      </c>
      <c r="F192" s="141">
        <v>5</v>
      </c>
      <c r="G192" s="180">
        <v>78.87</v>
      </c>
      <c r="H192" s="180">
        <f t="shared" si="15"/>
        <v>96.91</v>
      </c>
      <c r="I192" s="180">
        <f t="shared" si="16"/>
        <v>484.55</v>
      </c>
      <c r="J192" s="144">
        <f t="shared" si="10"/>
        <v>1.5695602831274907E-4</v>
      </c>
    </row>
    <row r="193" spans="1:11" ht="20.100000000000001" customHeight="1">
      <c r="A193" s="142" t="s">
        <v>500</v>
      </c>
      <c r="B193" s="141" t="s">
        <v>501</v>
      </c>
      <c r="C193" s="141" t="s">
        <v>15</v>
      </c>
      <c r="D193" s="143" t="s">
        <v>502</v>
      </c>
      <c r="E193" s="141" t="s">
        <v>33</v>
      </c>
      <c r="F193" s="141">
        <v>13</v>
      </c>
      <c r="G193" s="180">
        <v>100.07</v>
      </c>
      <c r="H193" s="180">
        <f t="shared" si="15"/>
        <v>122.96</v>
      </c>
      <c r="I193" s="180">
        <f t="shared" si="16"/>
        <v>1598.48</v>
      </c>
      <c r="J193" s="144">
        <f t="shared" si="10"/>
        <v>5.1778159557808916E-4</v>
      </c>
    </row>
    <row r="194" spans="1:11" ht="20.100000000000001" customHeight="1">
      <c r="A194" s="159" t="s">
        <v>503</v>
      </c>
      <c r="B194" s="160"/>
      <c r="C194" s="160"/>
      <c r="D194" s="161" t="s">
        <v>504</v>
      </c>
      <c r="E194" s="161"/>
      <c r="F194" s="160"/>
      <c r="G194" s="179"/>
      <c r="H194" s="179"/>
      <c r="I194" s="179">
        <f>SUM(I195)</f>
        <v>974.43</v>
      </c>
      <c r="J194" s="162">
        <f t="shared" si="10"/>
        <v>3.1563855674087723E-4</v>
      </c>
      <c r="K194" s="182">
        <f>I194</f>
        <v>974.43</v>
      </c>
    </row>
    <row r="195" spans="1:11" ht="20.100000000000001" customHeight="1">
      <c r="A195" s="142" t="s">
        <v>505</v>
      </c>
      <c r="B195" s="141" t="s">
        <v>506</v>
      </c>
      <c r="C195" s="141" t="s">
        <v>24</v>
      </c>
      <c r="D195" s="143" t="s">
        <v>507</v>
      </c>
      <c r="E195" s="141" t="s">
        <v>508</v>
      </c>
      <c r="F195" s="141">
        <v>1</v>
      </c>
      <c r="G195" s="180">
        <v>793</v>
      </c>
      <c r="H195" s="180">
        <f>TRUNC(G195 * (1 + 22.88 / 100), 2)</f>
        <v>974.43</v>
      </c>
      <c r="I195" s="180">
        <f>TRUNC(F195 * H195, 2)</f>
        <v>974.43</v>
      </c>
      <c r="J195" s="144">
        <f t="shared" si="10"/>
        <v>3.1563855674087723E-4</v>
      </c>
    </row>
    <row r="196" spans="1:11" ht="20.100000000000001" customHeight="1">
      <c r="A196" s="159" t="s">
        <v>509</v>
      </c>
      <c r="B196" s="160"/>
      <c r="C196" s="160"/>
      <c r="D196" s="161" t="s">
        <v>510</v>
      </c>
      <c r="E196" s="161"/>
      <c r="F196" s="160"/>
      <c r="G196" s="179"/>
      <c r="H196" s="179"/>
      <c r="I196" s="179">
        <f>SUM(I197:I198)</f>
        <v>5700.12</v>
      </c>
      <c r="J196" s="162">
        <f t="shared" si="10"/>
        <v>1.8463898382129133E-3</v>
      </c>
      <c r="K196" s="182">
        <f>I196</f>
        <v>5700.12</v>
      </c>
    </row>
    <row r="197" spans="1:11" ht="20.100000000000001" customHeight="1">
      <c r="A197" s="142" t="s">
        <v>511</v>
      </c>
      <c r="B197" s="141" t="s">
        <v>512</v>
      </c>
      <c r="C197" s="141" t="s">
        <v>15</v>
      </c>
      <c r="D197" s="143" t="s">
        <v>513</v>
      </c>
      <c r="E197" s="141" t="s">
        <v>33</v>
      </c>
      <c r="F197" s="141">
        <v>4</v>
      </c>
      <c r="G197" s="180">
        <v>380.54</v>
      </c>
      <c r="H197" s="180">
        <f>TRUNC(G197 * (1 + 22.88 / 100), 2)</f>
        <v>467.6</v>
      </c>
      <c r="I197" s="180">
        <f>TRUNC(F197 * H197, 2)</f>
        <v>1870.4</v>
      </c>
      <c r="J197" s="144">
        <f t="shared" si="10"/>
        <v>6.0586225437244008E-4</v>
      </c>
    </row>
    <row r="198" spans="1:11" ht="20.100000000000001" customHeight="1">
      <c r="A198" s="142" t="s">
        <v>514</v>
      </c>
      <c r="B198" s="141" t="s">
        <v>515</v>
      </c>
      <c r="C198" s="141" t="s">
        <v>15</v>
      </c>
      <c r="D198" s="143" t="s">
        <v>516</v>
      </c>
      <c r="E198" s="141" t="s">
        <v>115</v>
      </c>
      <c r="F198" s="141">
        <v>19.239999999999998</v>
      </c>
      <c r="G198" s="180">
        <v>161.99</v>
      </c>
      <c r="H198" s="180">
        <f>TRUNC(G198 * (1 + 22.88 / 100), 2)</f>
        <v>199.05</v>
      </c>
      <c r="I198" s="180">
        <f>TRUNC(F198 * H198, 2)</f>
        <v>3829.72</v>
      </c>
      <c r="J198" s="144">
        <f t="shared" si="10"/>
        <v>1.2405275838404731E-3</v>
      </c>
    </row>
    <row r="199" spans="1:11" ht="20.100000000000001" customHeight="1">
      <c r="A199" s="159" t="s">
        <v>517</v>
      </c>
      <c r="B199" s="160"/>
      <c r="C199" s="160"/>
      <c r="D199" s="161" t="s">
        <v>518</v>
      </c>
      <c r="E199" s="161"/>
      <c r="F199" s="160"/>
      <c r="G199" s="179"/>
      <c r="H199" s="179"/>
      <c r="I199" s="179">
        <f>SUM(I200:I202)</f>
        <v>50957.89</v>
      </c>
      <c r="J199" s="162">
        <f t="shared" si="10"/>
        <v>1.6506342019601591E-2</v>
      </c>
      <c r="K199" s="182">
        <f>I199/2</f>
        <v>25478.945</v>
      </c>
    </row>
    <row r="200" spans="1:11" ht="20.100000000000001" customHeight="1">
      <c r="A200" s="142" t="s">
        <v>519</v>
      </c>
      <c r="B200" s="141" t="s">
        <v>520</v>
      </c>
      <c r="C200" s="141" t="s">
        <v>521</v>
      </c>
      <c r="D200" s="143" t="s">
        <v>522</v>
      </c>
      <c r="E200" s="141" t="s">
        <v>21</v>
      </c>
      <c r="F200" s="141">
        <v>45.87</v>
      </c>
      <c r="G200" s="180">
        <v>435.35</v>
      </c>
      <c r="H200" s="180">
        <f>TRUNC(G200 * (1 + 22.88 / 100), 2)</f>
        <v>534.95000000000005</v>
      </c>
      <c r="I200" s="180">
        <f>TRUNC(F200 * H200, 2)</f>
        <v>24538.15</v>
      </c>
      <c r="J200" s="144">
        <f t="shared" si="10"/>
        <v>7.9484275433752624E-3</v>
      </c>
    </row>
    <row r="201" spans="1:11" ht="20.100000000000001" customHeight="1">
      <c r="A201" s="142" t="s">
        <v>523</v>
      </c>
      <c r="B201" s="141" t="s">
        <v>524</v>
      </c>
      <c r="C201" s="141" t="s">
        <v>240</v>
      </c>
      <c r="D201" s="143" t="s">
        <v>525</v>
      </c>
      <c r="E201" s="141" t="s">
        <v>21</v>
      </c>
      <c r="F201" s="141">
        <v>8.56</v>
      </c>
      <c r="G201" s="180">
        <v>548.67999999999995</v>
      </c>
      <c r="H201" s="180">
        <f>TRUNC(G201 * (1 + 22.88 / 100), 2)</f>
        <v>674.21</v>
      </c>
      <c r="I201" s="180">
        <f>TRUNC(F201 * H201, 2)</f>
        <v>5771.23</v>
      </c>
      <c r="J201" s="144">
        <f t="shared" si="10"/>
        <v>1.8694238763376054E-3</v>
      </c>
    </row>
    <row r="202" spans="1:11" ht="20.100000000000001" customHeight="1">
      <c r="A202" s="142" t="s">
        <v>526</v>
      </c>
      <c r="B202" s="141" t="s">
        <v>527</v>
      </c>
      <c r="C202" s="141" t="s">
        <v>15</v>
      </c>
      <c r="D202" s="143" t="s">
        <v>528</v>
      </c>
      <c r="E202" s="141" t="s">
        <v>21</v>
      </c>
      <c r="F202" s="141">
        <v>24.77</v>
      </c>
      <c r="G202" s="180">
        <v>678.4</v>
      </c>
      <c r="H202" s="180">
        <f>TRUNC(G202 * (1 + 22.88 / 100), 2)</f>
        <v>833.61</v>
      </c>
      <c r="I202" s="180">
        <f>TRUNC(F202 * H202, 2)</f>
        <v>20648.509999999998</v>
      </c>
      <c r="J202" s="144">
        <f t="shared" ref="J202:J204" si="17">I202 / 3087170.37</f>
        <v>6.6884905998887256E-3</v>
      </c>
    </row>
    <row r="203" spans="1:11" ht="20.100000000000001" customHeight="1">
      <c r="A203" s="159" t="s">
        <v>711</v>
      </c>
      <c r="B203" s="160"/>
      <c r="C203" s="160"/>
      <c r="D203" s="161" t="s">
        <v>712</v>
      </c>
      <c r="E203" s="161"/>
      <c r="F203" s="160"/>
      <c r="G203" s="179"/>
      <c r="H203" s="179"/>
      <c r="I203" s="179">
        <f>SUM(I204)</f>
        <v>12623.67</v>
      </c>
      <c r="J203" s="162">
        <f t="shared" si="17"/>
        <v>4.0890746175437018E-3</v>
      </c>
      <c r="K203" s="182">
        <f>I203</f>
        <v>12623.67</v>
      </c>
    </row>
    <row r="204" spans="1:11" ht="20.100000000000001" customHeight="1" thickBot="1">
      <c r="A204" s="147" t="s">
        <v>713</v>
      </c>
      <c r="B204" s="148" t="s">
        <v>714</v>
      </c>
      <c r="C204" s="148" t="s">
        <v>15</v>
      </c>
      <c r="D204" s="149" t="s">
        <v>715</v>
      </c>
      <c r="E204" s="148" t="s">
        <v>21</v>
      </c>
      <c r="F204" s="148">
        <v>1415.21</v>
      </c>
      <c r="G204" s="181">
        <v>7.26</v>
      </c>
      <c r="H204" s="181">
        <f>TRUNC(G204 * (1 + 22.88 / 100), 2)</f>
        <v>8.92</v>
      </c>
      <c r="I204" s="181">
        <f>TRUNC(F204 * H204, 2)</f>
        <v>12623.67</v>
      </c>
      <c r="J204" s="150">
        <f t="shared" si="17"/>
        <v>4.0890746175437018E-3</v>
      </c>
    </row>
    <row r="205" spans="1:11" ht="20.100000000000001" customHeight="1" thickBot="1">
      <c r="F205" s="189" t="s">
        <v>529</v>
      </c>
      <c r="G205" s="190"/>
      <c r="H205" s="190">
        <f>I10+I19+I23+I27+I30+I34+I37+I49+I53+I64+I72+I77+I79+I83+I86+I96+I157+I161+I176+I179+I194+I196+I199+I203</f>
        <v>3088889.09</v>
      </c>
      <c r="I205" s="190"/>
      <c r="J205" s="191"/>
    </row>
  </sheetData>
  <mergeCells count="15">
    <mergeCell ref="A1:J1"/>
    <mergeCell ref="A2:J2"/>
    <mergeCell ref="A3:J3"/>
    <mergeCell ref="A4:J4"/>
    <mergeCell ref="A5:F5"/>
    <mergeCell ref="G5:H5"/>
    <mergeCell ref="I5:J5"/>
    <mergeCell ref="F205:G205"/>
    <mergeCell ref="H205:J205"/>
    <mergeCell ref="A6:F6"/>
    <mergeCell ref="G6:H6"/>
    <mergeCell ref="I6:J6"/>
    <mergeCell ref="A7:B7"/>
    <mergeCell ref="C7:J7"/>
    <mergeCell ref="A8:J8"/>
  </mergeCells>
  <pageMargins left="0.51181102362204722" right="0.51181102362204722" top="0.98425196850393704" bottom="0.98425196850393704" header="0.51181102362204722" footer="0.51181102362204722"/>
  <pageSetup paperSize="9" scale="57" fitToHeight="0" orientation="portrait" r:id="rId1"/>
  <headerFooter>
    <oddHeader>&amp;L &amp;C &amp;R</oddHeader>
    <oddFooter>&amp;L &amp;C &amp;R</oddFooter>
  </headerFooter>
  <rowBreaks count="3" manualBreakCount="3">
    <brk id="60" max="9" man="1"/>
    <brk id="110" max="9" man="1"/>
    <brk id="16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8"/>
  <sheetViews>
    <sheetView tabSelected="1" view="pageBreakPreview" topLeftCell="A20" zoomScale="70" zoomScaleNormal="100" zoomScaleSheetLayoutView="70" workbookViewId="0">
      <selection activeCell="N29" sqref="N29"/>
    </sheetView>
  </sheetViews>
  <sheetFormatPr defaultRowHeight="14.25"/>
  <cols>
    <col min="1" max="1" width="4.75" bestFit="1" customWidth="1"/>
    <col min="2" max="2" width="50.75" bestFit="1" customWidth="1"/>
    <col min="3" max="3" width="20" style="4" bestFit="1" customWidth="1"/>
    <col min="4" max="7" width="12" style="4" bestFit="1" customWidth="1"/>
    <col min="8" max="8" width="13.75" style="4" customWidth="1"/>
    <col min="9" max="9" width="12" style="4" bestFit="1" customWidth="1"/>
    <col min="10" max="10" width="13.75" style="4" customWidth="1"/>
    <col min="11" max="11" width="16.875" style="4" customWidth="1"/>
    <col min="12" max="12" width="12.125" customWidth="1"/>
  </cols>
  <sheetData>
    <row r="1" spans="1:12" ht="20.100000000000001" customHeight="1" thickTop="1">
      <c r="A1" s="225" t="s">
        <v>530</v>
      </c>
      <c r="B1" s="226"/>
      <c r="C1" s="226"/>
      <c r="D1" s="226"/>
      <c r="E1" s="226"/>
      <c r="F1" s="226"/>
      <c r="G1" s="226"/>
      <c r="H1" s="226"/>
      <c r="I1" s="226"/>
      <c r="J1" s="226"/>
      <c r="K1" s="227"/>
    </row>
    <row r="2" spans="1:12" ht="20.100000000000001" customHeight="1">
      <c r="A2" s="228" t="s">
        <v>747</v>
      </c>
      <c r="B2" s="229"/>
      <c r="C2" s="229"/>
      <c r="D2" s="229"/>
      <c r="E2" s="229"/>
      <c r="F2" s="229"/>
      <c r="G2" s="229"/>
      <c r="H2" s="229"/>
      <c r="I2" s="229"/>
      <c r="J2" s="229"/>
      <c r="K2" s="230"/>
    </row>
    <row r="3" spans="1:12" ht="20.100000000000001" customHeight="1">
      <c r="A3" s="231" t="s">
        <v>548</v>
      </c>
      <c r="B3" s="232"/>
      <c r="C3" s="232"/>
      <c r="D3" s="232"/>
      <c r="E3" s="232"/>
      <c r="F3" s="232"/>
      <c r="G3" s="232"/>
      <c r="H3" s="232"/>
      <c r="I3" s="232"/>
      <c r="J3" s="232"/>
      <c r="K3" s="233"/>
    </row>
    <row r="4" spans="1:12" ht="20.100000000000001" customHeight="1" thickBot="1">
      <c r="A4" s="228" t="s">
        <v>549</v>
      </c>
      <c r="B4" s="229"/>
      <c r="C4" s="229"/>
      <c r="D4" s="229"/>
      <c r="E4" s="229"/>
      <c r="F4" s="229"/>
      <c r="G4" s="229"/>
      <c r="H4" s="229"/>
      <c r="I4" s="229"/>
      <c r="J4" s="229"/>
      <c r="K4" s="230"/>
    </row>
    <row r="5" spans="1:12" ht="20.100000000000001" customHeight="1">
      <c r="A5" s="215" t="s">
        <v>737</v>
      </c>
      <c r="B5" s="216"/>
      <c r="C5" s="216"/>
      <c r="D5" s="216"/>
      <c r="E5" s="216"/>
      <c r="F5" s="216"/>
      <c r="G5" s="216" t="s">
        <v>739</v>
      </c>
      <c r="H5" s="216"/>
      <c r="I5" s="216" t="s">
        <v>740</v>
      </c>
      <c r="J5" s="216"/>
      <c r="K5" s="218"/>
    </row>
    <row r="6" spans="1:12" ht="30" customHeight="1">
      <c r="A6" s="192" t="s">
        <v>741</v>
      </c>
      <c r="B6" s="193"/>
      <c r="C6" s="193"/>
      <c r="D6" s="193"/>
      <c r="E6" s="193"/>
      <c r="F6" s="193"/>
      <c r="G6" s="193" t="s">
        <v>742</v>
      </c>
      <c r="H6" s="193"/>
      <c r="I6" s="193" t="s">
        <v>745</v>
      </c>
      <c r="J6" s="193"/>
      <c r="K6" s="195"/>
    </row>
    <row r="7" spans="1:12" ht="20.100000000000001" customHeight="1" thickBot="1">
      <c r="A7" s="196" t="s">
        <v>738</v>
      </c>
      <c r="B7" s="197"/>
      <c r="C7" s="237" t="s">
        <v>744</v>
      </c>
      <c r="D7" s="238"/>
      <c r="E7" s="238"/>
      <c r="F7" s="238"/>
      <c r="G7" s="238"/>
      <c r="H7" s="238"/>
      <c r="I7" s="238"/>
      <c r="J7" s="238"/>
      <c r="K7" s="239"/>
    </row>
    <row r="8" spans="1:12" ht="24.95" customHeight="1" thickBot="1">
      <c r="A8" s="234" t="s">
        <v>531</v>
      </c>
      <c r="B8" s="235"/>
      <c r="C8" s="235"/>
      <c r="D8" s="235"/>
      <c r="E8" s="235"/>
      <c r="F8" s="235"/>
      <c r="G8" s="235"/>
      <c r="H8" s="235"/>
      <c r="I8" s="235"/>
      <c r="J8" s="235"/>
      <c r="K8" s="236"/>
    </row>
    <row r="9" spans="1:12" ht="15">
      <c r="A9" s="138" t="s">
        <v>1</v>
      </c>
      <c r="B9" s="139" t="s">
        <v>4</v>
      </c>
      <c r="C9" s="5" t="s">
        <v>532</v>
      </c>
      <c r="D9" s="5" t="s">
        <v>540</v>
      </c>
      <c r="E9" s="5" t="s">
        <v>541</v>
      </c>
      <c r="F9" s="5" t="s">
        <v>542</v>
      </c>
      <c r="G9" s="5" t="s">
        <v>543</v>
      </c>
      <c r="H9" s="5" t="s">
        <v>544</v>
      </c>
      <c r="I9" s="5" t="s">
        <v>545</v>
      </c>
      <c r="J9" s="5" t="s">
        <v>546</v>
      </c>
      <c r="K9" s="6" t="s">
        <v>547</v>
      </c>
    </row>
    <row r="10" spans="1:12" ht="26.25" thickBot="1">
      <c r="A10" s="163" t="s">
        <v>11</v>
      </c>
      <c r="B10" s="164" t="s">
        <v>12</v>
      </c>
      <c r="C10" s="165" t="s">
        <v>716</v>
      </c>
      <c r="D10" s="166" t="s">
        <v>716</v>
      </c>
      <c r="E10" s="167" t="s">
        <v>533</v>
      </c>
      <c r="F10" s="167" t="s">
        <v>533</v>
      </c>
      <c r="G10" s="167" t="s">
        <v>533</v>
      </c>
      <c r="H10" s="167" t="s">
        <v>533</v>
      </c>
      <c r="I10" s="167" t="s">
        <v>533</v>
      </c>
      <c r="J10" s="167" t="s">
        <v>533</v>
      </c>
      <c r="K10" s="168" t="s">
        <v>533</v>
      </c>
    </row>
    <row r="11" spans="1:12" ht="27" thickTop="1" thickBot="1">
      <c r="A11" s="169" t="s">
        <v>41</v>
      </c>
      <c r="B11" s="146" t="s">
        <v>42</v>
      </c>
      <c r="C11" s="145" t="s">
        <v>717</v>
      </c>
      <c r="D11" s="170" t="s">
        <v>717</v>
      </c>
      <c r="E11" s="171" t="s">
        <v>533</v>
      </c>
      <c r="F11" s="171" t="s">
        <v>533</v>
      </c>
      <c r="G11" s="171" t="s">
        <v>533</v>
      </c>
      <c r="H11" s="171" t="s">
        <v>533</v>
      </c>
      <c r="I11" s="171" t="s">
        <v>533</v>
      </c>
      <c r="J11" s="171" t="s">
        <v>533</v>
      </c>
      <c r="K11" s="172" t="s">
        <v>533</v>
      </c>
    </row>
    <row r="12" spans="1:12" ht="27" thickTop="1" thickBot="1">
      <c r="A12" s="169" t="s">
        <v>53</v>
      </c>
      <c r="B12" s="146" t="s">
        <v>54</v>
      </c>
      <c r="C12" s="145" t="s">
        <v>718</v>
      </c>
      <c r="D12" s="170" t="s">
        <v>718</v>
      </c>
      <c r="E12" s="171" t="s">
        <v>533</v>
      </c>
      <c r="F12" s="171" t="s">
        <v>533</v>
      </c>
      <c r="G12" s="171" t="s">
        <v>533</v>
      </c>
      <c r="H12" s="171" t="s">
        <v>533</v>
      </c>
      <c r="I12" s="171" t="s">
        <v>533</v>
      </c>
      <c r="J12" s="171" t="s">
        <v>533</v>
      </c>
      <c r="K12" s="172" t="s">
        <v>533</v>
      </c>
    </row>
    <row r="13" spans="1:12" ht="27" thickTop="1" thickBot="1">
      <c r="A13" s="169" t="s">
        <v>64</v>
      </c>
      <c r="B13" s="146" t="s">
        <v>65</v>
      </c>
      <c r="C13" s="145" t="s">
        <v>748</v>
      </c>
      <c r="D13" s="170" t="s">
        <v>749</v>
      </c>
      <c r="E13" s="170" t="s">
        <v>749</v>
      </c>
      <c r="F13" s="171" t="s">
        <v>533</v>
      </c>
      <c r="G13" s="171" t="s">
        <v>533</v>
      </c>
      <c r="H13" s="171" t="s">
        <v>533</v>
      </c>
      <c r="I13" s="171" t="s">
        <v>533</v>
      </c>
      <c r="J13" s="171" t="s">
        <v>533</v>
      </c>
      <c r="K13" s="172" t="s">
        <v>533</v>
      </c>
      <c r="L13" s="186"/>
    </row>
    <row r="14" spans="1:12" ht="27" thickTop="1" thickBot="1">
      <c r="A14" s="169" t="s">
        <v>72</v>
      </c>
      <c r="B14" s="146" t="s">
        <v>73</v>
      </c>
      <c r="C14" s="145" t="s">
        <v>750</v>
      </c>
      <c r="D14" s="171" t="s">
        <v>533</v>
      </c>
      <c r="E14" s="170" t="s">
        <v>751</v>
      </c>
      <c r="F14" s="170" t="s">
        <v>751</v>
      </c>
      <c r="G14" s="171" t="s">
        <v>533</v>
      </c>
      <c r="H14" s="171" t="s">
        <v>533</v>
      </c>
      <c r="I14" s="171" t="s">
        <v>533</v>
      </c>
      <c r="J14" s="171" t="s">
        <v>533</v>
      </c>
      <c r="K14" s="172" t="s">
        <v>533</v>
      </c>
    </row>
    <row r="15" spans="1:12" ht="27" thickTop="1" thickBot="1">
      <c r="A15" s="169" t="s">
        <v>81</v>
      </c>
      <c r="B15" s="146" t="s">
        <v>82</v>
      </c>
      <c r="C15" s="145" t="s">
        <v>719</v>
      </c>
      <c r="D15" s="171" t="s">
        <v>533</v>
      </c>
      <c r="E15" s="171" t="s">
        <v>533</v>
      </c>
      <c r="F15" s="170" t="s">
        <v>720</v>
      </c>
      <c r="G15" s="170" t="s">
        <v>720</v>
      </c>
      <c r="H15" s="171" t="s">
        <v>533</v>
      </c>
      <c r="I15" s="171" t="s">
        <v>533</v>
      </c>
      <c r="J15" s="171" t="s">
        <v>533</v>
      </c>
      <c r="K15" s="172" t="s">
        <v>533</v>
      </c>
    </row>
    <row r="16" spans="1:12" ht="27" thickTop="1" thickBot="1">
      <c r="A16" s="169" t="s">
        <v>89</v>
      </c>
      <c r="B16" s="146" t="s">
        <v>90</v>
      </c>
      <c r="C16" s="145" t="s">
        <v>752</v>
      </c>
      <c r="D16" s="171" t="s">
        <v>533</v>
      </c>
      <c r="E16" s="171" t="s">
        <v>533</v>
      </c>
      <c r="F16" s="170" t="s">
        <v>753</v>
      </c>
      <c r="G16" s="170" t="s">
        <v>753</v>
      </c>
      <c r="H16" s="170" t="s">
        <v>754</v>
      </c>
      <c r="I16" s="171" t="s">
        <v>533</v>
      </c>
      <c r="J16" s="171" t="s">
        <v>533</v>
      </c>
      <c r="K16" s="172" t="s">
        <v>533</v>
      </c>
    </row>
    <row r="17" spans="1:11" ht="27" thickTop="1" thickBot="1">
      <c r="A17" s="169" t="s">
        <v>119</v>
      </c>
      <c r="B17" s="146" t="s">
        <v>120</v>
      </c>
      <c r="C17" s="145" t="s">
        <v>721</v>
      </c>
      <c r="D17" s="171" t="s">
        <v>533</v>
      </c>
      <c r="E17" s="171" t="s">
        <v>533</v>
      </c>
      <c r="F17" s="170" t="s">
        <v>722</v>
      </c>
      <c r="G17" s="171" t="s">
        <v>533</v>
      </c>
      <c r="H17" s="170" t="s">
        <v>722</v>
      </c>
      <c r="I17" s="171" t="s">
        <v>533</v>
      </c>
      <c r="J17" s="171" t="s">
        <v>533</v>
      </c>
      <c r="K17" s="172" t="s">
        <v>533</v>
      </c>
    </row>
    <row r="18" spans="1:11" ht="27" thickTop="1" thickBot="1">
      <c r="A18" s="169" t="s">
        <v>130</v>
      </c>
      <c r="B18" s="146" t="s">
        <v>131</v>
      </c>
      <c r="C18" s="145" t="s">
        <v>723</v>
      </c>
      <c r="D18" s="171" t="s">
        <v>533</v>
      </c>
      <c r="E18" s="171" t="s">
        <v>533</v>
      </c>
      <c r="F18" s="171" t="s">
        <v>533</v>
      </c>
      <c r="G18" s="170" t="s">
        <v>724</v>
      </c>
      <c r="H18" s="170" t="s">
        <v>724</v>
      </c>
      <c r="I18" s="171" t="s">
        <v>533</v>
      </c>
      <c r="J18" s="171" t="s">
        <v>533</v>
      </c>
      <c r="K18" s="172" t="s">
        <v>533</v>
      </c>
    </row>
    <row r="19" spans="1:11" ht="27" thickTop="1" thickBot="1">
      <c r="A19" s="169" t="s">
        <v>152</v>
      </c>
      <c r="B19" s="146" t="s">
        <v>153</v>
      </c>
      <c r="C19" s="145" t="s">
        <v>775</v>
      </c>
      <c r="D19" s="171" t="s">
        <v>533</v>
      </c>
      <c r="E19" s="171" t="s">
        <v>533</v>
      </c>
      <c r="F19" s="171" t="s">
        <v>533</v>
      </c>
      <c r="G19" s="171" t="s">
        <v>533</v>
      </c>
      <c r="H19" s="170" t="s">
        <v>775</v>
      </c>
      <c r="I19" s="171" t="s">
        <v>533</v>
      </c>
      <c r="J19" s="171" t="s">
        <v>533</v>
      </c>
      <c r="K19" s="172" t="s">
        <v>533</v>
      </c>
    </row>
    <row r="20" spans="1:11" ht="27" thickTop="1" thickBot="1">
      <c r="A20" s="169" t="s">
        <v>167</v>
      </c>
      <c r="B20" s="146" t="s">
        <v>168</v>
      </c>
      <c r="C20" s="145" t="s">
        <v>755</v>
      </c>
      <c r="D20" s="171" t="s">
        <v>533</v>
      </c>
      <c r="E20" s="171" t="s">
        <v>533</v>
      </c>
      <c r="F20" s="171" t="s">
        <v>533</v>
      </c>
      <c r="G20" s="170" t="s">
        <v>756</v>
      </c>
      <c r="H20" s="170" t="s">
        <v>756</v>
      </c>
      <c r="I20" s="170" t="s">
        <v>756</v>
      </c>
      <c r="J20" s="170" t="s">
        <v>756</v>
      </c>
      <c r="K20" s="172" t="s">
        <v>533</v>
      </c>
    </row>
    <row r="21" spans="1:11" ht="27" thickTop="1" thickBot="1">
      <c r="A21" s="169" t="s">
        <v>178</v>
      </c>
      <c r="B21" s="146" t="s">
        <v>179</v>
      </c>
      <c r="C21" s="145" t="s">
        <v>725</v>
      </c>
      <c r="D21" s="171" t="s">
        <v>533</v>
      </c>
      <c r="E21" s="171" t="s">
        <v>533</v>
      </c>
      <c r="F21" s="171" t="s">
        <v>533</v>
      </c>
      <c r="G21" s="171" t="s">
        <v>533</v>
      </c>
      <c r="H21" s="170" t="s">
        <v>726</v>
      </c>
      <c r="I21" s="170" t="s">
        <v>726</v>
      </c>
      <c r="J21" s="171" t="s">
        <v>533</v>
      </c>
      <c r="K21" s="172" t="s">
        <v>533</v>
      </c>
    </row>
    <row r="22" spans="1:11" ht="27" thickTop="1" thickBot="1">
      <c r="A22" s="169" t="s">
        <v>183</v>
      </c>
      <c r="B22" s="146" t="s">
        <v>184</v>
      </c>
      <c r="C22" s="145" t="s">
        <v>757</v>
      </c>
      <c r="D22" s="171" t="s">
        <v>533</v>
      </c>
      <c r="E22" s="171" t="s">
        <v>533</v>
      </c>
      <c r="F22" s="171" t="s">
        <v>533</v>
      </c>
      <c r="G22" s="170" t="s">
        <v>758</v>
      </c>
      <c r="H22" s="170" t="s">
        <v>758</v>
      </c>
      <c r="I22" s="170" t="s">
        <v>758</v>
      </c>
      <c r="J22" s="170" t="s">
        <v>758</v>
      </c>
      <c r="K22" s="172" t="s">
        <v>533</v>
      </c>
    </row>
    <row r="23" spans="1:11" ht="27" thickTop="1" thickBot="1">
      <c r="A23" s="169" t="s">
        <v>194</v>
      </c>
      <c r="B23" s="146" t="s">
        <v>195</v>
      </c>
      <c r="C23" s="145" t="s">
        <v>727</v>
      </c>
      <c r="D23" s="171" t="s">
        <v>533</v>
      </c>
      <c r="E23" s="171" t="s">
        <v>533</v>
      </c>
      <c r="F23" s="171" t="s">
        <v>533</v>
      </c>
      <c r="G23" s="171" t="s">
        <v>533</v>
      </c>
      <c r="H23" s="171" t="s">
        <v>533</v>
      </c>
      <c r="I23" s="170" t="s">
        <v>728</v>
      </c>
      <c r="J23" s="170" t="s">
        <v>728</v>
      </c>
      <c r="K23" s="172" t="s">
        <v>533</v>
      </c>
    </row>
    <row r="24" spans="1:11" ht="27" thickTop="1" thickBot="1">
      <c r="A24" s="169" t="s">
        <v>202</v>
      </c>
      <c r="B24" s="146" t="s">
        <v>203</v>
      </c>
      <c r="C24" s="145" t="s">
        <v>729</v>
      </c>
      <c r="D24" s="171" t="s">
        <v>533</v>
      </c>
      <c r="E24" s="171" t="s">
        <v>533</v>
      </c>
      <c r="F24" s="171" t="s">
        <v>533</v>
      </c>
      <c r="G24" s="171" t="s">
        <v>533</v>
      </c>
      <c r="H24" s="171" t="s">
        <v>533</v>
      </c>
      <c r="I24" s="171" t="s">
        <v>533</v>
      </c>
      <c r="J24" s="170" t="s">
        <v>730</v>
      </c>
      <c r="K24" s="173" t="s">
        <v>730</v>
      </c>
    </row>
    <row r="25" spans="1:11" ht="27" thickTop="1" thickBot="1">
      <c r="A25" s="169" t="s">
        <v>228</v>
      </c>
      <c r="B25" s="146" t="s">
        <v>229</v>
      </c>
      <c r="C25" s="145" t="s">
        <v>759</v>
      </c>
      <c r="D25" s="171" t="s">
        <v>533</v>
      </c>
      <c r="E25" s="171" t="s">
        <v>533</v>
      </c>
      <c r="F25" s="171" t="s">
        <v>533</v>
      </c>
      <c r="G25" s="170" t="s">
        <v>760</v>
      </c>
      <c r="H25" s="170" t="s">
        <v>760</v>
      </c>
      <c r="I25" s="170" t="s">
        <v>760</v>
      </c>
      <c r="J25" s="170" t="s">
        <v>760</v>
      </c>
      <c r="K25" s="173" t="s">
        <v>760</v>
      </c>
    </row>
    <row r="26" spans="1:11" ht="27" thickTop="1" thickBot="1">
      <c r="A26" s="169" t="s">
        <v>403</v>
      </c>
      <c r="B26" s="146" t="s">
        <v>404</v>
      </c>
      <c r="C26" s="145" t="s">
        <v>731</v>
      </c>
      <c r="D26" s="171" t="s">
        <v>533</v>
      </c>
      <c r="E26" s="171" t="s">
        <v>533</v>
      </c>
      <c r="F26" s="171" t="s">
        <v>533</v>
      </c>
      <c r="G26" s="171" t="s">
        <v>533</v>
      </c>
      <c r="H26" s="171" t="s">
        <v>533</v>
      </c>
      <c r="I26" s="171" t="s">
        <v>533</v>
      </c>
      <c r="J26" s="170" t="s">
        <v>732</v>
      </c>
      <c r="K26" s="173" t="s">
        <v>732</v>
      </c>
    </row>
    <row r="27" spans="1:11" ht="27" thickTop="1" thickBot="1">
      <c r="A27" s="169" t="s">
        <v>413</v>
      </c>
      <c r="B27" s="146" t="s">
        <v>414</v>
      </c>
      <c r="C27" s="145" t="s">
        <v>778</v>
      </c>
      <c r="D27" s="171" t="s">
        <v>533</v>
      </c>
      <c r="E27" s="171" t="s">
        <v>533</v>
      </c>
      <c r="F27" s="171" t="s">
        <v>533</v>
      </c>
      <c r="G27" s="170" t="s">
        <v>777</v>
      </c>
      <c r="H27" s="170" t="s">
        <v>777</v>
      </c>
      <c r="I27" s="170" t="s">
        <v>777</v>
      </c>
      <c r="J27" s="170" t="s">
        <v>777</v>
      </c>
      <c r="K27" s="173" t="s">
        <v>777</v>
      </c>
    </row>
    <row r="28" spans="1:11" ht="27" thickTop="1" thickBot="1">
      <c r="A28" s="169" t="s">
        <v>451</v>
      </c>
      <c r="B28" s="146" t="s">
        <v>452</v>
      </c>
      <c r="C28" s="145" t="s">
        <v>779</v>
      </c>
      <c r="D28" s="171" t="s">
        <v>533</v>
      </c>
      <c r="E28" s="171" t="s">
        <v>533</v>
      </c>
      <c r="F28" s="171" t="s">
        <v>533</v>
      </c>
      <c r="G28" s="171" t="s">
        <v>533</v>
      </c>
      <c r="H28" s="171" t="s">
        <v>533</v>
      </c>
      <c r="I28" s="171" t="s">
        <v>533</v>
      </c>
      <c r="J28" s="171" t="s">
        <v>533</v>
      </c>
      <c r="K28" s="173" t="s">
        <v>779</v>
      </c>
    </row>
    <row r="29" spans="1:11" ht="27" thickTop="1" thickBot="1">
      <c r="A29" s="169" t="s">
        <v>459</v>
      </c>
      <c r="B29" s="146" t="s">
        <v>460</v>
      </c>
      <c r="C29" s="145" t="s">
        <v>733</v>
      </c>
      <c r="D29" s="171" t="s">
        <v>533</v>
      </c>
      <c r="E29" s="171" t="s">
        <v>533</v>
      </c>
      <c r="F29" s="171" t="s">
        <v>533</v>
      </c>
      <c r="G29" s="171" t="s">
        <v>533</v>
      </c>
      <c r="H29" s="171" t="s">
        <v>533</v>
      </c>
      <c r="I29" s="170" t="s">
        <v>734</v>
      </c>
      <c r="J29" s="170" t="s">
        <v>734</v>
      </c>
      <c r="K29" s="173" t="s">
        <v>735</v>
      </c>
    </row>
    <row r="30" spans="1:11" ht="27" thickTop="1" thickBot="1">
      <c r="A30" s="169" t="s">
        <v>503</v>
      </c>
      <c r="B30" s="146" t="s">
        <v>504</v>
      </c>
      <c r="C30" s="145" t="s">
        <v>534</v>
      </c>
      <c r="D30" s="171" t="s">
        <v>533</v>
      </c>
      <c r="E30" s="171" t="s">
        <v>533</v>
      </c>
      <c r="F30" s="171" t="s">
        <v>533</v>
      </c>
      <c r="G30" s="171" t="s">
        <v>533</v>
      </c>
      <c r="H30" s="171" t="s">
        <v>533</v>
      </c>
      <c r="I30" s="171" t="s">
        <v>533</v>
      </c>
      <c r="J30" s="171"/>
      <c r="K30" s="173" t="s">
        <v>534</v>
      </c>
    </row>
    <row r="31" spans="1:11" ht="27" thickTop="1" thickBot="1">
      <c r="A31" s="169" t="s">
        <v>509</v>
      </c>
      <c r="B31" s="146" t="s">
        <v>510</v>
      </c>
      <c r="C31" s="145" t="s">
        <v>761</v>
      </c>
      <c r="D31" s="171" t="s">
        <v>533</v>
      </c>
      <c r="E31" s="171" t="s">
        <v>533</v>
      </c>
      <c r="F31" s="171" t="s">
        <v>533</v>
      </c>
      <c r="G31" s="171" t="s">
        <v>533</v>
      </c>
      <c r="H31" s="171" t="s">
        <v>533</v>
      </c>
      <c r="I31" s="171" t="s">
        <v>533</v>
      </c>
      <c r="J31" s="171" t="s">
        <v>533</v>
      </c>
      <c r="K31" s="173" t="s">
        <v>761</v>
      </c>
    </row>
    <row r="32" spans="1:11" ht="27" thickTop="1" thickBot="1">
      <c r="A32" s="169" t="s">
        <v>517</v>
      </c>
      <c r="B32" s="146" t="s">
        <v>518</v>
      </c>
      <c r="C32" s="145" t="s">
        <v>780</v>
      </c>
      <c r="D32" s="171" t="s">
        <v>533</v>
      </c>
      <c r="E32" s="171" t="s">
        <v>533</v>
      </c>
      <c r="F32" s="171" t="s">
        <v>533</v>
      </c>
      <c r="G32" s="171" t="s">
        <v>533</v>
      </c>
      <c r="H32" s="171" t="s">
        <v>533</v>
      </c>
      <c r="I32" s="170" t="s">
        <v>776</v>
      </c>
      <c r="J32" s="170" t="s">
        <v>776</v>
      </c>
      <c r="K32" s="172" t="s">
        <v>533</v>
      </c>
    </row>
    <row r="33" spans="1:13" ht="27" thickTop="1" thickBot="1">
      <c r="A33" s="146" t="s">
        <v>711</v>
      </c>
      <c r="B33" s="146" t="s">
        <v>712</v>
      </c>
      <c r="C33" s="145" t="s">
        <v>736</v>
      </c>
      <c r="D33" s="171" t="s">
        <v>533</v>
      </c>
      <c r="E33" s="171" t="s">
        <v>533</v>
      </c>
      <c r="F33" s="171" t="s">
        <v>533</v>
      </c>
      <c r="G33" s="171" t="s">
        <v>533</v>
      </c>
      <c r="H33" s="171" t="s">
        <v>533</v>
      </c>
      <c r="I33" s="171" t="s">
        <v>533</v>
      </c>
      <c r="J33" s="171" t="s">
        <v>533</v>
      </c>
      <c r="K33" s="174" t="s">
        <v>736</v>
      </c>
    </row>
    <row r="34" spans="1:13" ht="20.100000000000001" customHeight="1" thickTop="1">
      <c r="A34" s="219" t="s">
        <v>535</v>
      </c>
      <c r="B34" s="220"/>
      <c r="C34" s="220"/>
      <c r="D34" s="185">
        <v>0.1676</v>
      </c>
      <c r="E34" s="175" t="s">
        <v>763</v>
      </c>
      <c r="F34" s="175" t="s">
        <v>764</v>
      </c>
      <c r="G34" s="175" t="s">
        <v>765</v>
      </c>
      <c r="H34" s="185">
        <v>0.1883</v>
      </c>
      <c r="I34" s="175" t="s">
        <v>766</v>
      </c>
      <c r="J34" s="175" t="s">
        <v>767</v>
      </c>
      <c r="K34" s="176" t="s">
        <v>768</v>
      </c>
    </row>
    <row r="35" spans="1:13" ht="20.100000000000001" customHeight="1">
      <c r="A35" s="221" t="s">
        <v>536</v>
      </c>
      <c r="B35" s="222"/>
      <c r="C35" s="222"/>
      <c r="D35" s="184">
        <f>158572.11+9131.39+210753.52+139065.42</f>
        <v>517522.44000000006</v>
      </c>
      <c r="E35" s="184">
        <f>ROUNDUP(139065.42+40495.03,1)</f>
        <v>179560.5</v>
      </c>
      <c r="F35" s="184">
        <f>ROUNDUP(40495.03+52024.28+246631.82+23465.69,0)</f>
        <v>362617</v>
      </c>
      <c r="G35" s="184">
        <f>ROUNDUP(52024.28+246631.82+61012.57+39054.75+96218.63+58854.33+41413.47,0)</f>
        <v>595210</v>
      </c>
      <c r="H35" s="184">
        <f>ROUNDUP(254105.51+23465.69+61012.57+6180.46+39054.75+1399.29+96218.63+58854.33+41413.47,0)</f>
        <v>581705</v>
      </c>
      <c r="I35" s="184">
        <f>ROUNDUP(39054.75+1399.29+96218.63+17343.09+58854.33+41413.47+5813.97+25478.25,0)</f>
        <v>285576</v>
      </c>
      <c r="J35" s="184">
        <f>ROUNDUP(39054.75+96218.63+17343.09+74389.07+58854.33+2148.27+41413.47+5813.97+25478.25,0)</f>
        <v>360714</v>
      </c>
      <c r="K35" s="183">
        <f>ROUNDUP(74389.07+58854.33+2148.27+41413.47+3890.41+5990.15+974.43+5700.12+12623.67,1)</f>
        <v>205984</v>
      </c>
    </row>
    <row r="36" spans="1:13" ht="20.100000000000001" customHeight="1">
      <c r="A36" s="221" t="s">
        <v>537</v>
      </c>
      <c r="B36" s="222"/>
      <c r="C36" s="222"/>
      <c r="D36" s="177" t="s">
        <v>762</v>
      </c>
      <c r="E36" s="177" t="s">
        <v>769</v>
      </c>
      <c r="F36" s="177" t="s">
        <v>770</v>
      </c>
      <c r="G36" s="177" t="s">
        <v>771</v>
      </c>
      <c r="H36" s="177" t="s">
        <v>772</v>
      </c>
      <c r="I36" s="177" t="s">
        <v>773</v>
      </c>
      <c r="J36" s="177" t="s">
        <v>774</v>
      </c>
      <c r="K36" s="178" t="s">
        <v>538</v>
      </c>
    </row>
    <row r="37" spans="1:13" ht="20.100000000000001" customHeight="1" thickBot="1">
      <c r="A37" s="223" t="s">
        <v>539</v>
      </c>
      <c r="B37" s="224"/>
      <c r="C37" s="224"/>
      <c r="D37" s="187">
        <f>D35</f>
        <v>517522.44000000006</v>
      </c>
      <c r="E37" s="187">
        <f>ROUNDUP(D35+E35,1)</f>
        <v>697083</v>
      </c>
      <c r="F37" s="187">
        <f>ROUNDUP(E37+F35,0)</f>
        <v>1059700</v>
      </c>
      <c r="G37" s="187">
        <f>ROUNDUP(F37+G35,0)</f>
        <v>1654910</v>
      </c>
      <c r="H37" s="187">
        <f>ROUNDUP(G37+H35,1)</f>
        <v>2236615</v>
      </c>
      <c r="I37" s="187">
        <f>ROUNDUP(H37+I35,0)</f>
        <v>2522191</v>
      </c>
      <c r="J37" s="187">
        <f>ROUNDUP(I37+J35,1)</f>
        <v>2882905</v>
      </c>
      <c r="K37" s="188">
        <v>3088889.09</v>
      </c>
      <c r="L37" s="275"/>
      <c r="M37" s="274"/>
    </row>
    <row r="38" spans="1:13" ht="15" thickTop="1">
      <c r="K38" s="137">
        <v>3088889.09</v>
      </c>
      <c r="L38" s="274"/>
    </row>
  </sheetData>
  <mergeCells count="17">
    <mergeCell ref="C7:K7"/>
    <mergeCell ref="A34:C34"/>
    <mergeCell ref="A35:C35"/>
    <mergeCell ref="A36:C36"/>
    <mergeCell ref="A37:C37"/>
    <mergeCell ref="A1:K1"/>
    <mergeCell ref="A2:K2"/>
    <mergeCell ref="A3:K3"/>
    <mergeCell ref="A4:K4"/>
    <mergeCell ref="A8:K8"/>
    <mergeCell ref="A5:F5"/>
    <mergeCell ref="G5:H5"/>
    <mergeCell ref="A6:F6"/>
    <mergeCell ref="G6:H6"/>
    <mergeCell ref="A7:B7"/>
    <mergeCell ref="I5:K5"/>
    <mergeCell ref="I6:K6"/>
  </mergeCells>
  <phoneticPr fontId="34" type="noConversion"/>
  <pageMargins left="0.511811024" right="0.511811024" top="0.78740157499999996" bottom="0.78740157499999996" header="0.31496062000000002" footer="0.31496062000000002"/>
  <pageSetup paperSize="9" scale="5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7"/>
  <sheetViews>
    <sheetView view="pageBreakPreview" zoomScale="85" zoomScaleNormal="100" zoomScaleSheetLayoutView="85" workbookViewId="0">
      <selection activeCell="D15" sqref="D15"/>
    </sheetView>
  </sheetViews>
  <sheetFormatPr defaultRowHeight="14.25"/>
  <cols>
    <col min="1" max="1" width="10" bestFit="1" customWidth="1"/>
    <col min="2" max="2" width="12" bestFit="1" customWidth="1"/>
    <col min="3" max="3" width="10" bestFit="1" customWidth="1"/>
    <col min="4" max="4" width="59.875" bestFit="1" customWidth="1"/>
    <col min="5" max="5" width="15" bestFit="1" customWidth="1"/>
    <col min="6" max="9" width="12" bestFit="1" customWidth="1"/>
    <col min="10" max="10" width="14" bestFit="1" customWidth="1"/>
  </cols>
  <sheetData>
    <row r="1" spans="1:10" ht="20.100000000000001" customHeight="1">
      <c r="A1" s="244" t="s">
        <v>530</v>
      </c>
      <c r="B1" s="245"/>
      <c r="C1" s="245"/>
      <c r="D1" s="245"/>
      <c r="E1" s="245"/>
      <c r="F1" s="245"/>
      <c r="G1" s="245"/>
      <c r="H1" s="245"/>
      <c r="I1" s="245"/>
      <c r="J1" s="246"/>
    </row>
    <row r="2" spans="1:10" ht="20.100000000000001" customHeight="1">
      <c r="A2" s="247" t="s">
        <v>747</v>
      </c>
      <c r="B2" s="207"/>
      <c r="C2" s="207"/>
      <c r="D2" s="207"/>
      <c r="E2" s="207"/>
      <c r="F2" s="207"/>
      <c r="G2" s="207"/>
      <c r="H2" s="207"/>
      <c r="I2" s="207"/>
      <c r="J2" s="248"/>
    </row>
    <row r="3" spans="1:10" ht="20.100000000000001" customHeight="1">
      <c r="A3" s="249" t="s">
        <v>548</v>
      </c>
      <c r="B3" s="210"/>
      <c r="C3" s="210"/>
      <c r="D3" s="210"/>
      <c r="E3" s="210"/>
      <c r="F3" s="210"/>
      <c r="G3" s="210"/>
      <c r="H3" s="210"/>
      <c r="I3" s="210"/>
      <c r="J3" s="250"/>
    </row>
    <row r="4" spans="1:10" ht="20.100000000000001" customHeight="1" thickBot="1">
      <c r="A4" s="251" t="s">
        <v>549</v>
      </c>
      <c r="B4" s="213"/>
      <c r="C4" s="213"/>
      <c r="D4" s="213"/>
      <c r="E4" s="213"/>
      <c r="F4" s="213"/>
      <c r="G4" s="213"/>
      <c r="H4" s="213"/>
      <c r="I4" s="213"/>
      <c r="J4" s="252"/>
    </row>
    <row r="5" spans="1:10" ht="15">
      <c r="A5" s="253" t="s">
        <v>550</v>
      </c>
      <c r="B5" s="254"/>
      <c r="C5" s="254"/>
      <c r="D5" s="254"/>
      <c r="E5" s="254"/>
      <c r="F5" s="254"/>
      <c r="G5" s="254"/>
      <c r="H5" s="254"/>
      <c r="I5" s="254"/>
      <c r="J5" s="255"/>
    </row>
    <row r="6" spans="1:10" ht="15">
      <c r="A6" s="253" t="s">
        <v>551</v>
      </c>
      <c r="B6" s="254"/>
      <c r="C6" s="254"/>
      <c r="D6" s="254"/>
      <c r="E6" s="254"/>
      <c r="F6" s="254"/>
      <c r="G6" s="254"/>
      <c r="H6" s="254"/>
      <c r="I6" s="254"/>
      <c r="J6" s="255"/>
    </row>
    <row r="7" spans="1:10" ht="15">
      <c r="A7" s="1" t="s">
        <v>22</v>
      </c>
      <c r="B7" s="2" t="s">
        <v>2</v>
      </c>
      <c r="C7" s="1" t="s">
        <v>3</v>
      </c>
      <c r="D7" s="1" t="s">
        <v>4</v>
      </c>
      <c r="E7" s="240" t="s">
        <v>552</v>
      </c>
      <c r="F7" s="240"/>
      <c r="G7" s="3" t="s">
        <v>5</v>
      </c>
      <c r="H7" s="2" t="s">
        <v>6</v>
      </c>
      <c r="I7" s="2" t="s">
        <v>7</v>
      </c>
      <c r="J7" s="2" t="s">
        <v>9</v>
      </c>
    </row>
    <row r="8" spans="1:10" ht="14.25" customHeight="1">
      <c r="A8" s="7" t="s">
        <v>553</v>
      </c>
      <c r="B8" s="8" t="s">
        <v>23</v>
      </c>
      <c r="C8" s="7" t="s">
        <v>24</v>
      </c>
      <c r="D8" s="7" t="s">
        <v>25</v>
      </c>
      <c r="E8" s="241" t="s">
        <v>554</v>
      </c>
      <c r="F8" s="241"/>
      <c r="G8" s="9" t="s">
        <v>26</v>
      </c>
      <c r="H8" s="10">
        <v>1</v>
      </c>
      <c r="I8" s="11">
        <v>25000</v>
      </c>
      <c r="J8" s="11">
        <v>25000</v>
      </c>
    </row>
    <row r="9" spans="1:10">
      <c r="A9" s="140" t="s">
        <v>555</v>
      </c>
      <c r="B9" s="12" t="s">
        <v>556</v>
      </c>
      <c r="C9" s="140" t="s">
        <v>24</v>
      </c>
      <c r="D9" s="140" t="s">
        <v>557</v>
      </c>
      <c r="E9" s="256" t="s">
        <v>558</v>
      </c>
      <c r="F9" s="256"/>
      <c r="G9" s="13" t="s">
        <v>26</v>
      </c>
      <c r="H9" s="14">
        <v>1.1363639999999999</v>
      </c>
      <c r="I9" s="15">
        <v>22000</v>
      </c>
      <c r="J9" s="15">
        <v>25000</v>
      </c>
    </row>
    <row r="10" spans="1:10" ht="25.5">
      <c r="A10" s="27"/>
      <c r="B10" s="27"/>
      <c r="C10" s="27"/>
      <c r="D10" s="27"/>
      <c r="E10" s="27" t="s">
        <v>559</v>
      </c>
      <c r="F10" s="28">
        <v>0</v>
      </c>
      <c r="G10" s="27" t="s">
        <v>560</v>
      </c>
      <c r="H10" s="28">
        <v>0</v>
      </c>
      <c r="I10" s="27" t="s">
        <v>561</v>
      </c>
      <c r="J10" s="28">
        <v>0</v>
      </c>
    </row>
    <row r="11" spans="1:10" ht="15" customHeight="1" thickBot="1">
      <c r="A11" s="27"/>
      <c r="B11" s="27"/>
      <c r="C11" s="27"/>
      <c r="D11" s="27"/>
      <c r="E11" s="27" t="s">
        <v>562</v>
      </c>
      <c r="F11" s="28">
        <v>5720</v>
      </c>
      <c r="G11" s="27"/>
      <c r="H11" s="257" t="s">
        <v>563</v>
      </c>
      <c r="I11" s="257"/>
      <c r="J11" s="28">
        <v>30720</v>
      </c>
    </row>
    <row r="12" spans="1:10" ht="15" thickTop="1">
      <c r="A12" s="30"/>
      <c r="B12" s="16"/>
      <c r="C12" s="16"/>
      <c r="D12" s="16"/>
      <c r="E12" s="16"/>
      <c r="F12" s="16"/>
      <c r="G12" s="16"/>
      <c r="H12" s="16"/>
      <c r="I12" s="16"/>
      <c r="J12" s="31"/>
    </row>
    <row r="13" spans="1:10" ht="15">
      <c r="A13" s="22" t="s">
        <v>505</v>
      </c>
      <c r="B13" s="2" t="s">
        <v>2</v>
      </c>
      <c r="C13" s="1" t="s">
        <v>3</v>
      </c>
      <c r="D13" s="1" t="s">
        <v>4</v>
      </c>
      <c r="E13" s="240" t="s">
        <v>552</v>
      </c>
      <c r="F13" s="240"/>
      <c r="G13" s="3" t="s">
        <v>5</v>
      </c>
      <c r="H13" s="2" t="s">
        <v>6</v>
      </c>
      <c r="I13" s="2" t="s">
        <v>7</v>
      </c>
      <c r="J13" s="23" t="s">
        <v>9</v>
      </c>
    </row>
    <row r="14" spans="1:10">
      <c r="A14" s="24" t="s">
        <v>553</v>
      </c>
      <c r="B14" s="8" t="s">
        <v>506</v>
      </c>
      <c r="C14" s="7" t="s">
        <v>24</v>
      </c>
      <c r="D14" s="7" t="s">
        <v>507</v>
      </c>
      <c r="E14" s="241" t="s">
        <v>564</v>
      </c>
      <c r="F14" s="241"/>
      <c r="G14" s="9" t="s">
        <v>508</v>
      </c>
      <c r="H14" s="10">
        <v>1</v>
      </c>
      <c r="I14" s="11">
        <v>793</v>
      </c>
      <c r="J14" s="25">
        <v>793</v>
      </c>
    </row>
    <row r="15" spans="1:10" ht="25.5">
      <c r="A15" s="32" t="s">
        <v>565</v>
      </c>
      <c r="B15" s="18" t="s">
        <v>566</v>
      </c>
      <c r="C15" s="17" t="s">
        <v>15</v>
      </c>
      <c r="D15" s="17" t="s">
        <v>567</v>
      </c>
      <c r="E15" s="242" t="s">
        <v>533</v>
      </c>
      <c r="F15" s="242"/>
      <c r="G15" s="19" t="s">
        <v>33</v>
      </c>
      <c r="H15" s="20">
        <v>1</v>
      </c>
      <c r="I15" s="21">
        <v>793</v>
      </c>
      <c r="J15" s="33">
        <v>793</v>
      </c>
    </row>
    <row r="16" spans="1:10" ht="25.5">
      <c r="A16" s="26"/>
      <c r="B16" s="27"/>
      <c r="C16" s="27"/>
      <c r="D16" s="27"/>
      <c r="E16" s="27" t="s">
        <v>559</v>
      </c>
      <c r="F16" s="28">
        <v>6.4996302000000004</v>
      </c>
      <c r="G16" s="27" t="s">
        <v>560</v>
      </c>
      <c r="H16" s="28">
        <v>7.56</v>
      </c>
      <c r="I16" s="27" t="s">
        <v>561</v>
      </c>
      <c r="J16" s="29">
        <v>14.06</v>
      </c>
    </row>
    <row r="17" spans="1:10" ht="15" thickBot="1">
      <c r="A17" s="34"/>
      <c r="B17" s="35"/>
      <c r="C17" s="35"/>
      <c r="D17" s="35"/>
      <c r="E17" s="35" t="s">
        <v>562</v>
      </c>
      <c r="F17" s="36">
        <v>181.43</v>
      </c>
      <c r="G17" s="35"/>
      <c r="H17" s="243" t="s">
        <v>563</v>
      </c>
      <c r="I17" s="243"/>
      <c r="J17" s="37">
        <v>974.43</v>
      </c>
    </row>
  </sheetData>
  <mergeCells count="14">
    <mergeCell ref="E13:F13"/>
    <mergeCell ref="E14:F14"/>
    <mergeCell ref="E15:F15"/>
    <mergeCell ref="H17:I17"/>
    <mergeCell ref="A1:J1"/>
    <mergeCell ref="A2:J2"/>
    <mergeCell ref="A3:J3"/>
    <mergeCell ref="A4:J4"/>
    <mergeCell ref="A5:J5"/>
    <mergeCell ref="A6:J6"/>
    <mergeCell ref="E7:F7"/>
    <mergeCell ref="E8:F8"/>
    <mergeCell ref="E9:F9"/>
    <mergeCell ref="H11:I11"/>
  </mergeCells>
  <pageMargins left="0.511811024" right="0.511811024" top="0.78740157499999996" bottom="0.78740157499999996" header="0.31496062000000002" footer="0.31496062000000002"/>
  <pageSetup paperSize="9" scale="4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0"/>
  <sheetViews>
    <sheetView view="pageBreakPreview" topLeftCell="A22" zoomScaleNormal="100" zoomScaleSheetLayoutView="100" workbookViewId="0">
      <selection activeCell="C13" sqref="C13"/>
    </sheetView>
  </sheetViews>
  <sheetFormatPr defaultRowHeight="14.25"/>
  <cols>
    <col min="1" max="1" width="20.625" customWidth="1"/>
    <col min="2" max="7" width="12.625" customWidth="1"/>
    <col min="8" max="8" width="23.875" customWidth="1"/>
  </cols>
  <sheetData>
    <row r="1" spans="1:8" ht="24.95" customHeight="1">
      <c r="A1" s="262" t="s">
        <v>568</v>
      </c>
      <c r="B1" s="229"/>
      <c r="C1" s="229"/>
      <c r="D1" s="229"/>
      <c r="E1" s="229"/>
      <c r="F1" s="229"/>
      <c r="G1" s="229"/>
      <c r="H1" s="263"/>
    </row>
    <row r="2" spans="1:8" ht="24.95" customHeight="1">
      <c r="A2" s="262" t="s">
        <v>747</v>
      </c>
      <c r="B2" s="229"/>
      <c r="C2" s="229"/>
      <c r="D2" s="229"/>
      <c r="E2" s="229"/>
      <c r="F2" s="229"/>
      <c r="G2" s="229"/>
      <c r="H2" s="263"/>
    </row>
    <row r="3" spans="1:8" ht="24.95" customHeight="1">
      <c r="A3" s="262" t="s">
        <v>548</v>
      </c>
      <c r="B3" s="229"/>
      <c r="C3" s="229"/>
      <c r="D3" s="229"/>
      <c r="E3" s="229"/>
      <c r="F3" s="229"/>
      <c r="G3" s="229"/>
      <c r="H3" s="263"/>
    </row>
    <row r="4" spans="1:8" ht="24.95" customHeight="1">
      <c r="A4" s="262" t="s">
        <v>549</v>
      </c>
      <c r="B4" s="229"/>
      <c r="C4" s="229"/>
      <c r="D4" s="229"/>
      <c r="E4" s="229"/>
      <c r="F4" s="229"/>
      <c r="G4" s="229"/>
      <c r="H4" s="263"/>
    </row>
    <row r="5" spans="1:8" ht="16.5" thickBot="1">
      <c r="A5" s="264" t="s">
        <v>640</v>
      </c>
      <c r="B5" s="265"/>
      <c r="C5" s="265"/>
      <c r="D5" s="265"/>
      <c r="E5" s="265"/>
      <c r="F5" s="265"/>
      <c r="G5" s="265"/>
      <c r="H5" s="266"/>
    </row>
    <row r="6" spans="1:8" ht="24.75" thickBot="1">
      <c r="A6" s="49"/>
      <c r="B6" s="50"/>
      <c r="C6" s="50"/>
      <c r="D6" s="50"/>
      <c r="E6" s="50"/>
      <c r="F6" s="50"/>
      <c r="G6" s="51"/>
      <c r="H6" s="52" t="s">
        <v>641</v>
      </c>
    </row>
    <row r="7" spans="1:8">
      <c r="A7" s="53"/>
      <c r="B7" s="54" t="s">
        <v>642</v>
      </c>
      <c r="C7" s="55"/>
      <c r="D7" s="55"/>
      <c r="E7" s="55"/>
      <c r="F7" s="55"/>
      <c r="G7" s="56"/>
      <c r="H7" s="57">
        <v>4</v>
      </c>
    </row>
    <row r="8" spans="1:8">
      <c r="A8" s="58"/>
      <c r="B8" s="59" t="s">
        <v>643</v>
      </c>
      <c r="C8" s="60"/>
      <c r="D8" s="60"/>
      <c r="E8" s="60"/>
      <c r="F8" s="60"/>
      <c r="G8" s="61"/>
      <c r="H8" s="62">
        <v>1.23</v>
      </c>
    </row>
    <row r="9" spans="1:8" ht="16.5" thickBot="1">
      <c r="A9" s="63" t="s">
        <v>644</v>
      </c>
      <c r="B9" s="64"/>
      <c r="C9" s="64"/>
      <c r="D9" s="64"/>
      <c r="E9" s="64"/>
      <c r="F9" s="64"/>
      <c r="G9" s="65"/>
      <c r="H9" s="66">
        <f>H7+H8</f>
        <v>5.23</v>
      </c>
    </row>
    <row r="10" spans="1:8">
      <c r="A10" s="67" t="s">
        <v>645</v>
      </c>
      <c r="B10" s="55"/>
      <c r="C10" s="55"/>
      <c r="D10" s="55"/>
      <c r="E10" s="55"/>
      <c r="F10" s="55"/>
      <c r="G10" s="56"/>
      <c r="H10" s="57"/>
    </row>
    <row r="11" spans="1:8">
      <c r="A11" s="68" t="s">
        <v>646</v>
      </c>
      <c r="B11" s="69" t="s">
        <v>647</v>
      </c>
      <c r="C11" s="70"/>
      <c r="D11" s="70"/>
      <c r="E11" s="70"/>
      <c r="F11" s="70"/>
      <c r="G11" s="71"/>
      <c r="H11" s="62">
        <v>1.27</v>
      </c>
    </row>
    <row r="12" spans="1:8">
      <c r="A12" s="68" t="s">
        <v>648</v>
      </c>
      <c r="B12" s="69" t="s">
        <v>649</v>
      </c>
      <c r="C12" s="70"/>
      <c r="D12" s="70"/>
      <c r="E12" s="70"/>
      <c r="F12" s="70"/>
      <c r="G12" s="71"/>
      <c r="H12" s="62">
        <v>0.8</v>
      </c>
    </row>
    <row r="13" spans="1:8" ht="15.75">
      <c r="A13" s="72" t="s">
        <v>644</v>
      </c>
      <c r="B13" s="73"/>
      <c r="C13" s="73"/>
      <c r="D13" s="73"/>
      <c r="E13" s="73"/>
      <c r="F13" s="73"/>
      <c r="G13" s="74"/>
      <c r="H13" s="75">
        <f>H11+H12</f>
        <v>2.0700000000000003</v>
      </c>
    </row>
    <row r="14" spans="1:8">
      <c r="A14" s="76" t="s">
        <v>650</v>
      </c>
      <c r="B14" s="70"/>
      <c r="C14" s="70"/>
      <c r="D14" s="70"/>
      <c r="E14" s="70"/>
      <c r="F14" s="70"/>
      <c r="G14" s="71"/>
      <c r="H14" s="77" t="s">
        <v>651</v>
      </c>
    </row>
    <row r="15" spans="1:8" ht="15.75">
      <c r="A15" s="78" t="s">
        <v>652</v>
      </c>
      <c r="B15" s="79" t="s">
        <v>653</v>
      </c>
      <c r="C15" s="73"/>
      <c r="D15" s="73"/>
      <c r="E15" s="73"/>
      <c r="F15" s="73"/>
      <c r="G15" s="74"/>
      <c r="H15" s="75">
        <f>H16+H17</f>
        <v>6.15</v>
      </c>
    </row>
    <row r="16" spans="1:8">
      <c r="A16" s="58" t="s">
        <v>654</v>
      </c>
      <c r="B16" s="69" t="s">
        <v>655</v>
      </c>
      <c r="C16" s="70"/>
      <c r="D16" s="70"/>
      <c r="E16" s="70"/>
      <c r="F16" s="70"/>
      <c r="G16" s="71"/>
      <c r="H16" s="62">
        <f>H25</f>
        <v>3.65</v>
      </c>
    </row>
    <row r="17" spans="1:8">
      <c r="A17" s="58" t="s">
        <v>656</v>
      </c>
      <c r="B17" s="69" t="s">
        <v>657</v>
      </c>
      <c r="C17" s="70"/>
      <c r="D17" s="70"/>
      <c r="E17" s="70"/>
      <c r="F17" s="70"/>
      <c r="G17" s="71"/>
      <c r="H17" s="62">
        <f>H30</f>
        <v>2.5</v>
      </c>
    </row>
    <row r="18" spans="1:8">
      <c r="A18" s="80" t="s">
        <v>658</v>
      </c>
      <c r="B18" s="81" t="s">
        <v>659</v>
      </c>
      <c r="C18" s="82"/>
      <c r="D18" s="82"/>
      <c r="E18" s="82"/>
      <c r="F18" s="82"/>
      <c r="G18" s="83"/>
      <c r="H18" s="84">
        <v>7.4</v>
      </c>
    </row>
    <row r="19" spans="1:8">
      <c r="A19" s="85"/>
      <c r="B19" s="86"/>
      <c r="C19" s="86"/>
      <c r="D19" s="86"/>
      <c r="E19" s="86"/>
      <c r="F19" s="86"/>
      <c r="G19" s="86"/>
      <c r="H19" s="87"/>
    </row>
    <row r="20" spans="1:8" ht="18.75">
      <c r="A20" s="88"/>
      <c r="B20" s="89"/>
      <c r="C20" s="89"/>
      <c r="D20" s="89"/>
      <c r="E20" s="89"/>
      <c r="F20" s="89"/>
      <c r="G20" s="89"/>
      <c r="H20" s="90"/>
    </row>
    <row r="21" spans="1:8" ht="18.75">
      <c r="A21" s="88"/>
      <c r="B21" s="89"/>
      <c r="C21" s="89"/>
      <c r="D21" s="89"/>
      <c r="E21" s="89"/>
      <c r="F21" s="89"/>
      <c r="G21" s="89"/>
      <c r="H21" s="91"/>
    </row>
    <row r="22" spans="1:8" ht="18.75">
      <c r="A22" s="92"/>
      <c r="B22" s="93"/>
      <c r="C22" s="93"/>
      <c r="D22" s="94"/>
      <c r="E22" s="94"/>
      <c r="F22" s="94"/>
      <c r="G22" s="94"/>
      <c r="H22" s="95"/>
    </row>
    <row r="23" spans="1:8">
      <c r="A23" s="88"/>
      <c r="B23" s="89"/>
      <c r="C23" s="89"/>
      <c r="D23" s="89"/>
      <c r="E23" s="89"/>
      <c r="F23" s="89"/>
      <c r="G23" s="89"/>
      <c r="H23" s="96"/>
    </row>
    <row r="24" spans="1:8" ht="16.5" thickBot="1">
      <c r="A24" s="97" t="s">
        <v>660</v>
      </c>
      <c r="B24" s="98"/>
      <c r="C24" s="98"/>
      <c r="D24" s="98"/>
      <c r="E24" s="98"/>
      <c r="F24" s="98"/>
      <c r="G24" s="98"/>
      <c r="H24" s="99"/>
    </row>
    <row r="25" spans="1:8">
      <c r="A25" s="53" t="s">
        <v>654</v>
      </c>
      <c r="B25" s="54" t="s">
        <v>655</v>
      </c>
      <c r="C25" s="55"/>
      <c r="D25" s="55"/>
      <c r="E25" s="55"/>
      <c r="F25" s="55"/>
      <c r="G25" s="56"/>
      <c r="H25" s="100">
        <f>H26+H27+H28</f>
        <v>3.65</v>
      </c>
    </row>
    <row r="26" spans="1:8">
      <c r="A26" s="101" t="s">
        <v>661</v>
      </c>
      <c r="B26" s="69" t="s">
        <v>662</v>
      </c>
      <c r="C26" s="70"/>
      <c r="D26" s="70"/>
      <c r="E26" s="70"/>
      <c r="F26" s="70"/>
      <c r="G26" s="71"/>
      <c r="H26" s="102">
        <v>0.65</v>
      </c>
    </row>
    <row r="27" spans="1:8">
      <c r="A27" s="58" t="s">
        <v>663</v>
      </c>
      <c r="B27" s="69" t="s">
        <v>664</v>
      </c>
      <c r="C27" s="70"/>
      <c r="D27" s="70"/>
      <c r="E27" s="70"/>
      <c r="F27" s="70"/>
      <c r="G27" s="71"/>
      <c r="H27" s="102">
        <v>3</v>
      </c>
    </row>
    <row r="28" spans="1:8" ht="15" thickBot="1">
      <c r="A28" s="103" t="s">
        <v>665</v>
      </c>
      <c r="B28" s="104" t="s">
        <v>666</v>
      </c>
      <c r="C28" s="105"/>
      <c r="D28" s="105"/>
      <c r="E28" s="105"/>
      <c r="F28" s="105"/>
      <c r="G28" s="106"/>
      <c r="H28" s="107">
        <v>0</v>
      </c>
    </row>
    <row r="29" spans="1:8" ht="16.5" thickBot="1">
      <c r="A29" s="108" t="s">
        <v>667</v>
      </c>
      <c r="B29" s="109"/>
      <c r="C29" s="109"/>
      <c r="D29" s="109"/>
      <c r="E29" s="109"/>
      <c r="F29" s="109"/>
      <c r="G29" s="109"/>
      <c r="H29" s="110"/>
    </row>
    <row r="30" spans="1:8">
      <c r="A30" s="53" t="s">
        <v>656</v>
      </c>
      <c r="B30" s="54" t="s">
        <v>668</v>
      </c>
      <c r="C30" s="55"/>
      <c r="D30" s="55"/>
      <c r="E30" s="55"/>
      <c r="F30" s="55"/>
      <c r="G30" s="56"/>
      <c r="H30" s="100">
        <f>H31</f>
        <v>2.5</v>
      </c>
    </row>
    <row r="31" spans="1:8" ht="15" thickBot="1">
      <c r="A31" s="111" t="s">
        <v>669</v>
      </c>
      <c r="B31" s="104" t="s">
        <v>662</v>
      </c>
      <c r="C31" s="105"/>
      <c r="D31" s="105"/>
      <c r="E31" s="105"/>
      <c r="F31" s="105"/>
      <c r="G31" s="106"/>
      <c r="H31" s="112">
        <v>2.5</v>
      </c>
    </row>
    <row r="32" spans="1:8">
      <c r="A32" s="88"/>
      <c r="B32" s="89"/>
      <c r="C32" s="89"/>
      <c r="D32" s="89"/>
      <c r="E32" s="89"/>
      <c r="F32" s="89"/>
      <c r="G32" s="89"/>
      <c r="H32" s="96"/>
    </row>
    <row r="33" spans="1:8">
      <c r="A33" s="88"/>
      <c r="B33" s="89"/>
      <c r="C33" s="89"/>
      <c r="D33" s="89"/>
      <c r="E33" s="89"/>
      <c r="F33" s="89"/>
      <c r="G33" s="89"/>
      <c r="H33" s="96"/>
    </row>
    <row r="34" spans="1:8" ht="63">
      <c r="A34" s="113" t="s">
        <v>670</v>
      </c>
      <c r="B34" s="114"/>
      <c r="C34" s="114"/>
      <c r="D34" s="114"/>
      <c r="E34" s="114"/>
      <c r="F34" s="114"/>
      <c r="G34" s="114"/>
      <c r="H34" s="115"/>
    </row>
    <row r="35" spans="1:8" ht="17.25">
      <c r="A35" s="116" t="s">
        <v>671</v>
      </c>
      <c r="B35" s="117"/>
      <c r="C35" s="118">
        <f>H7/100</f>
        <v>0.04</v>
      </c>
      <c r="D35" s="117"/>
      <c r="E35" s="89"/>
      <c r="F35" s="119" t="s">
        <v>671</v>
      </c>
      <c r="G35" s="119"/>
      <c r="H35" s="120">
        <f>C35</f>
        <v>0.04</v>
      </c>
    </row>
    <row r="36" spans="1:8" ht="17.25">
      <c r="A36" s="116" t="s">
        <v>672</v>
      </c>
      <c r="B36" s="117"/>
      <c r="C36" s="118">
        <f>H12/100</f>
        <v>8.0000000000000002E-3</v>
      </c>
      <c r="D36" s="117"/>
      <c r="E36" s="89"/>
      <c r="F36" s="119" t="s">
        <v>672</v>
      </c>
      <c r="G36" s="119"/>
      <c r="H36" s="120">
        <f>C36</f>
        <v>8.0000000000000002E-3</v>
      </c>
    </row>
    <row r="37" spans="1:8" ht="17.25">
      <c r="A37" s="116" t="s">
        <v>673</v>
      </c>
      <c r="B37" s="117"/>
      <c r="C37" s="118">
        <f>H11/100</f>
        <v>1.2699999999999999E-2</v>
      </c>
      <c r="D37" s="117"/>
      <c r="E37" s="89"/>
      <c r="F37" s="119" t="s">
        <v>673</v>
      </c>
      <c r="G37" s="119"/>
      <c r="H37" s="120">
        <f>C37</f>
        <v>1.2699999999999999E-2</v>
      </c>
    </row>
    <row r="38" spans="1:8" ht="17.25">
      <c r="A38" s="116" t="s">
        <v>674</v>
      </c>
      <c r="B38" s="117"/>
      <c r="C38" s="121">
        <f>1+C35+C36+C37</f>
        <v>1.0607</v>
      </c>
      <c r="D38" s="117"/>
      <c r="E38" s="89"/>
      <c r="F38" s="119" t="s">
        <v>674</v>
      </c>
      <c r="G38" s="119"/>
      <c r="H38" s="122">
        <f>1+H35+H36+H37</f>
        <v>1.0607</v>
      </c>
    </row>
    <row r="39" spans="1:8" ht="17.25">
      <c r="A39" s="116" t="s">
        <v>675</v>
      </c>
      <c r="B39" s="117"/>
      <c r="C39" s="118">
        <f>H8/100</f>
        <v>1.23E-2</v>
      </c>
      <c r="D39" s="117"/>
      <c r="E39" s="89"/>
      <c r="F39" s="119" t="s">
        <v>675</v>
      </c>
      <c r="G39" s="119"/>
      <c r="H39" s="120">
        <f>C39</f>
        <v>1.23E-2</v>
      </c>
    </row>
    <row r="40" spans="1:8" ht="17.25">
      <c r="A40" s="116" t="s">
        <v>676</v>
      </c>
      <c r="B40" s="117"/>
      <c r="C40" s="121">
        <f>1+C39</f>
        <v>1.0123</v>
      </c>
      <c r="D40" s="117"/>
      <c r="E40" s="89"/>
      <c r="F40" s="119" t="s">
        <v>676</v>
      </c>
      <c r="G40" s="119"/>
      <c r="H40" s="122">
        <f>1+H39</f>
        <v>1.0123</v>
      </c>
    </row>
    <row r="41" spans="1:8" ht="17.25">
      <c r="A41" s="116" t="s">
        <v>677</v>
      </c>
      <c r="B41" s="117"/>
      <c r="C41" s="118">
        <f>H18/100</f>
        <v>7.400000000000001E-2</v>
      </c>
      <c r="D41" s="117"/>
      <c r="E41" s="89"/>
      <c r="F41" s="119" t="s">
        <v>677</v>
      </c>
      <c r="G41" s="119"/>
      <c r="H41" s="120">
        <f>C41</f>
        <v>7.400000000000001E-2</v>
      </c>
    </row>
    <row r="42" spans="1:8" ht="17.25">
      <c r="A42" s="116" t="s">
        <v>678</v>
      </c>
      <c r="B42" s="117"/>
      <c r="C42" s="121">
        <f>1+C41</f>
        <v>1.0740000000000001</v>
      </c>
      <c r="D42" s="117"/>
      <c r="E42" s="89"/>
      <c r="F42" s="119" t="s">
        <v>678</v>
      </c>
      <c r="G42" s="119"/>
      <c r="H42" s="122">
        <f>1+H41</f>
        <v>1.0740000000000001</v>
      </c>
    </row>
    <row r="43" spans="1:8" ht="17.25">
      <c r="A43" s="116"/>
      <c r="B43" s="117"/>
      <c r="C43" s="117"/>
      <c r="D43" s="117"/>
      <c r="E43" s="89"/>
      <c r="F43" s="119"/>
      <c r="G43" s="119"/>
      <c r="H43" s="123"/>
    </row>
    <row r="44" spans="1:8" ht="17.25">
      <c r="A44" s="116" t="s">
        <v>679</v>
      </c>
      <c r="B44" s="117"/>
      <c r="C44" s="118">
        <f>H15/100</f>
        <v>6.1500000000000006E-2</v>
      </c>
      <c r="D44" s="117"/>
      <c r="E44" s="89"/>
      <c r="F44" s="119" t="s">
        <v>679</v>
      </c>
      <c r="G44" s="119"/>
      <c r="H44" s="120">
        <f>C44-(H28/100)</f>
        <v>6.1500000000000006E-2</v>
      </c>
    </row>
    <row r="45" spans="1:8" ht="17.25">
      <c r="A45" s="116" t="s">
        <v>680</v>
      </c>
      <c r="B45" s="117"/>
      <c r="C45" s="121">
        <f>1-C44</f>
        <v>0.9385</v>
      </c>
      <c r="D45" s="117"/>
      <c r="E45" s="89"/>
      <c r="F45" s="119" t="s">
        <v>680</v>
      </c>
      <c r="G45" s="119"/>
      <c r="H45" s="122">
        <f>1-H44</f>
        <v>0.9385</v>
      </c>
    </row>
    <row r="46" spans="1:8" ht="17.25">
      <c r="A46" s="116"/>
      <c r="B46" s="117"/>
      <c r="C46" s="117"/>
      <c r="D46" s="117"/>
      <c r="E46" s="89"/>
      <c r="F46" s="119"/>
      <c r="G46" s="119"/>
      <c r="H46" s="123"/>
    </row>
    <row r="47" spans="1:8" ht="17.25">
      <c r="A47" s="124" t="s">
        <v>681</v>
      </c>
      <c r="B47" s="125"/>
      <c r="C47" s="126">
        <f>(C38*C40*C42)/C45-1</f>
        <v>0.22877342476291962</v>
      </c>
      <c r="D47" s="117"/>
      <c r="E47" s="89"/>
      <c r="F47" s="127" t="s">
        <v>682</v>
      </c>
      <c r="G47" s="128"/>
      <c r="H47" s="129">
        <f>(H38*H40*H42)/H45-1</f>
        <v>0.22877342476291962</v>
      </c>
    </row>
    <row r="48" spans="1:8" ht="15">
      <c r="A48" s="130"/>
      <c r="B48" s="119"/>
      <c r="C48" s="119"/>
      <c r="D48" s="119"/>
      <c r="E48" s="89"/>
      <c r="F48" s="119"/>
      <c r="G48" s="119"/>
      <c r="H48" s="131" t="s">
        <v>683</v>
      </c>
    </row>
    <row r="49" spans="1:8" ht="15">
      <c r="A49" s="130"/>
      <c r="B49" s="119"/>
      <c r="C49" s="119"/>
      <c r="D49" s="119"/>
      <c r="E49" s="119"/>
      <c r="F49" s="258" t="s">
        <v>684</v>
      </c>
      <c r="G49" s="258"/>
      <c r="H49" s="259"/>
    </row>
    <row r="50" spans="1:8" ht="15" thickBot="1">
      <c r="A50" s="132"/>
      <c r="B50" s="133"/>
      <c r="C50" s="133"/>
      <c r="D50" s="133"/>
      <c r="E50" s="133"/>
      <c r="F50" s="260"/>
      <c r="G50" s="260"/>
      <c r="H50" s="261"/>
    </row>
  </sheetData>
  <mergeCells count="6">
    <mergeCell ref="F49:H50"/>
    <mergeCell ref="A1:H1"/>
    <mergeCell ref="A2:H2"/>
    <mergeCell ref="A3:H3"/>
    <mergeCell ref="A4:H4"/>
    <mergeCell ref="A5:H5"/>
  </mergeCells>
  <pageMargins left="0.511811024" right="0.511811024" top="0.78740157499999996" bottom="0.78740157499999996" header="0.31496062000000002" footer="0.31496062000000002"/>
  <pageSetup paperSize="9" scale="7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3"/>
  <sheetViews>
    <sheetView view="pageBreakPreview" zoomScaleNormal="100" zoomScaleSheetLayoutView="100" workbookViewId="0">
      <selection activeCell="B14" sqref="B14"/>
    </sheetView>
  </sheetViews>
  <sheetFormatPr defaultRowHeight="14.25"/>
  <cols>
    <col min="1" max="1" width="14.25" customWidth="1"/>
    <col min="2" max="2" width="67.875" customWidth="1"/>
    <col min="3" max="3" width="14.75" customWidth="1"/>
    <col min="4" max="4" width="16.25" customWidth="1"/>
  </cols>
  <sheetData>
    <row r="1" spans="1:4" ht="20.100000000000001" customHeight="1">
      <c r="A1" s="262" t="s">
        <v>568</v>
      </c>
      <c r="B1" s="229"/>
      <c r="C1" s="229"/>
      <c r="D1" s="263"/>
    </row>
    <row r="2" spans="1:4" ht="20.100000000000001" customHeight="1">
      <c r="A2" s="262" t="s">
        <v>746</v>
      </c>
      <c r="B2" s="229"/>
      <c r="C2" s="229"/>
      <c r="D2" s="263"/>
    </row>
    <row r="3" spans="1:4" ht="20.100000000000001" customHeight="1">
      <c r="A3" s="262" t="s">
        <v>548</v>
      </c>
      <c r="B3" s="229"/>
      <c r="C3" s="229"/>
      <c r="D3" s="263"/>
    </row>
    <row r="4" spans="1:4" ht="20.100000000000001" customHeight="1">
      <c r="A4" s="262" t="s">
        <v>549</v>
      </c>
      <c r="B4" s="229"/>
      <c r="C4" s="229"/>
      <c r="D4" s="263"/>
    </row>
    <row r="5" spans="1:4" ht="15">
      <c r="A5" s="271" t="s">
        <v>569</v>
      </c>
      <c r="B5" s="272"/>
      <c r="C5" s="272"/>
      <c r="D5" s="273"/>
    </row>
    <row r="6" spans="1:4" ht="15">
      <c r="A6" s="38" t="s">
        <v>570</v>
      </c>
      <c r="B6" s="38" t="s">
        <v>571</v>
      </c>
      <c r="C6" s="38" t="s">
        <v>572</v>
      </c>
      <c r="D6" s="38" t="s">
        <v>573</v>
      </c>
    </row>
    <row r="7" spans="1:4" ht="15">
      <c r="A7" s="267" t="s">
        <v>574</v>
      </c>
      <c r="B7" s="268"/>
      <c r="C7" s="268"/>
      <c r="D7" s="269"/>
    </row>
    <row r="8" spans="1:4">
      <c r="A8" s="39" t="s">
        <v>575</v>
      </c>
      <c r="B8" s="40" t="s">
        <v>576</v>
      </c>
      <c r="C8" s="41">
        <v>20</v>
      </c>
      <c r="D8" s="41">
        <v>20</v>
      </c>
    </row>
    <row r="9" spans="1:4">
      <c r="A9" s="39" t="s">
        <v>577</v>
      </c>
      <c r="B9" s="40" t="s">
        <v>578</v>
      </c>
      <c r="C9" s="41">
        <v>1.5</v>
      </c>
      <c r="D9" s="41">
        <v>1.5</v>
      </c>
    </row>
    <row r="10" spans="1:4">
      <c r="A10" s="39" t="s">
        <v>579</v>
      </c>
      <c r="B10" s="40" t="s">
        <v>580</v>
      </c>
      <c r="C10" s="41">
        <v>1</v>
      </c>
      <c r="D10" s="41">
        <v>1</v>
      </c>
    </row>
    <row r="11" spans="1:4">
      <c r="A11" s="39" t="s">
        <v>581</v>
      </c>
      <c r="B11" s="40" t="s">
        <v>582</v>
      </c>
      <c r="C11" s="41">
        <v>0.2</v>
      </c>
      <c r="D11" s="41">
        <v>0.2</v>
      </c>
    </row>
    <row r="12" spans="1:4">
      <c r="A12" s="39" t="s">
        <v>583</v>
      </c>
      <c r="B12" s="40" t="s">
        <v>584</v>
      </c>
      <c r="C12" s="41">
        <v>0.6</v>
      </c>
      <c r="D12" s="41">
        <v>0.6</v>
      </c>
    </row>
    <row r="13" spans="1:4">
      <c r="A13" s="39" t="s">
        <v>585</v>
      </c>
      <c r="B13" s="40" t="s">
        <v>586</v>
      </c>
      <c r="C13" s="41">
        <v>2.5</v>
      </c>
      <c r="D13" s="41">
        <v>2.5</v>
      </c>
    </row>
    <row r="14" spans="1:4">
      <c r="A14" s="39" t="s">
        <v>587</v>
      </c>
      <c r="B14" s="40" t="s">
        <v>588</v>
      </c>
      <c r="C14" s="41">
        <v>3</v>
      </c>
      <c r="D14" s="41">
        <v>3</v>
      </c>
    </row>
    <row r="15" spans="1:4">
      <c r="A15" s="39" t="s">
        <v>589</v>
      </c>
      <c r="B15" s="40" t="s">
        <v>590</v>
      </c>
      <c r="C15" s="41">
        <v>8</v>
      </c>
      <c r="D15" s="41">
        <v>8</v>
      </c>
    </row>
    <row r="16" spans="1:4">
      <c r="A16" s="39" t="s">
        <v>591</v>
      </c>
      <c r="B16" s="40" t="s">
        <v>592</v>
      </c>
      <c r="C16" s="41">
        <v>0</v>
      </c>
      <c r="D16" s="41">
        <v>0</v>
      </c>
    </row>
    <row r="17" spans="1:4" ht="15">
      <c r="A17" s="38" t="s">
        <v>593</v>
      </c>
      <c r="B17" s="42" t="s">
        <v>594</v>
      </c>
      <c r="C17" s="43">
        <f>SUM(C8:C16)</f>
        <v>36.799999999999997</v>
      </c>
      <c r="D17" s="43">
        <f>SUM(D8:D16)</f>
        <v>36.799999999999997</v>
      </c>
    </row>
    <row r="18" spans="1:4" ht="15">
      <c r="A18" s="267" t="s">
        <v>595</v>
      </c>
      <c r="B18" s="268"/>
      <c r="C18" s="268"/>
      <c r="D18" s="269"/>
    </row>
    <row r="19" spans="1:4">
      <c r="A19" s="39" t="s">
        <v>596</v>
      </c>
      <c r="B19" s="40" t="s">
        <v>597</v>
      </c>
      <c r="C19" s="41">
        <v>18.11</v>
      </c>
      <c r="D19" s="41">
        <v>0</v>
      </c>
    </row>
    <row r="20" spans="1:4">
      <c r="A20" s="39" t="s">
        <v>598</v>
      </c>
      <c r="B20" s="40" t="s">
        <v>599</v>
      </c>
      <c r="C20" s="41">
        <v>4.1500000000000004</v>
      </c>
      <c r="D20" s="41">
        <v>0</v>
      </c>
    </row>
    <row r="21" spans="1:4">
      <c r="A21" s="39" t="s">
        <v>600</v>
      </c>
      <c r="B21" s="40" t="s">
        <v>601</v>
      </c>
      <c r="C21" s="41">
        <v>0.89</v>
      </c>
      <c r="D21" s="41">
        <v>0.67</v>
      </c>
    </row>
    <row r="22" spans="1:4">
      <c r="A22" s="39" t="s">
        <v>602</v>
      </c>
      <c r="B22" s="40" t="s">
        <v>603</v>
      </c>
      <c r="C22" s="41">
        <v>10.98</v>
      </c>
      <c r="D22" s="41">
        <v>8.33</v>
      </c>
    </row>
    <row r="23" spans="1:4">
      <c r="A23" s="39" t="s">
        <v>604</v>
      </c>
      <c r="B23" s="40" t="s">
        <v>605</v>
      </c>
      <c r="C23" s="41">
        <v>7.0000000000000007E-2</v>
      </c>
      <c r="D23" s="41">
        <v>0.06</v>
      </c>
    </row>
    <row r="24" spans="1:4">
      <c r="A24" s="39" t="s">
        <v>606</v>
      </c>
      <c r="B24" s="40" t="s">
        <v>607</v>
      </c>
      <c r="C24" s="41">
        <v>0.73</v>
      </c>
      <c r="D24" s="41">
        <v>0.56000000000000005</v>
      </c>
    </row>
    <row r="25" spans="1:4">
      <c r="A25" s="39" t="s">
        <v>608</v>
      </c>
      <c r="B25" s="40" t="s">
        <v>609</v>
      </c>
      <c r="C25" s="41">
        <v>2.68</v>
      </c>
      <c r="D25" s="41">
        <v>0</v>
      </c>
    </row>
    <row r="26" spans="1:4">
      <c r="A26" s="39" t="s">
        <v>610</v>
      </c>
      <c r="B26" s="40" t="s">
        <v>611</v>
      </c>
      <c r="C26" s="41">
        <v>0.11</v>
      </c>
      <c r="D26" s="41">
        <v>0.08</v>
      </c>
    </row>
    <row r="27" spans="1:4">
      <c r="A27" s="39" t="s">
        <v>612</v>
      </c>
      <c r="B27" s="40" t="s">
        <v>613</v>
      </c>
      <c r="C27" s="41">
        <v>9.27</v>
      </c>
      <c r="D27" s="41">
        <v>7.03</v>
      </c>
    </row>
    <row r="28" spans="1:4">
      <c r="A28" s="39" t="s">
        <v>614</v>
      </c>
      <c r="B28" s="40" t="s">
        <v>615</v>
      </c>
      <c r="C28" s="41">
        <v>0.03</v>
      </c>
      <c r="D28" s="41">
        <v>0.03</v>
      </c>
    </row>
    <row r="29" spans="1:4" ht="15">
      <c r="A29" s="38" t="s">
        <v>616</v>
      </c>
      <c r="B29" s="42" t="s">
        <v>617</v>
      </c>
      <c r="C29" s="43">
        <f>SUM(C19:C28)</f>
        <v>47.019999999999996</v>
      </c>
      <c r="D29" s="43">
        <f>SUM(D19:D28)</f>
        <v>16.760000000000002</v>
      </c>
    </row>
    <row r="30" spans="1:4" ht="15">
      <c r="A30" s="267" t="s">
        <v>618</v>
      </c>
      <c r="B30" s="268"/>
      <c r="C30" s="268"/>
      <c r="D30" s="269"/>
    </row>
    <row r="31" spans="1:4">
      <c r="A31" s="39" t="s">
        <v>619</v>
      </c>
      <c r="B31" s="40" t="s">
        <v>620</v>
      </c>
      <c r="C31" s="41">
        <v>5.69</v>
      </c>
      <c r="D31" s="41">
        <v>4.32</v>
      </c>
    </row>
    <row r="32" spans="1:4">
      <c r="A32" s="39" t="s">
        <v>621</v>
      </c>
      <c r="B32" s="40" t="s">
        <v>622</v>
      </c>
      <c r="C32" s="41">
        <v>0.13</v>
      </c>
      <c r="D32" s="41">
        <v>0.1</v>
      </c>
    </row>
    <row r="33" spans="1:4">
      <c r="A33" s="39" t="s">
        <v>623</v>
      </c>
      <c r="B33" s="40" t="s">
        <v>624</v>
      </c>
      <c r="C33" s="41">
        <v>4.47</v>
      </c>
      <c r="D33" s="41">
        <v>3.39</v>
      </c>
    </row>
    <row r="34" spans="1:4">
      <c r="A34" s="39" t="s">
        <v>625</v>
      </c>
      <c r="B34" s="40" t="s">
        <v>626</v>
      </c>
      <c r="C34" s="41">
        <v>3.93</v>
      </c>
      <c r="D34" s="41">
        <v>2.98</v>
      </c>
    </row>
    <row r="35" spans="1:4">
      <c r="A35" s="39" t="s">
        <v>627</v>
      </c>
      <c r="B35" s="40" t="s">
        <v>628</v>
      </c>
      <c r="C35" s="41">
        <v>0.48</v>
      </c>
      <c r="D35" s="41">
        <v>0.36</v>
      </c>
    </row>
    <row r="36" spans="1:4" ht="15">
      <c r="A36" s="38" t="s">
        <v>629</v>
      </c>
      <c r="B36" s="42" t="s">
        <v>630</v>
      </c>
      <c r="C36" s="43">
        <f>SUM(C31:C35)</f>
        <v>14.7</v>
      </c>
      <c r="D36" s="43">
        <f>SUM(D31:D35)</f>
        <v>11.15</v>
      </c>
    </row>
    <row r="37" spans="1:4" ht="15">
      <c r="A37" s="267" t="s">
        <v>631</v>
      </c>
      <c r="B37" s="268"/>
      <c r="C37" s="268"/>
      <c r="D37" s="269"/>
    </row>
    <row r="38" spans="1:4">
      <c r="A38" s="39" t="s">
        <v>632</v>
      </c>
      <c r="B38" s="40" t="s">
        <v>633</v>
      </c>
      <c r="C38" s="41">
        <v>17.3</v>
      </c>
      <c r="D38" s="41">
        <v>6.17</v>
      </c>
    </row>
    <row r="39" spans="1:4" ht="25.5">
      <c r="A39" s="39" t="s">
        <v>634</v>
      </c>
      <c r="B39" s="44" t="s">
        <v>635</v>
      </c>
      <c r="C39" s="45">
        <v>0.5</v>
      </c>
      <c r="D39" s="45">
        <v>0.38</v>
      </c>
    </row>
    <row r="40" spans="1:4" ht="15">
      <c r="A40" s="38" t="s">
        <v>636</v>
      </c>
      <c r="B40" s="42" t="s">
        <v>637</v>
      </c>
      <c r="C40" s="43">
        <f>SUM(C38:C39)</f>
        <v>17.8</v>
      </c>
      <c r="D40" s="43">
        <f>SUM(D38:D39)</f>
        <v>6.55</v>
      </c>
    </row>
    <row r="41" spans="1:4" ht="15">
      <c r="A41" s="270" t="s">
        <v>638</v>
      </c>
      <c r="B41" s="270"/>
      <c r="C41" s="46">
        <f>(C17+C29+C36+C40)</f>
        <v>116.32</v>
      </c>
      <c r="D41" s="46">
        <f>D17+D29+D36+D40</f>
        <v>71.260000000000005</v>
      </c>
    </row>
    <row r="42" spans="1:4">
      <c r="A42" s="47"/>
      <c r="B42" s="47"/>
      <c r="C42" s="48"/>
      <c r="D42" s="48"/>
    </row>
    <row r="43" spans="1:4">
      <c r="A43" s="47" t="s">
        <v>639</v>
      </c>
      <c r="B43" s="47"/>
      <c r="C43" s="48"/>
      <c r="D43" s="48"/>
    </row>
  </sheetData>
  <mergeCells count="10">
    <mergeCell ref="A18:D18"/>
    <mergeCell ref="A30:D30"/>
    <mergeCell ref="A37:D37"/>
    <mergeCell ref="A41:B41"/>
    <mergeCell ref="A1:D1"/>
    <mergeCell ref="A2:D2"/>
    <mergeCell ref="A3:D3"/>
    <mergeCell ref="A4:D4"/>
    <mergeCell ref="A5:D5"/>
    <mergeCell ref="A7:D7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3</vt:i4>
      </vt:variant>
    </vt:vector>
  </HeadingPairs>
  <TitlesOfParts>
    <vt:vector size="8" baseType="lpstr">
      <vt:lpstr>Orçamento Sintético</vt:lpstr>
      <vt:lpstr>Cronograma</vt:lpstr>
      <vt:lpstr>CPU</vt:lpstr>
      <vt:lpstr>BDI</vt:lpstr>
      <vt:lpstr>LS</vt:lpstr>
      <vt:lpstr>Cronograma!Area_de_impressao</vt:lpstr>
      <vt:lpstr>'Orçamento Sintético'!Area_de_impressao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SEMED</cp:lastModifiedBy>
  <cp:revision>0</cp:revision>
  <cp:lastPrinted>2023-02-03T00:25:36Z</cp:lastPrinted>
  <dcterms:created xsi:type="dcterms:W3CDTF">2022-11-10T23:54:30Z</dcterms:created>
  <dcterms:modified xsi:type="dcterms:W3CDTF">2023-03-06T17:40:01Z</dcterms:modified>
</cp:coreProperties>
</file>