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0730" windowHeight="11160" activeTab="1"/>
  </bookViews>
  <sheets>
    <sheet name="Orçamento Sintético" sheetId="1" r:id="rId1"/>
    <sheet name="Cronograma" sheetId="2" r:id="rId2"/>
    <sheet name="CPU" sheetId="3" r:id="rId3"/>
    <sheet name="BDI" sheetId="4" r:id="rId4"/>
    <sheet name="LS" sheetId="5" r:id="rId5"/>
  </sheets>
  <definedNames>
    <definedName name="_xlnm.Print_Area" localSheetId="1">'Cronograma'!$A$1:$M$37</definedName>
    <definedName name="_xlnm.Print_Area" localSheetId="0">'Orçamento Sintético'!$A$1:$J$244</definedName>
    <definedName name="_xlnm.Print_Titles" localSheetId="0">'Orçamento Sintético'!$1:$9</definedName>
  </definedNames>
  <calcPr calcId="191029"/>
  <extLst/>
</workbook>
</file>

<file path=xl/sharedStrings.xml><?xml version="1.0" encoding="utf-8"?>
<sst xmlns="http://schemas.openxmlformats.org/spreadsheetml/2006/main" count="1622" uniqueCount="923">
  <si>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</si>
  <si>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</si>
  <si>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</si>
  <si>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</si>
  <si>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</si>
  <si>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</si>
  <si>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</si>
  <si>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</si>
  <si>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</si>
  <si>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</si>
  <si>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</si>
  <si>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</si>
  <si>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PRELIMINARES:</t>
  </si>
  <si>
    <t xml:space="preserve"> 1.1 </t>
  </si>
  <si>
    <t xml:space="preserve"> 010786 </t>
  </si>
  <si>
    <t>SEDOP</t>
  </si>
  <si>
    <t>Aluguel e montagem de andaime metálico</t>
  </si>
  <si>
    <t>M²/Mê</t>
  </si>
  <si>
    <t xml:space="preserve"> 1.2 </t>
  </si>
  <si>
    <t>ORSE</t>
  </si>
  <si>
    <t>Furo de sondagem - até 15m</t>
  </si>
  <si>
    <t>un</t>
  </si>
  <si>
    <t xml:space="preserve"> 1.3 </t>
  </si>
  <si>
    <t>m²</t>
  </si>
  <si>
    <t xml:space="preserve"> 1.4 </t>
  </si>
  <si>
    <t>Placa de obra em lona com plotagem de gráfica</t>
  </si>
  <si>
    <t xml:space="preserve"> 1.5 </t>
  </si>
  <si>
    <t>Tapume metálico</t>
  </si>
  <si>
    <t>m</t>
  </si>
  <si>
    <t xml:space="preserve"> 2 </t>
  </si>
  <si>
    <t>DEMOLIÇÕES E RETIRADAS:</t>
  </si>
  <si>
    <t xml:space="preserve"> 2.1 </t>
  </si>
  <si>
    <t xml:space="preserve"> 020020 </t>
  </si>
  <si>
    <t>Demolição da estrutura em madeira da cobertura</t>
  </si>
  <si>
    <t xml:space="preserve"> 2.2 </t>
  </si>
  <si>
    <t xml:space="preserve"> 021524 </t>
  </si>
  <si>
    <t>Demolição de concreto armado c/ martelete</t>
  </si>
  <si>
    <t>m³</t>
  </si>
  <si>
    <t xml:space="preserve"> 2.3 </t>
  </si>
  <si>
    <t xml:space="preserve"> 020016 </t>
  </si>
  <si>
    <t>Demolição manual de alvenaria de tijolo</t>
  </si>
  <si>
    <t xml:space="preserve"> 2.4 </t>
  </si>
  <si>
    <t xml:space="preserve"> 020018 </t>
  </si>
  <si>
    <t>Demolição manual de concreto simples</t>
  </si>
  <si>
    <t xml:space="preserve"> 2.5 </t>
  </si>
  <si>
    <t xml:space="preserve"> 020174 </t>
  </si>
  <si>
    <t>Retirada de entulho - manualmente (incluindo caixa coletora)</t>
  </si>
  <si>
    <t xml:space="preserve"> 2.6 </t>
  </si>
  <si>
    <t xml:space="preserve"> 021527 </t>
  </si>
  <si>
    <t>Retirada de grade de ferro</t>
  </si>
  <si>
    <t xml:space="preserve"> 2.7 </t>
  </si>
  <si>
    <t xml:space="preserve"> 021526 </t>
  </si>
  <si>
    <t>Retirada de louça sanitária</t>
  </si>
  <si>
    <t>UN</t>
  </si>
  <si>
    <t xml:space="preserve"> 2.8 </t>
  </si>
  <si>
    <t xml:space="preserve"> 020855 </t>
  </si>
  <si>
    <t>Retirada de luminárias</t>
  </si>
  <si>
    <t xml:space="preserve"> 2.9 </t>
  </si>
  <si>
    <t xml:space="preserve"> 020235 </t>
  </si>
  <si>
    <t>Retirada de piso ceramico, inclusive camada regularizadora</t>
  </si>
  <si>
    <t xml:space="preserve"> 2.10 </t>
  </si>
  <si>
    <t xml:space="preserve"> 020628 </t>
  </si>
  <si>
    <t>Retirada de piso cimentado</t>
  </si>
  <si>
    <t xml:space="preserve"> 2.11 </t>
  </si>
  <si>
    <t xml:space="preserve"> 021529 </t>
  </si>
  <si>
    <t>Retirada de ponto de água/esgoto</t>
  </si>
  <si>
    <t>PT</t>
  </si>
  <si>
    <t xml:space="preserve"> 2.12 </t>
  </si>
  <si>
    <t xml:space="preserve"> 020021 </t>
  </si>
  <si>
    <t>Retirada de revestimento cerâmico</t>
  </si>
  <si>
    <t xml:space="preserve"> 2.13 </t>
  </si>
  <si>
    <t xml:space="preserve"> 020024 </t>
  </si>
  <si>
    <t>Retirada de telhas fibrocimento sem aproveitamento</t>
  </si>
  <si>
    <t xml:space="preserve"> 3 </t>
  </si>
  <si>
    <t>MOVIMENTO DE TERRA:</t>
  </si>
  <si>
    <t xml:space="preserve"> 3.1 </t>
  </si>
  <si>
    <t xml:space="preserve"> 030011 </t>
  </si>
  <si>
    <t>Aterro incluindo carga, descarga, transporte e apiloamento</t>
  </si>
  <si>
    <t xml:space="preserve"> 3.2 </t>
  </si>
  <si>
    <t xml:space="preserve"> 030010 </t>
  </si>
  <si>
    <t>Escavação manual ate 1.50m de profundidade</t>
  </si>
  <si>
    <t xml:space="preserve"> 4 </t>
  </si>
  <si>
    <t>FUNDAÇÕES:</t>
  </si>
  <si>
    <t xml:space="preserve"> 4.1 </t>
  </si>
  <si>
    <t xml:space="preserve"> 040284 </t>
  </si>
  <si>
    <t>Baldrame em concreto armado c/ cinta de amarração</t>
  </si>
  <si>
    <t xml:space="preserve"> 4.2 </t>
  </si>
  <si>
    <t xml:space="preserve"> 040283 </t>
  </si>
  <si>
    <t>Bloco em concreto armado p/ fundaçao (incl. forma)</t>
  </si>
  <si>
    <t xml:space="preserve"> 5 </t>
  </si>
  <si>
    <t>ESTRUTURA:</t>
  </si>
  <si>
    <t xml:space="preserve"> 5.1 </t>
  </si>
  <si>
    <t xml:space="preserve"> 051286 </t>
  </si>
  <si>
    <t>Concreto armado FCK=30MPA c/ forma madeira branca (incl. lançamento e adensamento)</t>
  </si>
  <si>
    <t xml:space="preserve"> 5.2 </t>
  </si>
  <si>
    <t xml:space="preserve"> 050353 </t>
  </si>
  <si>
    <t>Concreto armado p/ rufos (incl. lançamento e adensamento)</t>
  </si>
  <si>
    <t xml:space="preserve"> 5.3 </t>
  </si>
  <si>
    <t xml:space="preserve"> 050771 </t>
  </si>
  <si>
    <t>Laje pré-moldada treliçada (Incl. capiamento)</t>
  </si>
  <si>
    <t xml:space="preserve"> 6 </t>
  </si>
  <si>
    <t>PAREDES E PAINEIS:</t>
  </si>
  <si>
    <t xml:space="preserve"> 6.1 </t>
  </si>
  <si>
    <t xml:space="preserve"> 060046 </t>
  </si>
  <si>
    <t>Alvenaria tijolo de barro a cutelo</t>
  </si>
  <si>
    <t xml:space="preserve"> 6.2 </t>
  </si>
  <si>
    <t xml:space="preserve"> 060043 </t>
  </si>
  <si>
    <t>Cobogó de cimento 20x20x10cm</t>
  </si>
  <si>
    <t xml:space="preserve"> 7 </t>
  </si>
  <si>
    <t>COBERTURA:</t>
  </si>
  <si>
    <t xml:space="preserve"> 7.1 </t>
  </si>
  <si>
    <t xml:space="preserve"> 7.1.1 </t>
  </si>
  <si>
    <t xml:space="preserve"> 070054 </t>
  </si>
  <si>
    <t>Estrutura em mad.p/ chapa fibrocimento - pc. serrada</t>
  </si>
  <si>
    <t xml:space="preserve"> 7.1.2 </t>
  </si>
  <si>
    <t xml:space="preserve"> 071361 </t>
  </si>
  <si>
    <t>Estrutura metálica p/ cobertura - 2 águas-vão 20m</t>
  </si>
  <si>
    <t xml:space="preserve"> 7.2 </t>
  </si>
  <si>
    <t xml:space="preserve"> 7.2.1 </t>
  </si>
  <si>
    <t xml:space="preserve"> 070047 </t>
  </si>
  <si>
    <t>Cobertura - telha de fibrocimento e=6mm</t>
  </si>
  <si>
    <t xml:space="preserve"> 7.2.2 </t>
  </si>
  <si>
    <t xml:space="preserve"> 071465 </t>
  </si>
  <si>
    <t>Cobertura - telha em aço galvanizado e=0,5mm</t>
  </si>
  <si>
    <t xml:space="preserve"> 7.2.3 </t>
  </si>
  <si>
    <t xml:space="preserve"> 070675 </t>
  </si>
  <si>
    <t>Cobertura - telha translucida fibra de vidro</t>
  </si>
  <si>
    <t xml:space="preserve"> 7.3 </t>
  </si>
  <si>
    <t xml:space="preserve"> 7.3.1 </t>
  </si>
  <si>
    <t xml:space="preserve"> 070277 </t>
  </si>
  <si>
    <t>Calha em chapa galvanizada</t>
  </si>
  <si>
    <t>M</t>
  </si>
  <si>
    <t xml:space="preserve"> 7.3.2 </t>
  </si>
  <si>
    <t xml:space="preserve"> 071466 </t>
  </si>
  <si>
    <t>Cumeeira em aço galvanizado</t>
  </si>
  <si>
    <t xml:space="preserve"> 8 </t>
  </si>
  <si>
    <t>IMPERMEABILIZAÇÕES /TRATAMENTOS:</t>
  </si>
  <si>
    <t xml:space="preserve"> 8.1 </t>
  </si>
  <si>
    <t xml:space="preserve"> 080314 </t>
  </si>
  <si>
    <t>Impermeabilização asfáltica para concreto e alvenaria (3 demãos)</t>
  </si>
  <si>
    <t xml:space="preserve"> 9 </t>
  </si>
  <si>
    <t>ESQUADRIAS:</t>
  </si>
  <si>
    <t xml:space="preserve"> 9.1 </t>
  </si>
  <si>
    <t xml:space="preserve"> 9.1.1 </t>
  </si>
  <si>
    <t xml:space="preserve"> 090061 </t>
  </si>
  <si>
    <t>Porta mad. compens. c/caix. simples e alizar</t>
  </si>
  <si>
    <t xml:space="preserve"> 9.2 </t>
  </si>
  <si>
    <t xml:space="preserve"> 9.2.1 </t>
  </si>
  <si>
    <t xml:space="preserve"> 90825 </t>
  </si>
  <si>
    <t>SINAPI</t>
  </si>
  <si>
    <t>Grade de ferro em metalom  (incl. pint.anti-corrosiva)</t>
  </si>
  <si>
    <t xml:space="preserve"> 9.2.2 </t>
  </si>
  <si>
    <t>Portão de ferro em metalom (incl. pintura anti corrosiva)</t>
  </si>
  <si>
    <t xml:space="preserve"> 9.2.3 </t>
  </si>
  <si>
    <t xml:space="preserve"> 091500 </t>
  </si>
  <si>
    <t>Portão em grade c/ chapa de ferro 3/16" - incl. ferragens e pintura antiferruginosa</t>
  </si>
  <si>
    <t xml:space="preserve"> 9.3 </t>
  </si>
  <si>
    <t xml:space="preserve"> 9.3.1 </t>
  </si>
  <si>
    <t>Esquadria c/ venezianas de aluminio  natural c/ ferragens</t>
  </si>
  <si>
    <t xml:space="preserve"> 9.3.2 </t>
  </si>
  <si>
    <t xml:space="preserve"> 091512 </t>
  </si>
  <si>
    <t>Esquadria de correr em vidro temperado de 8mm</t>
  </si>
  <si>
    <t xml:space="preserve"> 9.3.3 </t>
  </si>
  <si>
    <t xml:space="preserve"> 091464 </t>
  </si>
  <si>
    <t>Portas em MDF (sob bancadas)</t>
  </si>
  <si>
    <t xml:space="preserve"> 10 </t>
  </si>
  <si>
    <t>FERRAGENS:</t>
  </si>
  <si>
    <t xml:space="preserve"> 10.1 </t>
  </si>
  <si>
    <t xml:space="preserve"> 10.1.1 </t>
  </si>
  <si>
    <t xml:space="preserve"> 100816 </t>
  </si>
  <si>
    <t>Fechadura para porta de banheiro</t>
  </si>
  <si>
    <t xml:space="preserve"> 10.1.2 </t>
  </si>
  <si>
    <t xml:space="preserve"> 100817 </t>
  </si>
  <si>
    <t>Fechadura para porta externa</t>
  </si>
  <si>
    <t xml:space="preserve"> 10.1.3 </t>
  </si>
  <si>
    <t xml:space="preserve"> 100818 </t>
  </si>
  <si>
    <t>Fechadura para porta interna</t>
  </si>
  <si>
    <t xml:space="preserve"> 10.1.4 </t>
  </si>
  <si>
    <t>CJ</t>
  </si>
  <si>
    <t xml:space="preserve"> 10.1.5 </t>
  </si>
  <si>
    <t xml:space="preserve"> 10.1.6 </t>
  </si>
  <si>
    <t xml:space="preserve"> 11 </t>
  </si>
  <si>
    <t>REVESTIMENTOS:</t>
  </si>
  <si>
    <t xml:space="preserve"> 11.1 </t>
  </si>
  <si>
    <t xml:space="preserve"> 110581 </t>
  </si>
  <si>
    <t>Cerâmica 10x10cm (padrao medio)</t>
  </si>
  <si>
    <t xml:space="preserve"> 11.2 </t>
  </si>
  <si>
    <t xml:space="preserve"> 110143 </t>
  </si>
  <si>
    <t>Chapisco de cimento e areia no traço 1:3</t>
  </si>
  <si>
    <t xml:space="preserve"> 11.3 </t>
  </si>
  <si>
    <t xml:space="preserve"> 110653 </t>
  </si>
  <si>
    <t>Granito e=2cm</t>
  </si>
  <si>
    <t xml:space="preserve"> 11.4 </t>
  </si>
  <si>
    <t xml:space="preserve"> 110763 </t>
  </si>
  <si>
    <t>Reboco com argamassa 1:6:Adit. Plast.</t>
  </si>
  <si>
    <t xml:space="preserve"> 11.5 </t>
  </si>
  <si>
    <t xml:space="preserve"> 110645 </t>
  </si>
  <si>
    <t>Revestimento Cerâmico Padrão Alto</t>
  </si>
  <si>
    <t xml:space="preserve"> 12 </t>
  </si>
  <si>
    <t>RODAPES, SOLEIRAS E PEITORIS:</t>
  </si>
  <si>
    <t xml:space="preserve"> 12.1 </t>
  </si>
  <si>
    <t xml:space="preserve"> 120688 </t>
  </si>
  <si>
    <t>Rodapé de alta resistência (incl. polimento)</t>
  </si>
  <si>
    <t xml:space="preserve"> 12.2 </t>
  </si>
  <si>
    <t xml:space="preserve"> 120733 </t>
  </si>
  <si>
    <t>Soleira e Peitoril em granito (preto) c/ rebaixo e=3cm</t>
  </si>
  <si>
    <t xml:space="preserve"> 13 </t>
  </si>
  <si>
    <t>PISOS:</t>
  </si>
  <si>
    <t xml:space="preserve"> 13.1 </t>
  </si>
  <si>
    <t xml:space="preserve"> 130507 </t>
  </si>
  <si>
    <t>Camada impermeabilizadora e=10cm c/ seixo</t>
  </si>
  <si>
    <t xml:space="preserve"> 13.2 </t>
  </si>
  <si>
    <t xml:space="preserve"> 130584 </t>
  </si>
  <si>
    <t>Concreto c/ seixo e junta seca e=10cm</t>
  </si>
  <si>
    <t xml:space="preserve"> 13.3 </t>
  </si>
  <si>
    <t xml:space="preserve"> 130119 </t>
  </si>
  <si>
    <t>SBC</t>
  </si>
  <si>
    <t>Lajota ceramica -  (Padrão Médio)</t>
  </si>
  <si>
    <t xml:space="preserve"> 13.4 </t>
  </si>
  <si>
    <t xml:space="preserve"> 130626 </t>
  </si>
  <si>
    <t>Piso de alta resistência e=8mm c/ resina incl. camada regularizadora</t>
  </si>
  <si>
    <t xml:space="preserve"> 13.5 </t>
  </si>
  <si>
    <t xml:space="preserve"> 130890 </t>
  </si>
  <si>
    <t>Piso de borracha tátil (16 un)</t>
  </si>
  <si>
    <t xml:space="preserve"> 13.6 </t>
  </si>
  <si>
    <t xml:space="preserve"> 130122 </t>
  </si>
  <si>
    <t>Piso vinílico - assente na cola</t>
  </si>
  <si>
    <t xml:space="preserve"> 13.7 </t>
  </si>
  <si>
    <t xml:space="preserve"> 130728 </t>
  </si>
  <si>
    <t>PisoTátil direcional na cor amarelo 25x25 premoldado (16 unidades)</t>
  </si>
  <si>
    <t xml:space="preserve"> 14 </t>
  </si>
  <si>
    <t>FORROS:</t>
  </si>
  <si>
    <t xml:space="preserve"> 14.1 </t>
  </si>
  <si>
    <t xml:space="preserve"> 140348 </t>
  </si>
  <si>
    <t>Barroteamento em madeira de lei p/ forro PVC</t>
  </si>
  <si>
    <t xml:space="preserve"> 14.2 </t>
  </si>
  <si>
    <t xml:space="preserve"> 141336 </t>
  </si>
  <si>
    <t>Forro em lambri de PVC</t>
  </si>
  <si>
    <t xml:space="preserve"> 15 </t>
  </si>
  <si>
    <t>PINTURAS:</t>
  </si>
  <si>
    <t xml:space="preserve"> 15.1 </t>
  </si>
  <si>
    <t>ACRÍLICA:</t>
  </si>
  <si>
    <t xml:space="preserve"> 15.1.1 </t>
  </si>
  <si>
    <t xml:space="preserve"> 150253 </t>
  </si>
  <si>
    <t>Acrilica fosca int./ext. c/massa e selador - 3 demaos</t>
  </si>
  <si>
    <t xml:space="preserve"> 15.2 </t>
  </si>
  <si>
    <t>OUTRAS PINTURAS:</t>
  </si>
  <si>
    <t xml:space="preserve"> 15.2.1 </t>
  </si>
  <si>
    <t xml:space="preserve"> 15.2.2 </t>
  </si>
  <si>
    <t xml:space="preserve"> 150489 </t>
  </si>
  <si>
    <t>Anti-ferruginosa sobre grade de ferro</t>
  </si>
  <si>
    <t xml:space="preserve"> 16 </t>
  </si>
  <si>
    <t>INSTALAÇÕES ELÉTRICAS</t>
  </si>
  <si>
    <t xml:space="preserve"> 16.1 </t>
  </si>
  <si>
    <t>QUADROS E CAIXAS:</t>
  </si>
  <si>
    <t xml:space="preserve"> 16.1.1 </t>
  </si>
  <si>
    <t xml:space="preserve"> 170875 </t>
  </si>
  <si>
    <t>Caixa de inspeção em polipropileno - 15x15cm</t>
  </si>
  <si>
    <t xml:space="preserve"> 16.1.2 </t>
  </si>
  <si>
    <t xml:space="preserve"> 170881 </t>
  </si>
  <si>
    <t>Caixa plástica 4"x2"</t>
  </si>
  <si>
    <t xml:space="preserve"> 16.1.3 </t>
  </si>
  <si>
    <t xml:space="preserve"> 171416 </t>
  </si>
  <si>
    <t>Caixa plástica 4"x4"</t>
  </si>
  <si>
    <t xml:space="preserve"> 16.1.4 </t>
  </si>
  <si>
    <t xml:space="preserve"> 170882 </t>
  </si>
  <si>
    <t>Caixa polifásica padrão Celpa</t>
  </si>
  <si>
    <t xml:space="preserve"> 16.1.5 </t>
  </si>
  <si>
    <t xml:space="preserve"> 170886 </t>
  </si>
  <si>
    <t>Centro de distribuição p/ 10 disjuntores (s/ barramento)</t>
  </si>
  <si>
    <t xml:space="preserve"> 16.1.6 </t>
  </si>
  <si>
    <t xml:space="preserve"> 170887 </t>
  </si>
  <si>
    <t>Centro de distribuição p/ 16 disjuntores (c/ barramento)</t>
  </si>
  <si>
    <t xml:space="preserve"> 16.1.7 </t>
  </si>
  <si>
    <t xml:space="preserve"> 170387 </t>
  </si>
  <si>
    <t>Centro de distribuiçao p/ 40 disjuntores (c/ barramento)</t>
  </si>
  <si>
    <t xml:space="preserve"> 16.1.8 </t>
  </si>
  <si>
    <t xml:space="preserve"> 170868 </t>
  </si>
  <si>
    <t>Quadro de comando - proteção trifásico - 3CV</t>
  </si>
  <si>
    <t xml:space="preserve"> 16.1.9 </t>
  </si>
  <si>
    <t xml:space="preserve"> 170615 </t>
  </si>
  <si>
    <t>Quadro de mediçao trifasico (c/ disjuntor)</t>
  </si>
  <si>
    <t xml:space="preserve"> 16.2 </t>
  </si>
  <si>
    <t>DISJUNTORES:</t>
  </si>
  <si>
    <t xml:space="preserve"> 16.2.1 </t>
  </si>
  <si>
    <t xml:space="preserve"> 170362 </t>
  </si>
  <si>
    <t>Disjuntor 2P - 6 a 32A - PADRÃO DIN</t>
  </si>
  <si>
    <t xml:space="preserve"> 16.2.2 </t>
  </si>
  <si>
    <t xml:space="preserve"> 170388 </t>
  </si>
  <si>
    <t>Disjuntor 3P - 10 a 50A - PADRÃO DIN</t>
  </si>
  <si>
    <t xml:space="preserve"> 16.2.3 </t>
  </si>
  <si>
    <t xml:space="preserve"> 170900 </t>
  </si>
  <si>
    <t>Disjuntor 3P - 125A a 225A - PADRÃO DIN</t>
  </si>
  <si>
    <t xml:space="preserve"> 16.2.4 </t>
  </si>
  <si>
    <t xml:space="preserve"> 170895 </t>
  </si>
  <si>
    <t>Disjuntor 3P - 400A</t>
  </si>
  <si>
    <t xml:space="preserve"> 16.2.5 </t>
  </si>
  <si>
    <t xml:space="preserve"> 170897 </t>
  </si>
  <si>
    <t>Disjuntor TQD 3P - 175A - PADRÃO DIN</t>
  </si>
  <si>
    <t xml:space="preserve"> 16.3 </t>
  </si>
  <si>
    <t>ELETRODUTOS,CONDULETES E CALHAS:</t>
  </si>
  <si>
    <t xml:space="preserve"> 16.3.1 </t>
  </si>
  <si>
    <t xml:space="preserve"> 170926 </t>
  </si>
  <si>
    <t>Eletrocalha de metal curve "T"  tipo "U" perf. 100 - 3m</t>
  </si>
  <si>
    <t xml:space="preserve"> 16.3.2 </t>
  </si>
  <si>
    <t xml:space="preserve"> 170930 </t>
  </si>
  <si>
    <t>Eletrocalha de metal curve "U"perf. 50x100  - 3m</t>
  </si>
  <si>
    <t xml:space="preserve"> 16.3.3 </t>
  </si>
  <si>
    <t xml:space="preserve"> 170932 </t>
  </si>
  <si>
    <t>Eletroduto de F°G° de 4"</t>
  </si>
  <si>
    <t xml:space="preserve"> 16.3.4 </t>
  </si>
  <si>
    <t xml:space="preserve"> 170727 </t>
  </si>
  <si>
    <t>Eletroduto PVC Rígido de 4"</t>
  </si>
  <si>
    <t xml:space="preserve"> 16.4 </t>
  </si>
  <si>
    <t>CABOS:</t>
  </si>
  <si>
    <t xml:space="preserve"> 16.4.1 </t>
  </si>
  <si>
    <t xml:space="preserve"> 170947 </t>
  </si>
  <si>
    <t>Cabo coaxial 75 Homs 200 Mhz (TV)</t>
  </si>
  <si>
    <t xml:space="preserve"> 16.4.2 </t>
  </si>
  <si>
    <t xml:space="preserve"> 170742 </t>
  </si>
  <si>
    <t>Cabo de cobre   1,5mm2 - 1 KV</t>
  </si>
  <si>
    <t xml:space="preserve"> 16.4.3 </t>
  </si>
  <si>
    <t xml:space="preserve"> 170743 </t>
  </si>
  <si>
    <t>Cabo de cobre   2,5mm2 - 1 KV</t>
  </si>
  <si>
    <t xml:space="preserve"> 16.4.4 </t>
  </si>
  <si>
    <t xml:space="preserve"> 170744 </t>
  </si>
  <si>
    <t>Cabo de cobre   4mm2 - 1 KV</t>
  </si>
  <si>
    <t xml:space="preserve"> 16.4.5 </t>
  </si>
  <si>
    <t xml:space="preserve"> 170745 </t>
  </si>
  <si>
    <t>Cabo de cobre   6mm2 - 1  KV</t>
  </si>
  <si>
    <t xml:space="preserve"> 16.4.6 </t>
  </si>
  <si>
    <t xml:space="preserve"> 170319 </t>
  </si>
  <si>
    <t>Cabo de cobre  10mm2 - 750 V</t>
  </si>
  <si>
    <t xml:space="preserve"> 16.4.7 </t>
  </si>
  <si>
    <t xml:space="preserve"> 170320 </t>
  </si>
  <si>
    <t>Cabo de cobre  16mm2 - 750 V</t>
  </si>
  <si>
    <t xml:space="preserve"> 16.4.8 </t>
  </si>
  <si>
    <t xml:space="preserve"> 170749 </t>
  </si>
  <si>
    <t>Cabo de cobre  35mm2 - 1 KV</t>
  </si>
  <si>
    <t xml:space="preserve"> 16.4.9 </t>
  </si>
  <si>
    <t xml:space="preserve"> 170750 </t>
  </si>
  <si>
    <t>Cabo de cobre  50mm2 - 1 KV</t>
  </si>
  <si>
    <t xml:space="preserve"> 16.4.10 </t>
  </si>
  <si>
    <t xml:space="preserve"> 171271 </t>
  </si>
  <si>
    <t>Cabo de cobre nú 25mm²</t>
  </si>
  <si>
    <t xml:space="preserve"> 16.4.11 </t>
  </si>
  <si>
    <t xml:space="preserve"> 171272 </t>
  </si>
  <si>
    <t>Cabo de cobre nú 35mm²</t>
  </si>
  <si>
    <t xml:space="preserve"> 16.4.12 </t>
  </si>
  <si>
    <t xml:space="preserve"> 171273 </t>
  </si>
  <si>
    <t>Cabo de cobre nú 50mm²</t>
  </si>
  <si>
    <t xml:space="preserve"> 16.5 </t>
  </si>
  <si>
    <t>PONTOS, TOMADAS E INTERRUPTORES:</t>
  </si>
  <si>
    <t xml:space="preserve"> 16.5.1 </t>
  </si>
  <si>
    <t xml:space="preserve"> 170332 </t>
  </si>
  <si>
    <t>Interruptor 1 tecla simples (s/fiaçao)</t>
  </si>
  <si>
    <t xml:space="preserve"> 16.5.2 </t>
  </si>
  <si>
    <t xml:space="preserve"> 170336 </t>
  </si>
  <si>
    <t>Interruptor 2 teclas paralelo (s/fiaçao)</t>
  </si>
  <si>
    <t xml:space="preserve"> 16.5.3 </t>
  </si>
  <si>
    <t xml:space="preserve"> 170338 </t>
  </si>
  <si>
    <t>Interruptor 3 teclas simples (s/fiaçao)</t>
  </si>
  <si>
    <t xml:space="preserve"> 16.5.4 </t>
  </si>
  <si>
    <t xml:space="preserve"> 170701 </t>
  </si>
  <si>
    <t>Ponto de força (tubul., fiaçao e disjuntor) acima de 200W</t>
  </si>
  <si>
    <t xml:space="preserve"> 16.5.5 </t>
  </si>
  <si>
    <t xml:space="preserve"> 170081 </t>
  </si>
  <si>
    <t>Ponto de luz / força (c/tubul., cx. e fiaçao) ate 200W</t>
  </si>
  <si>
    <t xml:space="preserve"> 16.5.6 </t>
  </si>
  <si>
    <t xml:space="preserve"> 170339 </t>
  </si>
  <si>
    <t>Tomada 2P+T 10A (s/fiaçao)</t>
  </si>
  <si>
    <t xml:space="preserve"> 16.5.7 </t>
  </si>
  <si>
    <t xml:space="preserve"> 171523 </t>
  </si>
  <si>
    <t>Tomada 2P+T 20A (s/fiaçao)</t>
  </si>
  <si>
    <t xml:space="preserve"> 16.5.8 </t>
  </si>
  <si>
    <t xml:space="preserve"> 170955 </t>
  </si>
  <si>
    <t>Tomada 3P+T 63A/220V</t>
  </si>
  <si>
    <t xml:space="preserve"> 16.5.9 </t>
  </si>
  <si>
    <t xml:space="preserve"> 171522 </t>
  </si>
  <si>
    <t>Tomadas 2 (2P+T) 10A (s/fiação)</t>
  </si>
  <si>
    <t xml:space="preserve"> 16.5.10 </t>
  </si>
  <si>
    <t xml:space="preserve"> 171520 </t>
  </si>
  <si>
    <t>Tomadas 2 (2P+T) 20A (s/fiação)</t>
  </si>
  <si>
    <t xml:space="preserve"> 16.6 </t>
  </si>
  <si>
    <t>LUMINÁRIAS:</t>
  </si>
  <si>
    <t xml:space="preserve"> 16.6.1 </t>
  </si>
  <si>
    <t xml:space="preserve"> 171528 </t>
  </si>
  <si>
    <t>Lâmpada de Led Tubular 18W bivolt</t>
  </si>
  <si>
    <t xml:space="preserve"> 16.6.2 </t>
  </si>
  <si>
    <t xml:space="preserve"> 170978 </t>
  </si>
  <si>
    <t>Luminária  c/ lâmp de emergência</t>
  </si>
  <si>
    <t xml:space="preserve"> 16.6.3 </t>
  </si>
  <si>
    <t xml:space="preserve"> 170983 </t>
  </si>
  <si>
    <t>Luminária  tipo arandela- casco de tartaruga</t>
  </si>
  <si>
    <t xml:space="preserve"> 16.6.4 </t>
  </si>
  <si>
    <t xml:space="preserve"> 13148 </t>
  </si>
  <si>
    <t>Refletor Slim  LED 100W de potência, branco Frio, 6500k, Autovolt, marca G-light ou similar</t>
  </si>
  <si>
    <t xml:space="preserve"> 16.6.5 </t>
  </si>
  <si>
    <t xml:space="preserve"> 12577 </t>
  </si>
  <si>
    <t>Refletor Slim LED 150W de potência, branco Frio, 6500k, Autovolt, marca G-light ou similar - Rev 01</t>
  </si>
  <si>
    <t xml:space="preserve"> 16.7 </t>
  </si>
  <si>
    <t>ALIMENTAÇÃO, MEDIÇÃO, PROTEÇÃO E MOTORES:</t>
  </si>
  <si>
    <t xml:space="preserve"> 16.7.1 </t>
  </si>
  <si>
    <t xml:space="preserve"> 16.8 </t>
  </si>
  <si>
    <t>ACESSÓRIOS E CONEXÕES (I)</t>
  </si>
  <si>
    <t xml:space="preserve"> 16.8.1 </t>
  </si>
  <si>
    <t xml:space="preserve"> 171265 </t>
  </si>
  <si>
    <t>Curva  90° p/ elet. F°G° 4" (IE)</t>
  </si>
  <si>
    <t xml:space="preserve"> 16.8.2 </t>
  </si>
  <si>
    <t xml:space="preserve"> 171046 </t>
  </si>
  <si>
    <t>Luva p/ elet. F°G° de 4" (IE)</t>
  </si>
  <si>
    <t xml:space="preserve"> 16.8.3 </t>
  </si>
  <si>
    <t xml:space="preserve"> 171075 </t>
  </si>
  <si>
    <t>Terminal de compressão em latão  50mm²</t>
  </si>
  <si>
    <t xml:space="preserve"> 16.9 </t>
  </si>
  <si>
    <t>ACESSÓRIOS E CONEXÕES (II)</t>
  </si>
  <si>
    <t xml:space="preserve"> 16.9.1 </t>
  </si>
  <si>
    <t xml:space="preserve"> 171140 </t>
  </si>
  <si>
    <t>Armação secundária pesada 3/16" de 3x3</t>
  </si>
  <si>
    <t xml:space="preserve"> 16.9.2 </t>
  </si>
  <si>
    <t xml:space="preserve"> 171143 </t>
  </si>
  <si>
    <t>Base para mastro 1 1/2"</t>
  </si>
  <si>
    <t xml:space="preserve"> 16.9.3 </t>
  </si>
  <si>
    <t xml:space="preserve"> 171147 </t>
  </si>
  <si>
    <t>Braçadeira tipo cunha c/ parafuso</t>
  </si>
  <si>
    <t xml:space="preserve"> 16.9.4 </t>
  </si>
  <si>
    <t xml:space="preserve"> 171305 </t>
  </si>
  <si>
    <t>Bucha e arruela de alumínio de   1 1/4"</t>
  </si>
  <si>
    <t xml:space="preserve"> 16.9.5 </t>
  </si>
  <si>
    <t xml:space="preserve"> 171152 </t>
  </si>
  <si>
    <t>Cinta de poste circular 150 mm</t>
  </si>
  <si>
    <t xml:space="preserve"> 16.9.6 </t>
  </si>
  <si>
    <t xml:space="preserve"> 171165 </t>
  </si>
  <si>
    <t>Haste de Aço cobreada 5/8"x3,0m c/ conector</t>
  </si>
  <si>
    <t xml:space="preserve"> 16.9.7 </t>
  </si>
  <si>
    <t xml:space="preserve"> 171173 </t>
  </si>
  <si>
    <t>Isolador pilar porcelana 15KV</t>
  </si>
  <si>
    <t xml:space="preserve"> 16.9.8 </t>
  </si>
  <si>
    <t xml:space="preserve"> 171342 </t>
  </si>
  <si>
    <t>Luva p/ elet. FºGº de 3" (IE)</t>
  </si>
  <si>
    <t xml:space="preserve"> 16.9.9 </t>
  </si>
  <si>
    <t xml:space="preserve"> 171413 </t>
  </si>
  <si>
    <t>Unidut múltiplo Ø 1"</t>
  </si>
  <si>
    <t xml:space="preserve"> 17 </t>
  </si>
  <si>
    <t>INSTALAÇÕES TELEFÔNICAS E LÓGICA:</t>
  </si>
  <si>
    <t xml:space="preserve"> 17.1 </t>
  </si>
  <si>
    <t xml:space="preserve"> 17.1.1 </t>
  </si>
  <si>
    <t xml:space="preserve"> 211208 </t>
  </si>
  <si>
    <t>Cabo telefônico CCI 50x4P</t>
  </si>
  <si>
    <t xml:space="preserve"> 17.2 </t>
  </si>
  <si>
    <t>PONTOS:</t>
  </si>
  <si>
    <t xml:space="preserve"> 17.2.1 </t>
  </si>
  <si>
    <t xml:space="preserve"> 170690 </t>
  </si>
  <si>
    <t>Ponto de logica - UTP (c/ instalaçao aparente)</t>
  </si>
  <si>
    <t xml:space="preserve"> 17.3 </t>
  </si>
  <si>
    <t>TOMADAS:</t>
  </si>
  <si>
    <t xml:space="preserve"> 17.3.1 </t>
  </si>
  <si>
    <t xml:space="preserve"> 171184 </t>
  </si>
  <si>
    <t>Tampa espelho p/ RJ-45 de 02 saídas</t>
  </si>
  <si>
    <t xml:space="preserve"> 17.3.2 </t>
  </si>
  <si>
    <t xml:space="preserve"> 171182 </t>
  </si>
  <si>
    <t>Tomada femea RJ-45 completa</t>
  </si>
  <si>
    <t xml:space="preserve"> 17.4 </t>
  </si>
  <si>
    <t>ACESSÓRIOS:</t>
  </si>
  <si>
    <t xml:space="preserve"> 17.4.1 </t>
  </si>
  <si>
    <t xml:space="preserve"> 171191 </t>
  </si>
  <si>
    <t>Patch panel 24 portas cat 5e</t>
  </si>
  <si>
    <t xml:space="preserve"> 17.4.2 </t>
  </si>
  <si>
    <t xml:space="preserve"> 171185 </t>
  </si>
  <si>
    <t>Switch 24 portas</t>
  </si>
  <si>
    <t xml:space="preserve"> 18 </t>
  </si>
  <si>
    <t>INSTALAÇÕES DE AR CONDICIONADO:</t>
  </si>
  <si>
    <t xml:space="preserve"> 18.1 </t>
  </si>
  <si>
    <t>PONTOS</t>
  </si>
  <si>
    <t xml:space="preserve"> 18.1.1 </t>
  </si>
  <si>
    <t xml:space="preserve"> 231084 </t>
  </si>
  <si>
    <t>Ponto de dreno p/ split (10m)</t>
  </si>
  <si>
    <t xml:space="preserve"> 19 </t>
  </si>
  <si>
    <t>INSTALAÇÕES HIDR0SSANITÁRIAS:</t>
  </si>
  <si>
    <t xml:space="preserve"> 19.1 </t>
  </si>
  <si>
    <t>AGUA FRIA: TUBOS,VÁLVULAS E REGISTROS</t>
  </si>
  <si>
    <t xml:space="preserve"> 19.1.1 </t>
  </si>
  <si>
    <t xml:space="preserve"> 180299 </t>
  </si>
  <si>
    <t>Ponto de agua (incl. tubos e conexoes)</t>
  </si>
  <si>
    <t xml:space="preserve"> 19.1.2 </t>
  </si>
  <si>
    <t xml:space="preserve"> 180441 </t>
  </si>
  <si>
    <t>Registro de gaveta c/ canopla -   3/4"</t>
  </si>
  <si>
    <t xml:space="preserve"> 19.1.3 </t>
  </si>
  <si>
    <t xml:space="preserve"> 180836 </t>
  </si>
  <si>
    <t>Reservatório em polietileno de 1.500 L</t>
  </si>
  <si>
    <t xml:space="preserve"> 19.2 </t>
  </si>
  <si>
    <t>ESGOTO: TUBOS,FOSSAS,SUMIDOUROS E CAIXAS</t>
  </si>
  <si>
    <t xml:space="preserve"> 19.2.1 </t>
  </si>
  <si>
    <t xml:space="preserve"> 181295 </t>
  </si>
  <si>
    <t>Caixa de passagem em PVC d=300mm</t>
  </si>
  <si>
    <t xml:space="preserve"> 19.2.2 </t>
  </si>
  <si>
    <t>Caixa em alvenaria de  40x40x40cm c/ tpo. concreto</t>
  </si>
  <si>
    <t xml:space="preserve"> 19.2.3 </t>
  </si>
  <si>
    <t xml:space="preserve"> 180687 </t>
  </si>
  <si>
    <t>Caixa em alvenaria de 100x100x100cm c/ tpo. concreto</t>
  </si>
  <si>
    <t xml:space="preserve"> 19.2.4 </t>
  </si>
  <si>
    <t xml:space="preserve"> 180417 </t>
  </si>
  <si>
    <t>Filtro anaerobico conc.arm. d=1.4m p=1.8m</t>
  </si>
  <si>
    <t xml:space="preserve"> 19.2.5 </t>
  </si>
  <si>
    <t xml:space="preserve"> 180549 </t>
  </si>
  <si>
    <t>Fossa septica em concreto armado - cap=100 pessoas</t>
  </si>
  <si>
    <t xml:space="preserve"> 19.2.6 </t>
  </si>
  <si>
    <t xml:space="preserve"> 180214 </t>
  </si>
  <si>
    <t>Ponto de esgoto (incl. tubos, conexoes,cx. e ralos)</t>
  </si>
  <si>
    <t xml:space="preserve"> 19.2.7 </t>
  </si>
  <si>
    <t xml:space="preserve"> 180845 </t>
  </si>
  <si>
    <t>Revisão de ponto de esgoto</t>
  </si>
  <si>
    <t xml:space="preserve"> 19.2.8 </t>
  </si>
  <si>
    <t xml:space="preserve"> 180542 </t>
  </si>
  <si>
    <t>Sumidouro em alvenaria c/ tpo.em concreto - cap= 75 pessoas</t>
  </si>
  <si>
    <t xml:space="preserve"> 19.3 </t>
  </si>
  <si>
    <t>AGUAS PLUVIAIS:</t>
  </si>
  <si>
    <t xml:space="preserve"> 19.3.1 </t>
  </si>
  <si>
    <t xml:space="preserve"> 180520 </t>
  </si>
  <si>
    <t>Canaleta em concreto simples (0,40x0,30m)</t>
  </si>
  <si>
    <t xml:space="preserve"> 19.3.2 </t>
  </si>
  <si>
    <t xml:space="preserve"> 180315 </t>
  </si>
  <si>
    <t>Condutor em PVC rigido soldavel 150mm</t>
  </si>
  <si>
    <t xml:space="preserve"> 19.4 </t>
  </si>
  <si>
    <t>BOMBAS</t>
  </si>
  <si>
    <t xml:space="preserve"> 19.4.1 </t>
  </si>
  <si>
    <t xml:space="preserve"> 181477 </t>
  </si>
  <si>
    <t>Bomba Submersa 2 CV (sem tubulação)</t>
  </si>
  <si>
    <t xml:space="preserve"> 20 </t>
  </si>
  <si>
    <t>INSTALAÇÕES DE PROTEÇÃO/COMBATE A INCÊNDIO:</t>
  </si>
  <si>
    <t xml:space="preserve"> 20.1 </t>
  </si>
  <si>
    <t xml:space="preserve"> 201507 </t>
  </si>
  <si>
    <t>Extintor de incêndio ABC -  6Kg</t>
  </si>
  <si>
    <t xml:space="preserve"> 21 </t>
  </si>
  <si>
    <t>APARELHOS, LOUÇAS, METAIS E ACESSÓRIOS SANITÁRIOS:</t>
  </si>
  <si>
    <t xml:space="preserve"> 21.1 </t>
  </si>
  <si>
    <t xml:space="preserve"> 191522 </t>
  </si>
  <si>
    <t>Acabamento p/ registro de gaveta</t>
  </si>
  <si>
    <t xml:space="preserve"> 21.2 </t>
  </si>
  <si>
    <t xml:space="preserve"> 190303 </t>
  </si>
  <si>
    <t>Bacia sifonada  - PCD</t>
  </si>
  <si>
    <t xml:space="preserve"> 21.3 </t>
  </si>
  <si>
    <t xml:space="preserve"> 190609 </t>
  </si>
  <si>
    <t>Bacia sifonada c/cx. descarga acoplada c/ assento</t>
  </si>
  <si>
    <t xml:space="preserve"> 21.4 </t>
  </si>
  <si>
    <t xml:space="preserve"> 190716 </t>
  </si>
  <si>
    <t>Barra em aço inox (PCD)</t>
  </si>
  <si>
    <t xml:space="preserve"> 21.5 </t>
  </si>
  <si>
    <t xml:space="preserve"> 190787 </t>
  </si>
  <si>
    <t>Cuba de louça de embutir</t>
  </si>
  <si>
    <t xml:space="preserve"> 21.6 </t>
  </si>
  <si>
    <t xml:space="preserve"> 190691 </t>
  </si>
  <si>
    <t>Ducha higienica cromada</t>
  </si>
  <si>
    <t xml:space="preserve"> 21.7 </t>
  </si>
  <si>
    <t xml:space="preserve"> 190791 </t>
  </si>
  <si>
    <t>Engate flexível cromado 40cm</t>
  </si>
  <si>
    <t xml:space="preserve"> 21.8 </t>
  </si>
  <si>
    <t xml:space="preserve"> 190101 </t>
  </si>
  <si>
    <t>Pia 02 cubas em aço inox.c/torn.,sifoes e valv.(2.0m)</t>
  </si>
  <si>
    <t xml:space="preserve"> 21.9 </t>
  </si>
  <si>
    <t xml:space="preserve"> 190797 </t>
  </si>
  <si>
    <t>Porta papel higiênico - Polipropileno</t>
  </si>
  <si>
    <t xml:space="preserve"> 21.10 </t>
  </si>
  <si>
    <t xml:space="preserve"> 190794 </t>
  </si>
  <si>
    <t>Saboneteira c/ reservatório - Polipropileno</t>
  </si>
  <si>
    <t xml:space="preserve"> 21.11 </t>
  </si>
  <si>
    <t xml:space="preserve"> 190851 </t>
  </si>
  <si>
    <t>Sifão metálico para pia inox 2"</t>
  </si>
  <si>
    <t xml:space="preserve"> 21.12 </t>
  </si>
  <si>
    <t xml:space="preserve"> 191374 </t>
  </si>
  <si>
    <t>Sifão plástico flexível</t>
  </si>
  <si>
    <t xml:space="preserve"> 21.13 </t>
  </si>
  <si>
    <t xml:space="preserve"> 190085 </t>
  </si>
  <si>
    <t>Tanque de louça c/ torneira, sifao e valvula</t>
  </si>
  <si>
    <t xml:space="preserve"> 21.14 </t>
  </si>
  <si>
    <t xml:space="preserve"> 191515 </t>
  </si>
  <si>
    <t>Torneira com alavanca</t>
  </si>
  <si>
    <t xml:space="preserve"> 21.15 </t>
  </si>
  <si>
    <t xml:space="preserve"> 190097 </t>
  </si>
  <si>
    <t>Torneira cromada de 1/2" p/ jardim</t>
  </si>
  <si>
    <t xml:space="preserve"> 21.16 </t>
  </si>
  <si>
    <t xml:space="preserve"> 191517 </t>
  </si>
  <si>
    <t>Torneira de metal cromada de 1/2" ou 3/4" p/ lavatório</t>
  </si>
  <si>
    <t xml:space="preserve"> 22 </t>
  </si>
  <si>
    <t>SERRALHERIA:</t>
  </si>
  <si>
    <t xml:space="preserve"> 22.1 </t>
  </si>
  <si>
    <t xml:space="preserve"> 12385 </t>
  </si>
  <si>
    <t>Guarda-corpo h = 1,10m e Corrimão em Aço Inox, barras superiores alt=0,92m e 0,70m e barra inferior, diam= 1.1/2" r, barras verticais d=3/4" a cada 0,11m, curvas de aço inox. - Escada</t>
  </si>
  <si>
    <t xml:space="preserve"> 22.2 </t>
  </si>
  <si>
    <t xml:space="preserve"> C0018 </t>
  </si>
  <si>
    <t>Próprio</t>
  </si>
  <si>
    <t>Placa de inauguração metálica 0,47x0,57m</t>
  </si>
  <si>
    <t>UND</t>
  </si>
  <si>
    <t xml:space="preserve"> 23 </t>
  </si>
  <si>
    <t>ELEMENTOS DE ESCOLA:</t>
  </si>
  <si>
    <t xml:space="preserve"> 23.1 </t>
  </si>
  <si>
    <t xml:space="preserve"> 250523 </t>
  </si>
  <si>
    <t>Prateleiras em mad. de lei (l= 0,3m; e= 3cm)</t>
  </si>
  <si>
    <t xml:space="preserve"> 23.2 </t>
  </si>
  <si>
    <t xml:space="preserve"> 251520 </t>
  </si>
  <si>
    <t>Quadro magnético branco c/ apoio para apagador e pincéis e moldura em alumínio</t>
  </si>
  <si>
    <t xml:space="preserve"> 24 </t>
  </si>
  <si>
    <t>ELEMENTOS DELEGACIAS/PENITENCIÁRIAS:</t>
  </si>
  <si>
    <t xml:space="preserve"> 24.1 </t>
  </si>
  <si>
    <t xml:space="preserve"> 250643 </t>
  </si>
  <si>
    <t>Concertina galvanizada / inox 304</t>
  </si>
  <si>
    <t xml:space="preserve"> 25 </t>
  </si>
  <si>
    <t>OUTROS ELEMENTOS</t>
  </si>
  <si>
    <t xml:space="preserve"> 25.1 </t>
  </si>
  <si>
    <t xml:space="preserve"> 250109 </t>
  </si>
  <si>
    <t>Espelho de cristal (0,40x0,60m) com moldura em alumínio</t>
  </si>
  <si>
    <t xml:space="preserve"> 25.2 </t>
  </si>
  <si>
    <t xml:space="preserve"> 251510 </t>
  </si>
  <si>
    <t>Lixeira em tela moeda</t>
  </si>
  <si>
    <t xml:space="preserve"> 25.3 </t>
  </si>
  <si>
    <t xml:space="preserve"> 080042 </t>
  </si>
  <si>
    <t>ELEVADOR DEFICIENTE FISICO - PERCURSO 9 M - 4 PARADAS 8 PASS</t>
  </si>
  <si>
    <t>PAR</t>
  </si>
  <si>
    <t xml:space="preserve"> 25.4 </t>
  </si>
  <si>
    <t xml:space="preserve"> 070705 </t>
  </si>
  <si>
    <t>COIFA ACO INOXIDAVEL 1200 x 1200 # 20 CLASSE 304</t>
  </si>
  <si>
    <t xml:space="preserve"> 26 </t>
  </si>
  <si>
    <t>URBANIZAÇÃO:</t>
  </si>
  <si>
    <t xml:space="preserve"> 26.1 </t>
  </si>
  <si>
    <t xml:space="preserve"> 260188 </t>
  </si>
  <si>
    <t>Mastro em fo.go. sobre base de concreto-3 un(det.22)</t>
  </si>
  <si>
    <t xml:space="preserve"> 26.2 </t>
  </si>
  <si>
    <t xml:space="preserve"> 260168 </t>
  </si>
  <si>
    <t>Plantio de grama (incl. terra preta)</t>
  </si>
  <si>
    <t>Total Geral</t>
  </si>
  <si>
    <t>PREFEITURA MUNICIPAL DE ANANINDEUA - PMA</t>
  </si>
  <si>
    <t>SECRETARIA MUNICIPAL DE SANEAMENTO E INFRA ESTRUTURA - SESAN</t>
  </si>
  <si>
    <t>ANANINDEUA - PA</t>
  </si>
  <si>
    <t>OBRA: EMEF SANTA MARGARIDA</t>
  </si>
  <si>
    <t>Cronograma Físico e Financeiro</t>
  </si>
  <si>
    <t>Total Por Etapa</t>
  </si>
  <si>
    <t/>
  </si>
  <si>
    <t>Porcentagem</t>
  </si>
  <si>
    <t>Custo</t>
  </si>
  <si>
    <t>Porcentagem Acumulado</t>
  </si>
  <si>
    <t>100,0%</t>
  </si>
  <si>
    <t>Custo Acumulado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</si>
  <si>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</si>
  <si>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</si>
  <si>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</si>
  <si>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</si>
  <si>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</si>
  <si>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</si>
  <si>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</si>
  <si>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</si>
  <si>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</si>
  <si>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</si>
  <si>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Composições Analíticas com Preço Unitário</t>
  </si>
  <si>
    <t>Composições Principais</t>
  </si>
  <si>
    <t>Tipo</t>
  </si>
  <si>
    <t>Composição</t>
  </si>
  <si>
    <t>MO sem LS =&gt;</t>
  </si>
  <si>
    <t>LS =&gt;</t>
  </si>
  <si>
    <t>MO com LS =&gt;</t>
  </si>
  <si>
    <t>Valor do BDI =&gt;</t>
  </si>
  <si>
    <t>Valor com BDI =&gt;</t>
  </si>
  <si>
    <t>SEDI - SERVIÇOS DIVERSOS</t>
  </si>
  <si>
    <t>Composição Auxiliar</t>
  </si>
  <si>
    <t xml:space="preserve"> 241318 </t>
  </si>
  <si>
    <t>Placa de inauguração  em aço inox/letras bx. relevo- (40 x 30cm)</t>
  </si>
  <si>
    <t>PREFEITURA MUNICIPAL DE ANANINDEUA</t>
  </si>
  <si>
    <t>SECRETARIA MUNICIPAL SANEAMENTO E INFRA ESTRUTURA - SESAN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</si>
  <si>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</si>
  <si>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</si>
  <si>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</si>
  <si>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</si>
  <si>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</si>
  <si>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</si>
  <si>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</si>
  <si>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</si>
  <si>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</si>
  <si>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</si>
  <si>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</si>
  <si>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</si>
  <si>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</si>
  <si>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</si>
  <si>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</si>
  <si>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</si>
  <si>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</si>
  <si>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</si>
  <si>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</si>
  <si>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</si>
  <si>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</si>
  <si>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</si>
  <si>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</si>
  <si>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</si>
  <si>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</si>
  <si>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</si>
  <si>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</si>
  <si>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</si>
  <si>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</si>
  <si>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</si>
  <si>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</si>
  <si>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</si>
  <si>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</si>
  <si>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</si>
  <si>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</si>
  <si>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</si>
  <si>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</si>
  <si>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</si>
  <si>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</si>
  <si>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</si>
  <si>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</si>
  <si>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</si>
  <si>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</si>
  <si>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</si>
  <si>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</si>
  <si>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</si>
  <si>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</si>
  <si>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</si>
  <si>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</si>
  <si>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</si>
  <si>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</si>
  <si>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</si>
  <si>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</si>
  <si>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</si>
  <si>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</si>
  <si>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</si>
  <si>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</si>
  <si>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</si>
  <si>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</si>
  <si>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</si>
  <si>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</si>
  <si>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</si>
  <si>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</si>
  <si>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</si>
  <si>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</si>
  <si>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</si>
  <si>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</si>
  <si>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</si>
  <si>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</si>
  <si>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</si>
  <si>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</si>
  <si>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</si>
  <si>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</si>
  <si>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</si>
  <si>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</si>
  <si>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</si>
  <si>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</si>
  <si>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</si>
  <si>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</si>
  <si>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</si>
  <si>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</si>
  <si>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</si>
  <si>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</si>
  <si>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</si>
  <si>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</si>
  <si>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</si>
  <si>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</si>
  <si>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</si>
  <si>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</si>
  <si>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</si>
  <si>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</si>
  <si>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</si>
  <si>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</si>
  <si>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</si>
  <si>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</si>
  <si>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</si>
  <si>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</si>
  <si>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</si>
  <si>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</si>
  <si>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</si>
  <si>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</si>
  <si>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</si>
  <si>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</si>
  <si>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</si>
  <si>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</si>
  <si>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</si>
  <si>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</si>
  <si>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</si>
  <si>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</si>
  <si>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</si>
  <si>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</si>
  <si>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</si>
  <si>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</si>
  <si>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</si>
  <si>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</si>
  <si>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</si>
  <si>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 xml:space="preserve"> 011329 </t>
  </si>
  <si>
    <t xml:space="preserve"> 011340 </t>
  </si>
  <si>
    <t xml:space="preserve"> 011350 </t>
  </si>
  <si>
    <t>TELHAMENTO:</t>
  </si>
  <si>
    <t>CALHAS / CUMEEIRAS:</t>
  </si>
  <si>
    <t>MADEIRA:</t>
  </si>
  <si>
    <t>FERRO:</t>
  </si>
  <si>
    <t xml:space="preserve"> 090822 </t>
  </si>
  <si>
    <t>OUTROS MATERIAIS:</t>
  </si>
  <si>
    <t xml:space="preserve"> 091380 </t>
  </si>
  <si>
    <t>P/ PORTAS:</t>
  </si>
  <si>
    <t xml:space="preserve"> 27 </t>
  </si>
  <si>
    <t>SERVIÇOS COMPLEMENTARES</t>
  </si>
  <si>
    <t xml:space="preserve"> 27.1 </t>
  </si>
  <si>
    <t xml:space="preserve"> 270220 </t>
  </si>
  <si>
    <t>Limpeza geral e entrega da obra</t>
  </si>
  <si>
    <t xml:space="preserve"> 11603 </t>
  </si>
  <si>
    <t>Conjunto de ferragens para porta interna em madeira, de abrir, para banheiro, uma folha, acabamento amarelo - colonial, padrão médio</t>
  </si>
  <si>
    <t>cj</t>
  </si>
  <si>
    <t xml:space="preserve"> 11595 </t>
  </si>
  <si>
    <t>Conjunto de ferragens para porta externa em madeira, de abrir, uma folha, acabamento aço inox, padrão médio</t>
  </si>
  <si>
    <t xml:space="preserve"> 11600 </t>
  </si>
  <si>
    <t>Conjunto de ferragens para porta interna em madeira, de abrir, uma folha, acabamento aço inox, padrão médio</t>
  </si>
  <si>
    <t xml:space="preserve"> 010767 </t>
  </si>
  <si>
    <t>Barracão de madeira (incl. instalações)</t>
  </si>
  <si>
    <t xml:space="preserve"> 1.6 </t>
  </si>
  <si>
    <t xml:space="preserve"> C0017 </t>
  </si>
  <si>
    <t>Licenças, taxas da obra e projetos executivo</t>
  </si>
  <si>
    <t>Cj</t>
  </si>
  <si>
    <t xml:space="preserve"> 110762 </t>
  </si>
  <si>
    <t>Emboço com argamassa 1:6:Adit. Plast.</t>
  </si>
  <si>
    <t xml:space="preserve"> 11.6 </t>
  </si>
  <si>
    <t xml:space="preserve"> 102492 </t>
  </si>
  <si>
    <t>PINTURA DE PISO COM TINTA ACRÍLICA, APLICAÇÃO MANUAL, 3 DEMÃOS, INCLUSO RESINA</t>
  </si>
  <si>
    <t xml:space="preserve"> 171417 </t>
  </si>
  <si>
    <t>Caixa plástica octogonal</t>
  </si>
  <si>
    <t xml:space="preserve"> 16.1.10 </t>
  </si>
  <si>
    <t xml:space="preserve"> 170694 </t>
  </si>
  <si>
    <t>Subestação aérea c/ transformador 112,5 KVA (incl.poste, acessorios e cabine de mediçao)</t>
  </si>
  <si>
    <t xml:space="preserve"> 19.3.3 </t>
  </si>
  <si>
    <t xml:space="preserve"> 057314 </t>
  </si>
  <si>
    <t>CAIXA CAPTACAO COM GRELHA FERRO FUNDIDO 30X30cm</t>
  </si>
  <si>
    <t xml:space="preserve"> 20.2 </t>
  </si>
  <si>
    <t xml:space="preserve"> 058110 </t>
  </si>
  <si>
    <t>CENTRAL DE ALARME DE INCENDIO INTELBRAS CIE 1125 ENDERECAVEL</t>
  </si>
  <si>
    <t>SERP - SERVIÇOS PRELIMINARES</t>
  </si>
  <si>
    <t>Insumo</t>
  </si>
  <si>
    <t xml:space="preserve"> INS-377002 </t>
  </si>
  <si>
    <t>LICENÇAS, TAXAS DA OBRA E PROJETO EXECUTIVO</t>
  </si>
  <si>
    <t>Serviços</t>
  </si>
  <si>
    <t>100,00%
40.443,52</t>
  </si>
  <si>
    <t>100,00%
131.583,73</t>
  </si>
  <si>
    <t>20,00%
26.316,75</t>
  </si>
  <si>
    <t>50,00%
65.791,87</t>
  </si>
  <si>
    <t>30,00%
39.475,12</t>
  </si>
  <si>
    <t>100,00%
457.912,09</t>
  </si>
  <si>
    <t>50,00%
228.956,05</t>
  </si>
  <si>
    <t>100,00%
9.195,26</t>
  </si>
  <si>
    <t>50,00%
4.597,63</t>
  </si>
  <si>
    <t>100,00%
24.297,39</t>
  </si>
  <si>
    <t>100,00%
80.390,56</t>
  </si>
  <si>
    <t>33,00%
26.528,88</t>
  </si>
  <si>
    <t>34,00%
27.332,79</t>
  </si>
  <si>
    <t>100,00%
6.297,85</t>
  </si>
  <si>
    <t>50,00%
3.148,93</t>
  </si>
  <si>
    <t>100,00%
7.477,44</t>
  </si>
  <si>
    <t>50,00%
3.738,72</t>
  </si>
  <si>
    <t>100,00%
53.614,66</t>
  </si>
  <si>
    <t>33,00%
17.692,84</t>
  </si>
  <si>
    <t>34,00%
18.228,98</t>
  </si>
  <si>
    <t>100,00%
66.907,00</t>
  </si>
  <si>
    <t>100,00%
30.972,30</t>
  </si>
  <si>
    <t>100,00%
15.966,80</t>
  </si>
  <si>
    <t>Obra</t>
  </si>
  <si>
    <t>B.D.I.</t>
  </si>
  <si>
    <t>Encargos Sociais</t>
  </si>
  <si>
    <t>22,88%</t>
  </si>
  <si>
    <t>Desonerado: 
Horista: 116,32%
Mensalista: 71,26%</t>
  </si>
  <si>
    <t>SINAPI - 09/2022 - Pará SBC - 11/2022 - Pará ORSE - 08/2022 - Sergipe SEDOP - 09/2022 - Pará</t>
  </si>
  <si>
    <t>Bancos:</t>
  </si>
  <si>
    <t>EMEF SANTA MARGARIDA</t>
  </si>
  <si>
    <t>100,00%
162.301,70</t>
  </si>
  <si>
    <t>100,00%
140.110,19</t>
  </si>
  <si>
    <t>100,00%
549.818,91</t>
  </si>
  <si>
    <t>50,00%
274.909,46</t>
  </si>
  <si>
    <t>100,00%
308.834,08</t>
  </si>
  <si>
    <t>25,00%
77.208,52</t>
  </si>
  <si>
    <t>100,00%
547.417,62</t>
  </si>
  <si>
    <t>20,00%
109.483,52</t>
  </si>
  <si>
    <t>100,00%
21.329,58</t>
  </si>
  <si>
    <t>50,00%
10.664,79</t>
  </si>
  <si>
    <t>14,54%</t>
  </si>
  <si>
    <t>7,43%</t>
  </si>
  <si>
    <t>2,66%</t>
  </si>
  <si>
    <t>7,2%</t>
  </si>
  <si>
    <t>17,3%</t>
  </si>
  <si>
    <t>16,6%</t>
  </si>
  <si>
    <t>8,94%</t>
  </si>
  <si>
    <t>10,33%</t>
  </si>
  <si>
    <t>6,63%</t>
  </si>
  <si>
    <t>8,37%</t>
  </si>
  <si>
    <t>21,97%</t>
  </si>
  <si>
    <t>24,63%</t>
  </si>
  <si>
    <t>31,83%</t>
  </si>
  <si>
    <t>49,13%</t>
  </si>
  <si>
    <t>65,73%</t>
  </si>
  <si>
    <t>74,67%</t>
  </si>
  <si>
    <t>85,0%</t>
  </si>
  <si>
    <t>91,63%</t>
  </si>
  <si>
    <t>100,00%
192.176,13</t>
  </si>
  <si>
    <t>20,00%
38.435,23</t>
  </si>
  <si>
    <t>40,00%
76.870,45</t>
  </si>
  <si>
    <t>100,00%
310.992,24</t>
  </si>
  <si>
    <t>50,00%
155.496,12</t>
  </si>
  <si>
    <t>100,00%
8.833,82</t>
  </si>
  <si>
    <t>100,00%
103.162,15</t>
  </si>
  <si>
    <t>33,00%
34.043,51</t>
  </si>
  <si>
    <t>33,00%
34.043,52</t>
  </si>
  <si>
    <t>34,00%
35.075,13</t>
  </si>
  <si>
    <t>100,00%
450.906,64</t>
  </si>
  <si>
    <t>17,00%
76.654,13</t>
  </si>
  <si>
    <t>17,00%
76.654,14</t>
  </si>
  <si>
    <t>17,00%
76.654,15</t>
  </si>
  <si>
    <t>17,00%
76.654,16</t>
  </si>
  <si>
    <t>16,00%
72.145,06</t>
  </si>
  <si>
    <t>100,00%
324.951,46</t>
  </si>
  <si>
    <t>15,00%
48.742,72</t>
  </si>
  <si>
    <t>15,00%
48.742,73</t>
  </si>
  <si>
    <t>14,00%
45.493,20</t>
  </si>
  <si>
    <t>14,00%
45.493,21</t>
  </si>
  <si>
    <t>14,00%
45.493,22</t>
  </si>
  <si>
    <t>14,00%
45.493,23</t>
  </si>
  <si>
    <t>14,00%
45.493,24</t>
  </si>
  <si>
    <t>100,00%
5.647,03</t>
  </si>
  <si>
    <t>100,00%
113.797,56</t>
  </si>
  <si>
    <t>50,00%
56.898,78</t>
  </si>
  <si>
    <t>100,00%
75.849,79</t>
  </si>
  <si>
    <t>33,00%
25.030,43</t>
  </si>
  <si>
    <t>33,00%
25.030,44</t>
  </si>
  <si>
    <t>34,00%
25.788,93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</si>
</sst>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</numFmts>
  <fonts count="27">
    <font>
      <sz val="11"/>
      <name val="Arial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b/>
      <sz val="11"/>
      <color theme="1"/>
      <name val="Calibri"/>
      <family val="2"/>
      <scheme val="minor"/>
    </font>
    <font>
      <sz val="10"/>
      <name val="Swis721 Lt BT"/>
      <family val="2"/>
    </font>
    <font>
      <b/>
      <sz val="12"/>
      <name val="Arial"/>
      <family val="2"/>
    </font>
    <font>
      <sz val="9"/>
      <color rgb="FF000000"/>
      <name val="Ari"/>
      <family val="2"/>
    </font>
    <font>
      <b/>
      <sz val="9"/>
      <color rgb="FFFFFFFF"/>
      <name val="Ari"/>
      <family val="2"/>
    </font>
    <font>
      <b/>
      <sz val="9"/>
      <color rgb="FF000000"/>
      <name val="Ari"/>
      <family val="2"/>
    </font>
    <font>
      <b/>
      <sz val="12"/>
      <color rgb="FF000000"/>
      <name val="Ari"/>
      <family val="2"/>
    </font>
    <font>
      <b/>
      <sz val="14"/>
      <color rgb="FF000000"/>
      <name val="Calibri"/>
      <family val="2"/>
    </font>
    <font>
      <b/>
      <sz val="14"/>
      <color rgb="FF333399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12"/>
      <name val="Ari"/>
      <family val="2"/>
    </font>
    <font>
      <sz val="9"/>
      <name val="Ari"/>
      <family val="2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8"/>
      <name val="Arial"/>
      <family val="1"/>
    </font>
  </fonts>
  <fills count="13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799847602844"/>
        <bgColor indexed="64"/>
      </patternFill>
    </fill>
  </fills>
  <borders count="93">
    <border>
      <left/>
      <right/>
      <top/>
      <bottom/>
      <diagonal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medium"/>
      <top style="thick">
        <color rgb="FF000000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ck">
        <color rgb="FFFF5500"/>
      </bottom>
    </border>
    <border>
      <left style="thin"/>
      <right style="thin"/>
      <top style="thin"/>
      <bottom style="thin">
        <color rgb="FFCCCCCC"/>
      </bottom>
    </border>
    <border>
      <left style="thin"/>
      <right style="thick"/>
      <top style="thin"/>
      <bottom style="thin">
        <color rgb="FFCCCCCC"/>
      </bottom>
    </border>
    <border>
      <left/>
      <right style="thin"/>
      <top/>
      <bottom style="thick">
        <color rgb="FFFF5500"/>
      </bottom>
    </border>
    <border>
      <left style="thin"/>
      <right style="thin"/>
      <top style="thin">
        <color rgb="FFCCCCCC"/>
      </top>
      <bottom style="thin">
        <color rgb="FFCCCCCC"/>
      </bottom>
    </border>
    <border>
      <left style="thin"/>
      <right style="thick"/>
      <top style="thin">
        <color rgb="FFCCCCCC"/>
      </top>
      <bottom style="thin">
        <color rgb="FFCCCCCC"/>
      </bottom>
    </border>
    <border>
      <left style="thin"/>
      <right style="thin"/>
      <top/>
      <bottom style="thick">
        <color rgb="FFFF5500"/>
      </bottom>
    </border>
    <border>
      <left/>
      <right style="thin"/>
      <top style="thin">
        <color rgb="FFCCCCCC"/>
      </top>
      <bottom style="thin">
        <color rgb="FFCCCCCC"/>
      </bottom>
    </border>
    <border>
      <left style="thin"/>
      <right style="thick"/>
      <top/>
      <bottom style="thick">
        <color rgb="FFFF5500"/>
      </bottom>
    </border>
    <border>
      <left style="thick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ck">
        <color rgb="FFFF5500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medium"/>
      <right style="thin"/>
      <top style="medium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43" fontId="2" fillId="0" borderId="0" applyFont="0" applyFill="0" applyBorder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/>
    <xf numFmtId="4" fontId="0" fillId="0" borderId="0" xfId="0" applyNumberFormat="1" applyAlignment="1">
      <alignment horizontal="center" vertical="center"/>
    </xf>
    <xf numFmtId="44" fontId="0" fillId="0" borderId="0" xfId="2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/>
    <xf numFmtId="0" fontId="12" fillId="0" borderId="13" xfId="0" applyFont="1" applyBorder="1"/>
    <xf numFmtId="0" fontId="12" fillId="0" borderId="14" xfId="0" applyFont="1" applyBorder="1"/>
    <xf numFmtId="2" fontId="1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17" xfId="0" applyFont="1" applyBorder="1"/>
    <xf numFmtId="0" fontId="12" fillId="0" borderId="18" xfId="0" applyFont="1" applyBorder="1"/>
    <xf numFmtId="0" fontId="12" fillId="0" borderId="19" xfId="0" applyFont="1" applyBorder="1"/>
    <xf numFmtId="2" fontId="10" fillId="0" borderId="20" xfId="0" applyNumberFormat="1" applyFont="1" applyBorder="1" applyAlignment="1">
      <alignment horizontal="center"/>
    </xf>
    <xf numFmtId="0" fontId="13" fillId="4" borderId="21" xfId="0" applyFont="1" applyFill="1" applyBorder="1"/>
    <xf numFmtId="0" fontId="13" fillId="4" borderId="22" xfId="0" applyFont="1" applyFill="1" applyBorder="1"/>
    <xf numFmtId="0" fontId="13" fillId="4" borderId="23" xfId="0" applyFont="1" applyFill="1" applyBorder="1"/>
    <xf numFmtId="2" fontId="13" fillId="4" borderId="24" xfId="0" applyNumberFormat="1" applyFont="1" applyFill="1" applyBorder="1" applyAlignment="1">
      <alignment horizontal="center"/>
    </xf>
    <xf numFmtId="0" fontId="12" fillId="0" borderId="25" xfId="0" applyFont="1" applyBorder="1"/>
    <xf numFmtId="0" fontId="12" fillId="0" borderId="16" xfId="0" applyFont="1" applyBorder="1" applyAlignment="1">
      <alignment horizontal="center"/>
    </xf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3" fillId="4" borderId="26" xfId="0" applyFont="1" applyFill="1" applyBorder="1"/>
    <xf numFmtId="0" fontId="13" fillId="4" borderId="18" xfId="0" applyFont="1" applyFill="1" applyBorder="1"/>
    <xf numFmtId="0" fontId="13" fillId="4" borderId="19" xfId="0" applyFont="1" applyFill="1" applyBorder="1"/>
    <xf numFmtId="2" fontId="13" fillId="4" borderId="20" xfId="0" applyNumberFormat="1" applyFont="1" applyFill="1" applyBorder="1" applyAlignment="1">
      <alignment horizontal="center"/>
    </xf>
    <xf numFmtId="0" fontId="10" fillId="0" borderId="26" xfId="0" applyFont="1" applyBorder="1"/>
    <xf numFmtId="0" fontId="10" fillId="0" borderId="20" xfId="0" applyFont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/>
    <xf numFmtId="2" fontId="12" fillId="4" borderId="16" xfId="0" applyNumberFormat="1" applyFont="1" applyFill="1" applyBorder="1" applyAlignment="1">
      <alignment horizontal="center"/>
    </xf>
    <xf numFmtId="0" fontId="12" fillId="4" borderId="17" xfId="0" applyFont="1" applyFill="1" applyBorder="1"/>
    <xf numFmtId="0" fontId="12" fillId="4" borderId="18" xfId="0" applyFont="1" applyFill="1" applyBorder="1"/>
    <xf numFmtId="0" fontId="12" fillId="4" borderId="19" xfId="0" applyFont="1" applyFill="1" applyBorder="1"/>
    <xf numFmtId="2" fontId="12" fillId="4" borderId="20" xfId="0" applyNumberFormat="1" applyFont="1" applyFill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0" xfId="0" applyFont="1"/>
    <xf numFmtId="43" fontId="14" fillId="0" borderId="31" xfId="24" applyFont="1" applyFill="1" applyBorder="1"/>
    <xf numFmtId="2" fontId="15" fillId="0" borderId="31" xfId="0" applyNumberFormat="1" applyFont="1" applyBorder="1"/>
    <xf numFmtId="0" fontId="16" fillId="5" borderId="30" xfId="0" applyFont="1" applyFill="1" applyBorder="1"/>
    <xf numFmtId="0" fontId="16" fillId="5" borderId="0" xfId="0" applyFont="1" applyFill="1"/>
    <xf numFmtId="0" fontId="17" fillId="5" borderId="0" xfId="0" applyFont="1" applyFill="1"/>
    <xf numFmtId="166" fontId="18" fillId="5" borderId="31" xfId="0" applyNumberFormat="1" applyFont="1" applyFill="1" applyBorder="1"/>
    <xf numFmtId="0" fontId="1" fillId="0" borderId="31" xfId="0" applyFont="1" applyBorder="1"/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2" fontId="12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/>
    <xf numFmtId="0" fontId="10" fillId="0" borderId="22" xfId="0" applyFont="1" applyBorder="1"/>
    <xf numFmtId="0" fontId="10" fillId="0" borderId="23" xfId="0" applyFont="1" applyBorder="1"/>
    <xf numFmtId="2" fontId="20" fillId="0" borderId="35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2" fillId="0" borderId="30" xfId="0" applyFont="1" applyBorder="1"/>
    <xf numFmtId="0" fontId="22" fillId="0" borderId="0" xfId="0" applyFont="1"/>
    <xf numFmtId="10" fontId="22" fillId="0" borderId="0" xfId="25" applyNumberFormat="1" applyFont="1" applyFill="1" applyBorder="1"/>
    <xf numFmtId="0" fontId="23" fillId="0" borderId="0" xfId="0" applyFont="1"/>
    <xf numFmtId="10" fontId="23" fillId="0" borderId="31" xfId="25" applyNumberFormat="1" applyFont="1" applyFill="1" applyBorder="1"/>
    <xf numFmtId="10" fontId="24" fillId="0" borderId="0" xfId="0" applyNumberFormat="1" applyFont="1"/>
    <xf numFmtId="10" fontId="25" fillId="0" borderId="31" xfId="0" applyNumberFormat="1" applyFont="1" applyBorder="1"/>
    <xf numFmtId="0" fontId="23" fillId="0" borderId="31" xfId="0" applyFont="1" applyBorder="1"/>
    <xf numFmtId="0" fontId="24" fillId="6" borderId="26" xfId="0" applyFont="1" applyFill="1" applyBorder="1" applyAlignment="1">
      <alignment horizontal="right"/>
    </xf>
    <xf numFmtId="0" fontId="24" fillId="6" borderId="18" xfId="0" applyFont="1" applyFill="1" applyBorder="1"/>
    <xf numFmtId="10" fontId="24" fillId="6" borderId="19" xfId="0" applyNumberFormat="1" applyFont="1" applyFill="1" applyBorder="1"/>
    <xf numFmtId="0" fontId="25" fillId="0" borderId="17" xfId="0" applyFont="1" applyBorder="1"/>
    <xf numFmtId="0" fontId="25" fillId="0" borderId="18" xfId="0" applyFont="1" applyBorder="1"/>
    <xf numFmtId="10" fontId="25" fillId="0" borderId="40" xfId="0" applyNumberFormat="1" applyFont="1" applyBorder="1"/>
    <xf numFmtId="0" fontId="23" fillId="0" borderId="30" xfId="0" applyFont="1" applyBorder="1"/>
    <xf numFmtId="0" fontId="23" fillId="0" borderId="31" xfId="0" applyFont="1" applyBorder="1" applyAlignment="1">
      <alignment horizontal="right"/>
    </xf>
    <xf numFmtId="0" fontId="1" fillId="5" borderId="7" xfId="26" applyFill="1" applyBorder="1">
      <alignment/>
      <protection/>
    </xf>
    <xf numFmtId="0" fontId="1" fillId="5" borderId="8" xfId="26" applyFill="1" applyBorder="1">
      <alignment/>
      <protection/>
    </xf>
    <xf numFmtId="0" fontId="7" fillId="0" borderId="41" xfId="22" applyFont="1" applyBorder="1" applyAlignment="1">
      <alignment horizontal="center" vertical="center"/>
      <protection/>
    </xf>
    <xf numFmtId="0" fontId="1" fillId="0" borderId="41" xfId="22" applyBorder="1" applyAlignment="1">
      <alignment horizontal="center" vertical="center"/>
      <protection/>
    </xf>
    <xf numFmtId="0" fontId="1" fillId="0" borderId="41" xfId="22" applyBorder="1" applyAlignment="1">
      <alignment vertical="center"/>
      <protection/>
    </xf>
    <xf numFmtId="43" fontId="0" fillId="0" borderId="41" xfId="20" applyFont="1" applyBorder="1" applyAlignment="1">
      <alignment horizontal="center" vertical="center"/>
    </xf>
    <xf numFmtId="0" fontId="7" fillId="0" borderId="41" xfId="22" applyFont="1" applyBorder="1" applyAlignment="1">
      <alignment vertical="center"/>
      <protection/>
    </xf>
    <xf numFmtId="166" fontId="7" fillId="0" borderId="41" xfId="22" applyNumberFormat="1" applyFont="1" applyBorder="1" applyAlignment="1">
      <alignment horizontal="center" vertical="center"/>
      <protection/>
    </xf>
    <xf numFmtId="0" fontId="1" fillId="0" borderId="41" xfId="22" applyBorder="1" applyAlignment="1">
      <alignment vertical="center" wrapText="1"/>
      <protection/>
    </xf>
    <xf numFmtId="166" fontId="1" fillId="0" borderId="41" xfId="22" applyNumberFormat="1" applyBorder="1" applyAlignment="1">
      <alignment horizontal="center" vertical="center"/>
      <protection/>
    </xf>
    <xf numFmtId="166" fontId="7" fillId="7" borderId="41" xfId="22" applyNumberFormat="1" applyFont="1" applyFill="1" applyBorder="1" applyAlignment="1">
      <alignment horizontal="center" vertical="center"/>
      <protection/>
    </xf>
    <xf numFmtId="0" fontId="1" fillId="0" borderId="0" xfId="22" applyAlignment="1">
      <alignment vertical="center"/>
      <protection/>
    </xf>
    <xf numFmtId="0" fontId="1" fillId="0" borderId="0" xfId="22" applyAlignment="1">
      <alignment horizontal="center" vertical="center"/>
      <protection/>
    </xf>
    <xf numFmtId="0" fontId="3" fillId="2" borderId="4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right" vertical="top" wrapText="1"/>
    </xf>
    <xf numFmtId="0" fontId="6" fillId="2" borderId="42" xfId="0" applyFont="1" applyFill="1" applyBorder="1" applyAlignment="1">
      <alignment horizontal="center" vertical="top" wrapText="1"/>
    </xf>
    <xf numFmtId="0" fontId="6" fillId="2" borderId="42" xfId="0" applyFont="1" applyFill="1" applyBorder="1" applyAlignment="1">
      <alignment horizontal="right" vertical="top" wrapText="1"/>
    </xf>
    <xf numFmtId="4" fontId="6" fillId="2" borderId="42" xfId="0" applyNumberFormat="1" applyFont="1" applyFill="1" applyBorder="1" applyAlignment="1">
      <alignment horizontal="right" vertical="top" wrapText="1"/>
    </xf>
    <xf numFmtId="165" fontId="6" fillId="2" borderId="42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left" vertical="top" wrapText="1"/>
    </xf>
    <xf numFmtId="0" fontId="1" fillId="8" borderId="42" xfId="0" applyFont="1" applyFill="1" applyBorder="1" applyAlignment="1">
      <alignment horizontal="center" vertical="top" wrapText="1"/>
    </xf>
    <xf numFmtId="0" fontId="1" fillId="8" borderId="42" xfId="0" applyFont="1" applyFill="1" applyBorder="1" applyAlignment="1">
      <alignment horizontal="right" vertical="top" wrapText="1"/>
    </xf>
    <xf numFmtId="4" fontId="1" fillId="8" borderId="42" xfId="0" applyNumberFormat="1" applyFont="1" applyFill="1" applyBorder="1" applyAlignment="1">
      <alignment horizontal="right" vertical="top" wrapText="1"/>
    </xf>
    <xf numFmtId="165" fontId="1" fillId="8" borderId="42" xfId="0" applyNumberFormat="1" applyFont="1" applyFill="1" applyBorder="1" applyAlignment="1">
      <alignment horizontal="right" vertical="top" wrapText="1"/>
    </xf>
    <xf numFmtId="0" fontId="1" fillId="9" borderId="42" xfId="0" applyFont="1" applyFill="1" applyBorder="1" applyAlignment="1">
      <alignment horizontal="center" vertical="top" wrapText="1"/>
    </xf>
    <xf numFmtId="0" fontId="1" fillId="9" borderId="42" xfId="0" applyFont="1" applyFill="1" applyBorder="1" applyAlignment="1">
      <alignment horizontal="right" vertical="top" wrapText="1"/>
    </xf>
    <xf numFmtId="4" fontId="1" fillId="9" borderId="42" xfId="0" applyNumberFormat="1" applyFont="1" applyFill="1" applyBorder="1" applyAlignment="1">
      <alignment horizontal="right" vertical="top" wrapText="1"/>
    </xf>
    <xf numFmtId="165" fontId="1" fillId="9" borderId="42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top" wrapText="1"/>
    </xf>
    <xf numFmtId="0" fontId="3" fillId="2" borderId="42" xfId="0" applyFont="1" applyFill="1" applyBorder="1" applyAlignment="1">
      <alignment horizontal="left" vertical="top" wrapText="1"/>
    </xf>
    <xf numFmtId="0" fontId="6" fillId="2" borderId="42" xfId="0" applyFont="1" applyFill="1" applyBorder="1" applyAlignment="1">
      <alignment horizontal="left" vertical="top" wrapText="1"/>
    </xf>
    <xf numFmtId="0" fontId="1" fillId="8" borderId="42" xfId="0" applyFont="1" applyFill="1" applyBorder="1" applyAlignment="1">
      <alignment horizontal="left" vertical="top" wrapText="1"/>
    </xf>
    <xf numFmtId="0" fontId="1" fillId="9" borderId="42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center" vertical="center" wrapText="1"/>
    </xf>
    <xf numFmtId="44" fontId="3" fillId="2" borderId="2" xfId="2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164" fontId="6" fillId="2" borderId="24" xfId="0" applyNumberFormat="1" applyFont="1" applyFill="1" applyBorder="1" applyAlignment="1">
      <alignment horizontal="center" vertical="center" wrapText="1"/>
    </xf>
    <xf numFmtId="4" fontId="6" fillId="2" borderId="41" xfId="0" applyNumberFormat="1" applyFont="1" applyFill="1" applyBorder="1" applyAlignment="1">
      <alignment horizontal="center" vertical="center" wrapText="1"/>
    </xf>
    <xf numFmtId="4" fontId="6" fillId="2" borderId="44" xfId="0" applyNumberFormat="1" applyFont="1" applyFill="1" applyBorder="1" applyAlignment="1">
      <alignment horizontal="center" vertical="center" wrapText="1"/>
    </xf>
    <xf numFmtId="44" fontId="6" fillId="2" borderId="41" xfId="21" applyFont="1" applyFill="1" applyBorder="1" applyAlignment="1">
      <alignment horizontal="center" vertical="center" wrapText="1"/>
    </xf>
    <xf numFmtId="44" fontId="6" fillId="2" borderId="44" xfId="21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left" vertical="center" wrapText="1"/>
    </xf>
    <xf numFmtId="4" fontId="4" fillId="7" borderId="41" xfId="0" applyNumberFormat="1" applyFont="1" applyFill="1" applyBorder="1" applyAlignment="1">
      <alignment horizontal="center" vertical="center" wrapText="1"/>
    </xf>
    <xf numFmtId="44" fontId="4" fillId="7" borderId="41" xfId="21" applyFont="1" applyFill="1" applyBorder="1" applyAlignment="1">
      <alignment horizontal="center" vertical="center" wrapText="1"/>
    </xf>
    <xf numFmtId="164" fontId="4" fillId="7" borderId="20" xfId="0" applyNumberFormat="1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10" fontId="5" fillId="7" borderId="41" xfId="27" applyNumberFormat="1" applyFont="1" applyFill="1" applyBorder="1" applyAlignment="1">
      <alignment horizontal="center" vertical="center" wrapText="1"/>
    </xf>
    <xf numFmtId="0" fontId="4" fillId="10" borderId="47" xfId="0" applyFont="1" applyFill="1" applyBorder="1" applyAlignment="1">
      <alignment horizontal="center" vertical="center" wrapText="1"/>
    </xf>
    <xf numFmtId="0" fontId="4" fillId="10" borderId="41" xfId="0" applyFont="1" applyFill="1" applyBorder="1" applyAlignment="1">
      <alignment horizontal="left" vertical="center" wrapText="1"/>
    </xf>
    <xf numFmtId="0" fontId="6" fillId="10" borderId="48" xfId="0" applyFont="1" applyFill="1" applyBorder="1" applyAlignment="1">
      <alignment horizontal="center" vertical="center" wrapText="1"/>
    </xf>
    <xf numFmtId="0" fontId="4" fillId="10" borderId="49" xfId="0" applyFont="1" applyFill="1" applyBorder="1" applyAlignment="1">
      <alignment horizontal="center" vertical="center" wrapText="1"/>
    </xf>
    <xf numFmtId="0" fontId="4" fillId="10" borderId="50" xfId="0" applyFont="1" applyFill="1" applyBorder="1" applyAlignment="1">
      <alignment horizontal="center" vertical="center" wrapText="1"/>
    </xf>
    <xf numFmtId="0" fontId="6" fillId="10" borderId="51" xfId="0" applyFont="1" applyFill="1" applyBorder="1" applyAlignment="1">
      <alignment horizontal="center" vertical="center" wrapText="1"/>
    </xf>
    <xf numFmtId="0" fontId="4" fillId="10" borderId="52" xfId="0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4" fillId="10" borderId="55" xfId="0" applyFont="1" applyFill="1" applyBorder="1" applyAlignment="1">
      <alignment horizontal="center" vertical="center" wrapText="1"/>
    </xf>
    <xf numFmtId="0" fontId="6" fillId="10" borderId="56" xfId="0" applyFont="1" applyFill="1" applyBorder="1" applyAlignment="1">
      <alignment horizontal="center" vertical="center" wrapText="1"/>
    </xf>
    <xf numFmtId="0" fontId="4" fillId="10" borderId="57" xfId="0" applyFont="1" applyFill="1" applyBorder="1" applyAlignment="1">
      <alignment horizontal="center" vertical="center" wrapText="1"/>
    </xf>
    <xf numFmtId="0" fontId="4" fillId="10" borderId="45" xfId="0" applyFont="1" applyFill="1" applyBorder="1" applyAlignment="1">
      <alignment horizontal="left" vertical="center" wrapText="1"/>
    </xf>
    <xf numFmtId="0" fontId="4" fillId="10" borderId="58" xfId="0" applyFont="1" applyFill="1" applyBorder="1" applyAlignment="1">
      <alignment horizontal="center" vertical="center" wrapText="1"/>
    </xf>
    <xf numFmtId="0" fontId="4" fillId="10" borderId="59" xfId="0" applyFont="1" applyFill="1" applyBorder="1" applyAlignment="1">
      <alignment horizontal="center" vertical="center" wrapText="1"/>
    </xf>
    <xf numFmtId="0" fontId="6" fillId="10" borderId="59" xfId="0" applyFont="1" applyFill="1" applyBorder="1" applyAlignment="1">
      <alignment horizontal="center" vertical="center" wrapText="1"/>
    </xf>
    <xf numFmtId="0" fontId="6" fillId="10" borderId="60" xfId="0" applyFont="1" applyFill="1" applyBorder="1" applyAlignment="1">
      <alignment horizontal="center" vertical="center" wrapText="1"/>
    </xf>
    <xf numFmtId="44" fontId="5" fillId="7" borderId="41" xfId="21" applyFont="1" applyFill="1" applyBorder="1" applyAlignment="1">
      <alignment horizontal="center" vertical="center" wrapText="1"/>
    </xf>
    <xf numFmtId="44" fontId="5" fillId="7" borderId="61" xfId="21" applyFont="1" applyFill="1" applyBorder="1" applyAlignment="1">
      <alignment horizontal="center" vertical="center" wrapText="1"/>
    </xf>
    <xf numFmtId="44" fontId="0" fillId="0" borderId="0" xfId="21" applyFont="1"/>
    <xf numFmtId="44" fontId="5" fillId="7" borderId="62" xfId="2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4" fontId="9" fillId="2" borderId="0" xfId="21" applyFont="1" applyFill="1" applyAlignment="1">
      <alignment horizontal="center" vertical="center" wrapText="1"/>
    </xf>
    <xf numFmtId="0" fontId="5" fillId="0" borderId="63" xfId="22" applyFont="1" applyBorder="1" applyAlignment="1">
      <alignment horizontal="center" vertical="center"/>
      <protection/>
    </xf>
    <xf numFmtId="0" fontId="5" fillId="0" borderId="64" xfId="22" applyFont="1" applyBorder="1" applyAlignment="1">
      <alignment horizontal="center" vertical="center"/>
      <protection/>
    </xf>
    <xf numFmtId="0" fontId="5" fillId="0" borderId="65" xfId="22" applyFont="1" applyBorder="1" applyAlignment="1">
      <alignment horizontal="center" vertical="center"/>
      <protection/>
    </xf>
    <xf numFmtId="0" fontId="5" fillId="0" borderId="66" xfId="22" applyFont="1" applyBorder="1" applyAlignment="1">
      <alignment horizontal="center" vertical="center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67" xfId="22" applyFont="1" applyBorder="1" applyAlignment="1">
      <alignment horizontal="center" vertical="center"/>
      <protection/>
    </xf>
    <xf numFmtId="0" fontId="5" fillId="0" borderId="66" xfId="22" applyFont="1" applyBorder="1" applyAlignment="1">
      <alignment horizontal="center" vertical="center" wrapText="1"/>
      <protection/>
    </xf>
    <xf numFmtId="0" fontId="5" fillId="0" borderId="59" xfId="22" applyFont="1" applyBorder="1" applyAlignment="1">
      <alignment horizontal="center" vertical="center" wrapText="1"/>
      <protection/>
    </xf>
    <xf numFmtId="0" fontId="5" fillId="0" borderId="67" xfId="22" applyFont="1" applyBorder="1" applyAlignment="1">
      <alignment horizontal="center" vertical="center" wrapText="1"/>
      <protection/>
    </xf>
    <xf numFmtId="0" fontId="5" fillId="0" borderId="68" xfId="22" applyFont="1" applyBorder="1" applyAlignment="1">
      <alignment horizontal="center" vertical="center"/>
      <protection/>
    </xf>
    <xf numFmtId="0" fontId="5" fillId="0" borderId="69" xfId="22" applyFont="1" applyBorder="1" applyAlignment="1">
      <alignment horizontal="center" vertical="center"/>
      <protection/>
    </xf>
    <xf numFmtId="0" fontId="5" fillId="0" borderId="70" xfId="22" applyFont="1" applyBorder="1" applyAlignment="1">
      <alignment horizontal="center" vertical="center"/>
      <protection/>
    </xf>
    <xf numFmtId="0" fontId="3" fillId="2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3" fillId="2" borderId="7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2" xfId="2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44" fontId="5" fillId="2" borderId="41" xfId="2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7" borderId="57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44" fontId="5" fillId="7" borderId="47" xfId="21" applyFont="1" applyFill="1" applyBorder="1" applyAlignment="1">
      <alignment horizontal="center" vertical="center" wrapText="1"/>
    </xf>
    <xf numFmtId="44" fontId="5" fillId="7" borderId="41" xfId="21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44" fontId="5" fillId="7" borderId="75" xfId="21" applyFont="1" applyFill="1" applyBorder="1" applyAlignment="1">
      <alignment horizontal="center" vertical="center" wrapText="1"/>
    </xf>
    <xf numFmtId="44" fontId="5" fillId="7" borderId="62" xfId="21" applyFont="1" applyFill="1" applyBorder="1" applyAlignment="1">
      <alignment horizontal="center" vertical="center" wrapText="1"/>
    </xf>
    <xf numFmtId="0" fontId="5" fillId="0" borderId="76" xfId="22" applyFont="1" applyBorder="1" applyAlignment="1">
      <alignment horizontal="center" vertical="center"/>
      <protection/>
    </xf>
    <xf numFmtId="0" fontId="5" fillId="0" borderId="77" xfId="22" applyFont="1" applyBorder="1" applyAlignment="1">
      <alignment horizontal="center" vertical="center"/>
      <protection/>
    </xf>
    <xf numFmtId="0" fontId="5" fillId="0" borderId="78" xfId="22" applyFont="1" applyBorder="1" applyAlignment="1">
      <alignment horizontal="center" vertical="center"/>
      <protection/>
    </xf>
    <xf numFmtId="0" fontId="5" fillId="0" borderId="7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80" xfId="22" applyFont="1" applyBorder="1" applyAlignment="1">
      <alignment horizontal="center" vertical="center"/>
      <protection/>
    </xf>
    <xf numFmtId="0" fontId="5" fillId="0" borderId="79" xfId="22" applyFont="1" applyBorder="1" applyAlignment="1">
      <alignment horizontal="center" vertical="center" wrapText="1"/>
      <protection/>
    </xf>
    <xf numFmtId="0" fontId="5" fillId="0" borderId="0" xfId="22" applyFont="1" applyAlignment="1">
      <alignment horizontal="center" vertical="center" wrapText="1"/>
      <protection/>
    </xf>
    <xf numFmtId="0" fontId="5" fillId="0" borderId="80" xfId="22" applyFont="1" applyBorder="1" applyAlignment="1">
      <alignment horizontal="center" vertical="center" wrapText="1"/>
      <protection/>
    </xf>
    <xf numFmtId="0" fontId="3" fillId="2" borderId="8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top" wrapText="1"/>
    </xf>
    <xf numFmtId="0" fontId="6" fillId="2" borderId="42" xfId="0" applyFont="1" applyFill="1" applyBorder="1" applyAlignment="1">
      <alignment horizontal="left" vertical="top" wrapText="1"/>
    </xf>
    <xf numFmtId="0" fontId="1" fillId="8" borderId="4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 vertical="top" wrapText="1"/>
    </xf>
    <xf numFmtId="0" fontId="1" fillId="9" borderId="42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5" fillId="0" borderId="83" xfId="22" applyFont="1" applyBorder="1" applyAlignment="1">
      <alignment horizontal="center" vertical="center"/>
      <protection/>
    </xf>
    <xf numFmtId="0" fontId="5" fillId="0" borderId="84" xfId="22" applyFont="1" applyBorder="1" applyAlignment="1">
      <alignment horizontal="center" vertical="center"/>
      <protection/>
    </xf>
    <xf numFmtId="0" fontId="5" fillId="0" borderId="85" xfId="22" applyFont="1" applyBorder="1" applyAlignment="1">
      <alignment horizontal="center" vertical="center"/>
      <protection/>
    </xf>
    <xf numFmtId="0" fontId="5" fillId="0" borderId="86" xfId="22" applyFont="1" applyBorder="1" applyAlignment="1">
      <alignment horizontal="center" vertical="center"/>
      <protection/>
    </xf>
    <xf numFmtId="0" fontId="5" fillId="0" borderId="87" xfId="22" applyFont="1" applyBorder="1" applyAlignment="1">
      <alignment horizontal="center" vertical="center"/>
      <protection/>
    </xf>
    <xf numFmtId="0" fontId="5" fillId="0" borderId="86" xfId="22" applyFont="1" applyBorder="1" applyAlignment="1">
      <alignment horizontal="center" vertical="center" wrapText="1"/>
      <protection/>
    </xf>
    <xf numFmtId="0" fontId="5" fillId="0" borderId="87" xfId="22" applyFont="1" applyBorder="1" applyAlignment="1">
      <alignment horizontal="center" vertical="center" wrapText="1"/>
      <protection/>
    </xf>
    <xf numFmtId="0" fontId="5" fillId="0" borderId="88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23" fillId="0" borderId="0" xfId="0" applyFont="1" applyAlignment="1">
      <alignment horizontal="left" wrapText="1"/>
    </xf>
    <xf numFmtId="0" fontId="23" fillId="0" borderId="31" xfId="0" applyFont="1" applyBorder="1" applyAlignment="1">
      <alignment horizontal="left" wrapText="1"/>
    </xf>
    <xf numFmtId="0" fontId="23" fillId="0" borderId="8" xfId="0" applyFont="1" applyBorder="1" applyAlignment="1">
      <alignment horizontal="left" wrapText="1"/>
    </xf>
    <xf numFmtId="0" fontId="23" fillId="0" borderId="32" xfId="0" applyFont="1" applyBorder="1" applyAlignment="1">
      <alignment horizontal="left" wrapText="1"/>
    </xf>
    <xf numFmtId="0" fontId="5" fillId="0" borderId="89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9" fillId="11" borderId="7" xfId="23" applyFont="1" applyFill="1" applyBorder="1" applyAlignment="1">
      <alignment horizontal="center" vertical="center" wrapText="1"/>
      <protection/>
    </xf>
    <xf numFmtId="0" fontId="9" fillId="11" borderId="8" xfId="23" applyFont="1" applyFill="1" applyBorder="1" applyAlignment="1">
      <alignment horizontal="center" vertical="center" wrapText="1"/>
      <protection/>
    </xf>
    <xf numFmtId="0" fontId="9" fillId="11" borderId="32" xfId="23" applyFont="1" applyFill="1" applyBorder="1" applyAlignment="1">
      <alignment horizontal="center" vertical="center" wrapText="1"/>
      <protection/>
    </xf>
    <xf numFmtId="0" fontId="7" fillId="0" borderId="17" xfId="22" applyFont="1" applyBorder="1" applyAlignment="1">
      <alignment horizontal="center" vertical="center"/>
      <protection/>
    </xf>
    <xf numFmtId="0" fontId="7" fillId="0" borderId="18" xfId="22" applyFont="1" applyBorder="1" applyAlignment="1">
      <alignment horizontal="center" vertical="center"/>
      <protection/>
    </xf>
    <xf numFmtId="0" fontId="7" fillId="0" borderId="19" xfId="22" applyFont="1" applyBorder="1" applyAlignment="1">
      <alignment horizontal="center" vertical="center"/>
      <protection/>
    </xf>
    <xf numFmtId="0" fontId="7" fillId="7" borderId="41" xfId="22" applyFont="1" applyFill="1" applyBorder="1" applyAlignment="1">
      <alignment horizontal="center" vertical="center"/>
      <protection/>
    </xf>
    <xf numFmtId="0" fontId="7" fillId="12" borderId="90" xfId="22" applyFont="1" applyFill="1" applyBorder="1" applyAlignment="1">
      <alignment horizontal="center" vertical="center"/>
      <protection/>
    </xf>
    <xf numFmtId="0" fontId="7" fillId="12" borderId="91" xfId="22" applyFont="1" applyFill="1" applyBorder="1" applyAlignment="1">
      <alignment horizontal="center" vertical="center"/>
      <protection/>
    </xf>
    <xf numFmtId="0" fontId="7" fillId="12" borderId="92" xfId="22" applyFont="1" applyFill="1" applyBorder="1" applyAlignment="1">
      <alignment horizontal="center" vertical="center"/>
      <protection/>
    </xf>
    <xf numFmtId="44" fontId="0" fillId="0" borderId="0" xfId="0" applyNumberFormat="1" applyAlignment="1">
      <alignment vertical="center"/>
    </xf>
    <xf numFmtId="44" fontId="0" fillId="0" borderId="0" xfId="0" applyNumberFormat="1" applyAlignment="1">
      <alignment horizontal="right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Normal 2" xfId="22"/>
    <cellStyle name="Normal_F-06-09" xfId="23"/>
    <cellStyle name="Vírgula 12" xfId="24"/>
    <cellStyle name="Porcentagem 4" xfId="25"/>
    <cellStyle name="Normal 4" xfId="26"/>
    <cellStyle name="Porcentagem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57150</xdr:rowOff>
    </xdr:from>
    <xdr:to>
      <xdr:col>2</xdr:col>
      <xdr:colOff>304800</xdr:colOff>
      <xdr:row>3</xdr:row>
      <xdr:rowOff>104775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1524000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142875</xdr:rowOff>
    </xdr:from>
    <xdr:to>
      <xdr:col>1</xdr:col>
      <xdr:colOff>1333500</xdr:colOff>
      <xdr:row>3</xdr:row>
      <xdr:rowOff>200025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1524000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142875</xdr:rowOff>
    </xdr:from>
    <xdr:to>
      <xdr:col>2</xdr:col>
      <xdr:colOff>161925</xdr:colOff>
      <xdr:row>3</xdr:row>
      <xdr:rowOff>209550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1524000" cy="809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1295400</xdr:colOff>
      <xdr:row>2</xdr:row>
      <xdr:rowOff>152400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238250" cy="647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1</xdr:col>
      <xdr:colOff>619125</xdr:colOff>
      <xdr:row>3</xdr:row>
      <xdr:rowOff>219075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438275" cy="962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4"/>
  <sheetViews>
    <sheetView showOutlineSymbols="0" view="pageBreakPreview" zoomScale="90" zoomScaleSheetLayoutView="90" workbookViewId="0" topLeftCell="E227">
      <selection activeCell="H244" sqref="H244:J244"/>
    </sheetView>
  </sheetViews>
  <sheetFormatPr defaultColWidth="9.00390625" defaultRowHeight="19.5" customHeight="1"/>
  <cols>
    <col min="1" max="2" width="10.00390625" style="3" bestFit="1" customWidth="1"/>
    <col min="3" max="3" width="13.25390625" style="3" bestFit="1" customWidth="1"/>
    <col min="4" max="4" width="45.625" style="4" customWidth="1"/>
    <col min="5" max="5" width="8.00390625" style="4" bestFit="1" customWidth="1"/>
    <col min="6" max="6" width="13.00390625" style="1" bestFit="1" customWidth="1"/>
    <col min="7" max="9" width="13.00390625" style="2" bestFit="1" customWidth="1"/>
    <col min="10" max="10" width="13.00390625" style="3" bestFit="1" customWidth="1"/>
    <col min="11" max="11" width="14.50390625" style="4" customWidth="1"/>
    <col min="12" max="12" width="13.25390625" style="4" customWidth="1"/>
    <col min="13" max="13" width="15.375" style="4" customWidth="1"/>
    <col min="14" max="16384" width="9.00390625" style="4" customWidth="1"/>
  </cols>
  <sheetData>
    <row r="1" spans="1:10" ht="20.1" customHeight="1" thickTop="1">
      <c r="A1" s="176" t="s">
        <v>630</v>
      </c>
      <c r="B1" s="177"/>
      <c r="C1" s="177"/>
      <c r="D1" s="177"/>
      <c r="E1" s="177"/>
      <c r="F1" s="177"/>
      <c r="G1" s="177"/>
      <c r="H1" s="177"/>
      <c r="I1" s="177"/>
      <c r="J1" s="178"/>
    </row>
    <row r="2" spans="1:10" ht="20.1" customHeight="1">
      <c r="A2" s="179" t="s">
        <v>631</v>
      </c>
      <c r="B2" s="180"/>
      <c r="C2" s="180"/>
      <c r="D2" s="180"/>
      <c r="E2" s="180"/>
      <c r="F2" s="180"/>
      <c r="G2" s="180"/>
      <c r="H2" s="180"/>
      <c r="I2" s="180"/>
      <c r="J2" s="181"/>
    </row>
    <row r="3" spans="1:10" ht="20.1" customHeight="1">
      <c r="A3" s="182" t="s">
        <v>633</v>
      </c>
      <c r="B3" s="183"/>
      <c r="C3" s="183"/>
      <c r="D3" s="183"/>
      <c r="E3" s="183"/>
      <c r="F3" s="183"/>
      <c r="G3" s="183"/>
      <c r="H3" s="183"/>
      <c r="I3" s="183"/>
      <c r="J3" s="184"/>
    </row>
    <row r="4" spans="1:10" ht="20.1" customHeight="1" thickBot="1">
      <c r="A4" s="185" t="s">
        <v>632</v>
      </c>
      <c r="B4" s="186"/>
      <c r="C4" s="186"/>
      <c r="D4" s="186"/>
      <c r="E4" s="186"/>
      <c r="F4" s="186"/>
      <c r="G4" s="186"/>
      <c r="H4" s="186"/>
      <c r="I4" s="186"/>
      <c r="J4" s="187"/>
    </row>
    <row r="5" spans="1:10" ht="20.1" customHeight="1">
      <c r="A5" s="191" t="s">
        <v>856</v>
      </c>
      <c r="B5" s="192"/>
      <c r="C5" s="192"/>
      <c r="D5" s="192"/>
      <c r="E5" s="192"/>
      <c r="F5" s="192"/>
      <c r="G5" s="193" t="s">
        <v>857</v>
      </c>
      <c r="H5" s="193"/>
      <c r="I5" s="192" t="s">
        <v>858</v>
      </c>
      <c r="J5" s="194"/>
    </row>
    <row r="6" spans="1:10" ht="39.95" customHeight="1">
      <c r="A6" s="195" t="s">
        <v>863</v>
      </c>
      <c r="B6" s="196"/>
      <c r="C6" s="196"/>
      <c r="D6" s="196"/>
      <c r="E6" s="196"/>
      <c r="F6" s="196"/>
      <c r="G6" s="197" t="s">
        <v>859</v>
      </c>
      <c r="H6" s="197"/>
      <c r="I6" s="196" t="s">
        <v>860</v>
      </c>
      <c r="J6" s="198"/>
    </row>
    <row r="7" spans="1:10" ht="20.1" customHeight="1" thickBot="1">
      <c r="A7" s="199" t="s">
        <v>862</v>
      </c>
      <c r="B7" s="200"/>
      <c r="C7" s="201" t="s">
        <v>861</v>
      </c>
      <c r="D7" s="201"/>
      <c r="E7" s="201"/>
      <c r="F7" s="201"/>
      <c r="G7" s="201"/>
      <c r="H7" s="201"/>
      <c r="I7" s="201"/>
      <c r="J7" s="202"/>
    </row>
    <row r="8" spans="1:10" ht="24.95" customHeight="1" thickBot="1">
      <c r="A8" s="188" t="s">
        <v>0</v>
      </c>
      <c r="B8" s="189"/>
      <c r="C8" s="189"/>
      <c r="D8" s="189"/>
      <c r="E8" s="189"/>
      <c r="F8" s="189"/>
      <c r="G8" s="189"/>
      <c r="H8" s="189"/>
      <c r="I8" s="189"/>
      <c r="J8" s="190"/>
    </row>
    <row r="9" spans="1:10" ht="30">
      <c r="A9" s="109" t="s">
        <v>1</v>
      </c>
      <c r="B9" s="110" t="s">
        <v>2</v>
      </c>
      <c r="C9" s="109" t="s">
        <v>3</v>
      </c>
      <c r="D9" s="111" t="s">
        <v>4</v>
      </c>
      <c r="E9" s="112" t="s">
        <v>5</v>
      </c>
      <c r="F9" s="136" t="s">
        <v>6</v>
      </c>
      <c r="G9" s="137" t="s">
        <v>7</v>
      </c>
      <c r="H9" s="137" t="s">
        <v>8</v>
      </c>
      <c r="I9" s="137" t="s">
        <v>9</v>
      </c>
      <c r="J9" s="138" t="s">
        <v>10</v>
      </c>
    </row>
    <row r="10" spans="1:11" ht="20.1" customHeight="1">
      <c r="A10" s="145" t="s">
        <v>11</v>
      </c>
      <c r="B10" s="145"/>
      <c r="C10" s="145"/>
      <c r="D10" s="146" t="s">
        <v>12</v>
      </c>
      <c r="E10" s="146"/>
      <c r="F10" s="147"/>
      <c r="G10" s="148"/>
      <c r="H10" s="148"/>
      <c r="I10" s="148">
        <f>SUM(I11:I16)</f>
        <v>162301.7</v>
      </c>
      <c r="J10" s="149">
        <f aca="true" t="shared" si="0" ref="J10:J73">I10/4249562.09</f>
        <v>0.038192570566723975</v>
      </c>
      <c r="K10" s="256">
        <f>I10</f>
        <v>162301.7</v>
      </c>
    </row>
    <row r="11" spans="1:12" ht="20.1" customHeight="1">
      <c r="A11" s="114" t="s">
        <v>13</v>
      </c>
      <c r="B11" s="114" t="s">
        <v>14</v>
      </c>
      <c r="C11" s="114" t="s">
        <v>15</v>
      </c>
      <c r="D11" s="113" t="s">
        <v>16</v>
      </c>
      <c r="E11" s="114" t="s">
        <v>17</v>
      </c>
      <c r="F11" s="141">
        <v>676</v>
      </c>
      <c r="G11" s="143">
        <v>11.82</v>
      </c>
      <c r="H11" s="143">
        <f aca="true" t="shared" si="1" ref="H11:H16">TRUNC(G11*(1+22.88/100),2)</f>
        <v>14.52</v>
      </c>
      <c r="I11" s="143">
        <f aca="true" t="shared" si="2" ref="I11:I16">TRUNC(F11*H11,2)</f>
        <v>9815.52</v>
      </c>
      <c r="J11" s="139">
        <f t="shared" si="0"/>
        <v>0.002309772111130632</v>
      </c>
      <c r="L11" s="174"/>
    </row>
    <row r="12" spans="1:12" ht="20.1" customHeight="1">
      <c r="A12" s="114" t="s">
        <v>18</v>
      </c>
      <c r="B12" s="114" t="s">
        <v>783</v>
      </c>
      <c r="C12" s="114" t="s">
        <v>15</v>
      </c>
      <c r="D12" s="113" t="s">
        <v>20</v>
      </c>
      <c r="E12" s="114" t="s">
        <v>53</v>
      </c>
      <c r="F12" s="141">
        <v>2</v>
      </c>
      <c r="G12" s="143">
        <v>1553.18</v>
      </c>
      <c r="H12" s="143">
        <f t="shared" si="1"/>
        <v>1908.54</v>
      </c>
      <c r="I12" s="143">
        <f t="shared" si="2"/>
        <v>3817.08</v>
      </c>
      <c r="J12" s="139">
        <f t="shared" si="0"/>
        <v>0.0008982290219931814</v>
      </c>
      <c r="L12" s="174"/>
    </row>
    <row r="13" spans="1:12" ht="20.1" customHeight="1">
      <c r="A13" s="114" t="s">
        <v>22</v>
      </c>
      <c r="B13" s="114" t="s">
        <v>784</v>
      </c>
      <c r="C13" s="114" t="s">
        <v>15</v>
      </c>
      <c r="D13" s="113" t="s">
        <v>25</v>
      </c>
      <c r="E13" s="114" t="s">
        <v>23</v>
      </c>
      <c r="F13" s="141">
        <v>6</v>
      </c>
      <c r="G13" s="143">
        <v>159.67</v>
      </c>
      <c r="H13" s="143">
        <f t="shared" si="1"/>
        <v>196.2</v>
      </c>
      <c r="I13" s="143">
        <f t="shared" si="2"/>
        <v>1177.2</v>
      </c>
      <c r="J13" s="139">
        <f t="shared" si="0"/>
        <v>0.00027701677845116507</v>
      </c>
      <c r="L13" s="174"/>
    </row>
    <row r="14" spans="1:12" ht="20.1" customHeight="1">
      <c r="A14" s="114" t="s">
        <v>24</v>
      </c>
      <c r="B14" s="114" t="s">
        <v>785</v>
      </c>
      <c r="C14" s="114" t="s">
        <v>15</v>
      </c>
      <c r="D14" s="113" t="s">
        <v>27</v>
      </c>
      <c r="E14" s="114" t="s">
        <v>23</v>
      </c>
      <c r="F14" s="141">
        <v>550</v>
      </c>
      <c r="G14" s="143">
        <v>133.22</v>
      </c>
      <c r="H14" s="143">
        <f t="shared" si="1"/>
        <v>163.7</v>
      </c>
      <c r="I14" s="143">
        <f t="shared" si="2"/>
        <v>90035</v>
      </c>
      <c r="J14" s="139">
        <f t="shared" si="0"/>
        <v>0.021186888929536737</v>
      </c>
      <c r="L14" s="174"/>
    </row>
    <row r="15" spans="1:12" ht="20.1" customHeight="1">
      <c r="A15" s="114" t="s">
        <v>26</v>
      </c>
      <c r="B15" s="114" t="s">
        <v>806</v>
      </c>
      <c r="C15" s="114" t="s">
        <v>15</v>
      </c>
      <c r="D15" s="113" t="s">
        <v>807</v>
      </c>
      <c r="E15" s="114" t="s">
        <v>23</v>
      </c>
      <c r="F15" s="141">
        <v>30</v>
      </c>
      <c r="G15" s="143">
        <v>725.29</v>
      </c>
      <c r="H15" s="143">
        <f t="shared" si="1"/>
        <v>891.23</v>
      </c>
      <c r="I15" s="143">
        <f t="shared" si="2"/>
        <v>26736.9</v>
      </c>
      <c r="J15" s="139">
        <f t="shared" si="0"/>
        <v>0.006291683574389192</v>
      </c>
      <c r="L15" s="174"/>
    </row>
    <row r="16" spans="1:12" ht="20.1" customHeight="1">
      <c r="A16" s="114" t="s">
        <v>808</v>
      </c>
      <c r="B16" s="114" t="s">
        <v>809</v>
      </c>
      <c r="C16" s="114" t="s">
        <v>590</v>
      </c>
      <c r="D16" s="113" t="s">
        <v>810</v>
      </c>
      <c r="E16" s="114" t="s">
        <v>811</v>
      </c>
      <c r="F16" s="141">
        <v>1</v>
      </c>
      <c r="G16" s="143">
        <v>25000</v>
      </c>
      <c r="H16" s="143">
        <f t="shared" si="1"/>
        <v>30720</v>
      </c>
      <c r="I16" s="143">
        <f t="shared" si="2"/>
        <v>30720</v>
      </c>
      <c r="J16" s="139">
        <f t="shared" si="0"/>
        <v>0.007228980151223064</v>
      </c>
      <c r="L16" s="174"/>
    </row>
    <row r="17" spans="1:12" ht="20.1" customHeight="1">
      <c r="A17" s="145" t="s">
        <v>29</v>
      </c>
      <c r="B17" s="145"/>
      <c r="C17" s="145"/>
      <c r="D17" s="146" t="s">
        <v>30</v>
      </c>
      <c r="E17" s="146"/>
      <c r="F17" s="147"/>
      <c r="G17" s="148"/>
      <c r="H17" s="148"/>
      <c r="I17" s="148">
        <f>SUM(I18:I30)</f>
        <v>140110.18999999997</v>
      </c>
      <c r="J17" s="149">
        <f t="shared" si="0"/>
        <v>0.03297050073222956</v>
      </c>
      <c r="K17" s="256">
        <f>I17</f>
        <v>140110.18999999997</v>
      </c>
      <c r="L17" s="174"/>
    </row>
    <row r="18" spans="1:12" ht="20.1" customHeight="1">
      <c r="A18" s="114" t="s">
        <v>31</v>
      </c>
      <c r="B18" s="114" t="s">
        <v>32</v>
      </c>
      <c r="C18" s="114" t="s">
        <v>15</v>
      </c>
      <c r="D18" s="113" t="s">
        <v>33</v>
      </c>
      <c r="E18" s="114" t="s">
        <v>23</v>
      </c>
      <c r="F18" s="141">
        <v>974.12</v>
      </c>
      <c r="G18" s="143">
        <v>26.53</v>
      </c>
      <c r="H18" s="143">
        <f aca="true" t="shared" si="3" ref="H18:H30">TRUNC(G18*(1+22.88/100),2)</f>
        <v>32.6</v>
      </c>
      <c r="I18" s="143">
        <f aca="true" t="shared" si="4" ref="I18:I30">TRUNC(F18*H18,2)</f>
        <v>31756.31</v>
      </c>
      <c r="J18" s="139">
        <f t="shared" si="0"/>
        <v>0.007472842925328337</v>
      </c>
      <c r="L18" s="174"/>
    </row>
    <row r="19" spans="1:12" ht="20.1" customHeight="1">
      <c r="A19" s="114" t="s">
        <v>34</v>
      </c>
      <c r="B19" s="114" t="s">
        <v>35</v>
      </c>
      <c r="C19" s="114" t="s">
        <v>15</v>
      </c>
      <c r="D19" s="113" t="s">
        <v>36</v>
      </c>
      <c r="E19" s="114" t="s">
        <v>37</v>
      </c>
      <c r="F19" s="141">
        <v>10.67</v>
      </c>
      <c r="G19" s="143">
        <v>306.66</v>
      </c>
      <c r="H19" s="143">
        <f t="shared" si="3"/>
        <v>376.82</v>
      </c>
      <c r="I19" s="143">
        <f t="shared" si="4"/>
        <v>4020.66</v>
      </c>
      <c r="J19" s="139">
        <f t="shared" si="0"/>
        <v>0.0009461351345968921</v>
      </c>
      <c r="L19" s="174"/>
    </row>
    <row r="20" spans="1:12" ht="20.1" customHeight="1">
      <c r="A20" s="114" t="s">
        <v>38</v>
      </c>
      <c r="B20" s="114" t="s">
        <v>39</v>
      </c>
      <c r="C20" s="114" t="s">
        <v>15</v>
      </c>
      <c r="D20" s="113" t="s">
        <v>40</v>
      </c>
      <c r="E20" s="114" t="s">
        <v>37</v>
      </c>
      <c r="F20" s="141">
        <v>27.69</v>
      </c>
      <c r="G20" s="143">
        <v>61.32</v>
      </c>
      <c r="H20" s="143">
        <f t="shared" si="3"/>
        <v>75.35</v>
      </c>
      <c r="I20" s="143">
        <f t="shared" si="4"/>
        <v>2086.44</v>
      </c>
      <c r="J20" s="139">
        <f t="shared" si="0"/>
        <v>0.0004909776480051383</v>
      </c>
      <c r="L20" s="174"/>
    </row>
    <row r="21" spans="1:12" ht="20.1" customHeight="1">
      <c r="A21" s="114" t="s">
        <v>41</v>
      </c>
      <c r="B21" s="114" t="s">
        <v>42</v>
      </c>
      <c r="C21" s="114" t="s">
        <v>15</v>
      </c>
      <c r="D21" s="113" t="s">
        <v>43</v>
      </c>
      <c r="E21" s="114" t="s">
        <v>37</v>
      </c>
      <c r="F21" s="141">
        <v>49.58</v>
      </c>
      <c r="G21" s="143">
        <v>265.73</v>
      </c>
      <c r="H21" s="143">
        <f t="shared" si="3"/>
        <v>326.52</v>
      </c>
      <c r="I21" s="143">
        <f t="shared" si="4"/>
        <v>16188.86</v>
      </c>
      <c r="J21" s="139">
        <f t="shared" si="0"/>
        <v>0.0038095360550432626</v>
      </c>
      <c r="L21" s="174"/>
    </row>
    <row r="22" spans="1:12" ht="20.1" customHeight="1">
      <c r="A22" s="114" t="s">
        <v>44</v>
      </c>
      <c r="B22" s="114" t="s">
        <v>45</v>
      </c>
      <c r="C22" s="114" t="s">
        <v>15</v>
      </c>
      <c r="D22" s="113" t="s">
        <v>46</v>
      </c>
      <c r="E22" s="114" t="s">
        <v>37</v>
      </c>
      <c r="F22" s="141">
        <v>460.76</v>
      </c>
      <c r="G22" s="143">
        <v>93.07</v>
      </c>
      <c r="H22" s="143">
        <f t="shared" si="3"/>
        <v>114.36</v>
      </c>
      <c r="I22" s="143">
        <f t="shared" si="4"/>
        <v>52692.51</v>
      </c>
      <c r="J22" s="139">
        <f t="shared" si="0"/>
        <v>0.012399515263936291</v>
      </c>
      <c r="L22" s="174"/>
    </row>
    <row r="23" spans="1:12" ht="20.1" customHeight="1">
      <c r="A23" s="114" t="s">
        <v>47</v>
      </c>
      <c r="B23" s="114" t="s">
        <v>48</v>
      </c>
      <c r="C23" s="114" t="s">
        <v>15</v>
      </c>
      <c r="D23" s="113" t="s">
        <v>49</v>
      </c>
      <c r="E23" s="114" t="s">
        <v>23</v>
      </c>
      <c r="F23" s="141">
        <v>68.72</v>
      </c>
      <c r="G23" s="143">
        <v>23.64</v>
      </c>
      <c r="H23" s="143">
        <f t="shared" si="3"/>
        <v>29.04</v>
      </c>
      <c r="I23" s="143">
        <f t="shared" si="4"/>
        <v>1995.62</v>
      </c>
      <c r="J23" s="139">
        <f t="shared" si="0"/>
        <v>0.00046960603415962794</v>
      </c>
      <c r="L23" s="174"/>
    </row>
    <row r="24" spans="1:12" ht="20.1" customHeight="1">
      <c r="A24" s="114" t="s">
        <v>50</v>
      </c>
      <c r="B24" s="114" t="s">
        <v>51</v>
      </c>
      <c r="C24" s="114" t="s">
        <v>15</v>
      </c>
      <c r="D24" s="113" t="s">
        <v>52</v>
      </c>
      <c r="E24" s="114" t="s">
        <v>53</v>
      </c>
      <c r="F24" s="141">
        <v>22</v>
      </c>
      <c r="G24" s="143">
        <v>9.94</v>
      </c>
      <c r="H24" s="143">
        <f t="shared" si="3"/>
        <v>12.21</v>
      </c>
      <c r="I24" s="143">
        <f t="shared" si="4"/>
        <v>268.62</v>
      </c>
      <c r="J24" s="139">
        <f t="shared" si="0"/>
        <v>6.321121901762824E-05</v>
      </c>
      <c r="L24" s="174"/>
    </row>
    <row r="25" spans="1:12" ht="20.1" customHeight="1">
      <c r="A25" s="114" t="s">
        <v>54</v>
      </c>
      <c r="B25" s="114" t="s">
        <v>55</v>
      </c>
      <c r="C25" s="114" t="s">
        <v>15</v>
      </c>
      <c r="D25" s="113" t="s">
        <v>56</v>
      </c>
      <c r="E25" s="114" t="s">
        <v>53</v>
      </c>
      <c r="F25" s="141">
        <v>64</v>
      </c>
      <c r="G25" s="143">
        <v>8.23</v>
      </c>
      <c r="H25" s="143">
        <f t="shared" si="3"/>
        <v>10.11</v>
      </c>
      <c r="I25" s="143">
        <f t="shared" si="4"/>
        <v>647.04</v>
      </c>
      <c r="J25" s="139">
        <f t="shared" si="0"/>
        <v>0.0001522603944351358</v>
      </c>
      <c r="L25" s="174"/>
    </row>
    <row r="26" spans="1:12" ht="20.1" customHeight="1">
      <c r="A26" s="114" t="s">
        <v>57</v>
      </c>
      <c r="B26" s="114" t="s">
        <v>58</v>
      </c>
      <c r="C26" s="114" t="s">
        <v>15</v>
      </c>
      <c r="D26" s="113" t="s">
        <v>59</v>
      </c>
      <c r="E26" s="114" t="s">
        <v>23</v>
      </c>
      <c r="F26" s="141">
        <v>547.41</v>
      </c>
      <c r="G26" s="143">
        <v>28.61</v>
      </c>
      <c r="H26" s="143">
        <f t="shared" si="3"/>
        <v>35.15</v>
      </c>
      <c r="I26" s="143">
        <f t="shared" si="4"/>
        <v>19241.46</v>
      </c>
      <c r="J26" s="139">
        <f t="shared" si="0"/>
        <v>0.004527868893898194</v>
      </c>
      <c r="L26" s="174"/>
    </row>
    <row r="27" spans="1:12" ht="20.1" customHeight="1">
      <c r="A27" s="114" t="s">
        <v>60</v>
      </c>
      <c r="B27" s="114" t="s">
        <v>61</v>
      </c>
      <c r="C27" s="114" t="s">
        <v>15</v>
      </c>
      <c r="D27" s="113" t="s">
        <v>62</v>
      </c>
      <c r="E27" s="114" t="s">
        <v>23</v>
      </c>
      <c r="F27" s="141">
        <v>198</v>
      </c>
      <c r="G27" s="143">
        <v>26.56</v>
      </c>
      <c r="H27" s="143">
        <f t="shared" si="3"/>
        <v>32.63</v>
      </c>
      <c r="I27" s="143">
        <f t="shared" si="4"/>
        <v>6460.74</v>
      </c>
      <c r="J27" s="139">
        <f t="shared" si="0"/>
        <v>0.0015203307689522429</v>
      </c>
      <c r="L27" s="174"/>
    </row>
    <row r="28" spans="1:12" ht="20.1" customHeight="1">
      <c r="A28" s="114" t="s">
        <v>63</v>
      </c>
      <c r="B28" s="114" t="s">
        <v>64</v>
      </c>
      <c r="C28" s="114" t="s">
        <v>15</v>
      </c>
      <c r="D28" s="113" t="s">
        <v>65</v>
      </c>
      <c r="E28" s="114" t="s">
        <v>66</v>
      </c>
      <c r="F28" s="141">
        <v>3</v>
      </c>
      <c r="G28" s="143">
        <v>20.58</v>
      </c>
      <c r="H28" s="143">
        <f t="shared" si="3"/>
        <v>25.28</v>
      </c>
      <c r="I28" s="143">
        <f t="shared" si="4"/>
        <v>75.84</v>
      </c>
      <c r="J28" s="139">
        <f t="shared" si="0"/>
        <v>1.784654474833194E-05</v>
      </c>
      <c r="L28" s="174"/>
    </row>
    <row r="29" spans="1:12" ht="20.1" customHeight="1">
      <c r="A29" s="114" t="s">
        <v>67</v>
      </c>
      <c r="B29" s="114" t="s">
        <v>68</v>
      </c>
      <c r="C29" s="114" t="s">
        <v>15</v>
      </c>
      <c r="D29" s="113" t="s">
        <v>69</v>
      </c>
      <c r="E29" s="114" t="s">
        <v>23</v>
      </c>
      <c r="F29" s="141">
        <v>259.44</v>
      </c>
      <c r="G29" s="143">
        <v>5.11</v>
      </c>
      <c r="H29" s="143">
        <f t="shared" si="3"/>
        <v>6.27</v>
      </c>
      <c r="I29" s="143">
        <f t="shared" si="4"/>
        <v>1626.68</v>
      </c>
      <c r="J29" s="139">
        <f t="shared" si="0"/>
        <v>0.00038278767683566195</v>
      </c>
      <c r="L29" s="174"/>
    </row>
    <row r="30" spans="1:12" ht="20.1" customHeight="1">
      <c r="A30" s="114" t="s">
        <v>70</v>
      </c>
      <c r="B30" s="114" t="s">
        <v>71</v>
      </c>
      <c r="C30" s="114" t="s">
        <v>15</v>
      </c>
      <c r="D30" s="113" t="s">
        <v>72</v>
      </c>
      <c r="E30" s="114" t="s">
        <v>23</v>
      </c>
      <c r="F30" s="141">
        <v>847.06</v>
      </c>
      <c r="G30" s="143">
        <v>2.93</v>
      </c>
      <c r="H30" s="143">
        <f t="shared" si="3"/>
        <v>3.6</v>
      </c>
      <c r="I30" s="143">
        <f t="shared" si="4"/>
        <v>3049.41</v>
      </c>
      <c r="J30" s="139">
        <f t="shared" si="0"/>
        <v>0.000717582173272823</v>
      </c>
      <c r="L30" s="174"/>
    </row>
    <row r="31" spans="1:12" ht="20.1" customHeight="1">
      <c r="A31" s="145" t="s">
        <v>73</v>
      </c>
      <c r="B31" s="145"/>
      <c r="C31" s="145"/>
      <c r="D31" s="146" t="s">
        <v>74</v>
      </c>
      <c r="E31" s="146"/>
      <c r="F31" s="147"/>
      <c r="G31" s="148"/>
      <c r="H31" s="148"/>
      <c r="I31" s="148">
        <f>SUM(I32:I33)</f>
        <v>40443.52</v>
      </c>
      <c r="J31" s="149">
        <f t="shared" si="0"/>
        <v>0.009517102972838315</v>
      </c>
      <c r="K31" s="256">
        <f>I31</f>
        <v>40443.52</v>
      </c>
      <c r="L31" s="174"/>
    </row>
    <row r="32" spans="1:12" ht="20.1" customHeight="1">
      <c r="A32" s="114" t="s">
        <v>75</v>
      </c>
      <c r="B32" s="114" t="s">
        <v>76</v>
      </c>
      <c r="C32" s="114" t="s">
        <v>15</v>
      </c>
      <c r="D32" s="113" t="s">
        <v>77</v>
      </c>
      <c r="E32" s="114" t="s">
        <v>37</v>
      </c>
      <c r="F32" s="141">
        <v>225.71</v>
      </c>
      <c r="G32" s="143">
        <v>133.74</v>
      </c>
      <c r="H32" s="143">
        <f>TRUNC(G32*(1+22.88/100),2)</f>
        <v>164.33</v>
      </c>
      <c r="I32" s="143">
        <f>TRUNC(F32*H32,2)</f>
        <v>37090.92</v>
      </c>
      <c r="J32" s="139">
        <f t="shared" si="0"/>
        <v>0.008728174624694093</v>
      </c>
      <c r="L32" s="174"/>
    </row>
    <row r="33" spans="1:12" ht="20.1" customHeight="1">
      <c r="A33" s="114" t="s">
        <v>78</v>
      </c>
      <c r="B33" s="114" t="s">
        <v>79</v>
      </c>
      <c r="C33" s="114" t="s">
        <v>15</v>
      </c>
      <c r="D33" s="113" t="s">
        <v>80</v>
      </c>
      <c r="E33" s="114" t="s">
        <v>37</v>
      </c>
      <c r="F33" s="141">
        <v>37.56</v>
      </c>
      <c r="G33" s="143">
        <v>72.64</v>
      </c>
      <c r="H33" s="143">
        <f>TRUNC(G33*(1+22.88/100),2)</f>
        <v>89.26</v>
      </c>
      <c r="I33" s="143">
        <f>TRUNC(F33*H33,2)</f>
        <v>3352.6</v>
      </c>
      <c r="J33" s="139">
        <f t="shared" si="0"/>
        <v>0.0007889283481442202</v>
      </c>
      <c r="L33" s="174"/>
    </row>
    <row r="34" spans="1:12" ht="20.1" customHeight="1">
      <c r="A34" s="145" t="s">
        <v>81</v>
      </c>
      <c r="B34" s="145"/>
      <c r="C34" s="145"/>
      <c r="D34" s="146" t="s">
        <v>82</v>
      </c>
      <c r="E34" s="146"/>
      <c r="F34" s="147"/>
      <c r="G34" s="148"/>
      <c r="H34" s="148"/>
      <c r="I34" s="148">
        <f>SUM(I35:I36)</f>
        <v>549818.91</v>
      </c>
      <c r="J34" s="149">
        <f t="shared" si="0"/>
        <v>0.12938248656110354</v>
      </c>
      <c r="K34" s="256">
        <f>I34/2</f>
        <v>274909.455</v>
      </c>
      <c r="L34" s="174"/>
    </row>
    <row r="35" spans="1:12" ht="20.1" customHeight="1">
      <c r="A35" s="114" t="s">
        <v>83</v>
      </c>
      <c r="B35" s="114" t="s">
        <v>84</v>
      </c>
      <c r="C35" s="114" t="s">
        <v>15</v>
      </c>
      <c r="D35" s="113" t="s">
        <v>85</v>
      </c>
      <c r="E35" s="114" t="s">
        <v>37</v>
      </c>
      <c r="F35" s="141">
        <v>48.69</v>
      </c>
      <c r="G35" s="143">
        <v>2863.62</v>
      </c>
      <c r="H35" s="143">
        <f>TRUNC(G35*(1+22.88/100),2)</f>
        <v>3518.81</v>
      </c>
      <c r="I35" s="143">
        <f>TRUNC(F35*H35,2)</f>
        <v>171330.85</v>
      </c>
      <c r="J35" s="139">
        <f t="shared" si="0"/>
        <v>0.04031729537572188</v>
      </c>
      <c r="L35" s="174"/>
    </row>
    <row r="36" spans="1:12" ht="20.1" customHeight="1">
      <c r="A36" s="114" t="s">
        <v>86</v>
      </c>
      <c r="B36" s="114" t="s">
        <v>87</v>
      </c>
      <c r="C36" s="114" t="s">
        <v>15</v>
      </c>
      <c r="D36" s="113" t="s">
        <v>88</v>
      </c>
      <c r="E36" s="114" t="s">
        <v>37</v>
      </c>
      <c r="F36" s="141">
        <v>99.46</v>
      </c>
      <c r="G36" s="143">
        <v>3096.87</v>
      </c>
      <c r="H36" s="143">
        <f>TRUNC(G36*(1+22.88/100),2)</f>
        <v>3805.43</v>
      </c>
      <c r="I36" s="143">
        <f>TRUNC(F36*H36,2)</f>
        <v>378488.06</v>
      </c>
      <c r="J36" s="139">
        <f t="shared" si="0"/>
        <v>0.08906519118538164</v>
      </c>
      <c r="L36" s="174"/>
    </row>
    <row r="37" spans="1:12" ht="20.1" customHeight="1">
      <c r="A37" s="145" t="s">
        <v>89</v>
      </c>
      <c r="B37" s="145"/>
      <c r="C37" s="145"/>
      <c r="D37" s="146" t="s">
        <v>90</v>
      </c>
      <c r="E37" s="146"/>
      <c r="F37" s="147"/>
      <c r="G37" s="148"/>
      <c r="H37" s="148"/>
      <c r="I37" s="148">
        <f>SUM(I38:I40)</f>
        <v>192176.13</v>
      </c>
      <c r="J37" s="149">
        <f t="shared" si="0"/>
        <v>0.045222572568647895</v>
      </c>
      <c r="K37" s="256">
        <f>I37*20%</f>
        <v>38435.226</v>
      </c>
      <c r="L37" s="257">
        <f>I37*40%</f>
        <v>76870.452</v>
      </c>
    </row>
    <row r="38" spans="1:12" ht="25.5">
      <c r="A38" s="114" t="s">
        <v>91</v>
      </c>
      <c r="B38" s="114" t="s">
        <v>92</v>
      </c>
      <c r="C38" s="114" t="s">
        <v>15</v>
      </c>
      <c r="D38" s="113" t="s">
        <v>93</v>
      </c>
      <c r="E38" s="114" t="s">
        <v>37</v>
      </c>
      <c r="F38" s="141">
        <v>35.12</v>
      </c>
      <c r="G38" s="143">
        <v>3499</v>
      </c>
      <c r="H38" s="143">
        <f>TRUNC(G38*(1+22.88/100),2)</f>
        <v>4299.57</v>
      </c>
      <c r="I38" s="143">
        <f>TRUNC(F38*H38,2)</f>
        <v>151000.89</v>
      </c>
      <c r="J38" s="139">
        <f t="shared" si="0"/>
        <v>0.03553328244228572</v>
      </c>
      <c r="L38" s="174"/>
    </row>
    <row r="39" spans="1:12" ht="20.1" customHeight="1">
      <c r="A39" s="114" t="s">
        <v>94</v>
      </c>
      <c r="B39" s="114" t="s">
        <v>95</v>
      </c>
      <c r="C39" s="114" t="s">
        <v>15</v>
      </c>
      <c r="D39" s="113" t="s">
        <v>96</v>
      </c>
      <c r="E39" s="114" t="s">
        <v>37</v>
      </c>
      <c r="F39" s="141">
        <v>2.5</v>
      </c>
      <c r="G39" s="143">
        <v>2566.27</v>
      </c>
      <c r="H39" s="143">
        <f>TRUNC(G39*(1+22.88/100),2)</f>
        <v>3153.43</v>
      </c>
      <c r="I39" s="143">
        <f>TRUNC(F39*H39,2)</f>
        <v>7883.57</v>
      </c>
      <c r="J39" s="139">
        <f t="shared" si="0"/>
        <v>0.0018551487972258338</v>
      </c>
      <c r="L39" s="174"/>
    </row>
    <row r="40" spans="1:12" ht="20.1" customHeight="1">
      <c r="A40" s="114" t="s">
        <v>97</v>
      </c>
      <c r="B40" s="114" t="s">
        <v>98</v>
      </c>
      <c r="C40" s="114" t="s">
        <v>15</v>
      </c>
      <c r="D40" s="113" t="s">
        <v>99</v>
      </c>
      <c r="E40" s="114" t="s">
        <v>23</v>
      </c>
      <c r="F40" s="141">
        <v>220.65</v>
      </c>
      <c r="G40" s="143">
        <v>122.79</v>
      </c>
      <c r="H40" s="143">
        <f>TRUNC(G40*(1+22.88/100),2)</f>
        <v>150.88</v>
      </c>
      <c r="I40" s="143">
        <f>TRUNC(F40*H40,2)</f>
        <v>33291.67</v>
      </c>
      <c r="J40" s="139">
        <f t="shared" si="0"/>
        <v>0.007834141329136339</v>
      </c>
      <c r="L40" s="174"/>
    </row>
    <row r="41" spans="1:13" ht="20.1" customHeight="1">
      <c r="A41" s="145" t="s">
        <v>100</v>
      </c>
      <c r="B41" s="145"/>
      <c r="C41" s="145"/>
      <c r="D41" s="146" t="s">
        <v>101</v>
      </c>
      <c r="E41" s="146"/>
      <c r="F41" s="147"/>
      <c r="G41" s="148"/>
      <c r="H41" s="148"/>
      <c r="I41" s="148">
        <f>SUM(I42:I43)</f>
        <v>131583.72999999998</v>
      </c>
      <c r="J41" s="149">
        <f t="shared" si="0"/>
        <v>0.030964068111780426</v>
      </c>
      <c r="K41" s="256">
        <f>I41*20%</f>
        <v>26316.746</v>
      </c>
      <c r="L41" s="257">
        <f>I41*50%</f>
        <v>65791.86499999999</v>
      </c>
      <c r="M41" s="257">
        <f>I41*30%</f>
        <v>39475.11899999999</v>
      </c>
    </row>
    <row r="42" spans="1:12" ht="20.1" customHeight="1">
      <c r="A42" s="114" t="s">
        <v>102</v>
      </c>
      <c r="B42" s="114" t="s">
        <v>103</v>
      </c>
      <c r="C42" s="114" t="s">
        <v>15</v>
      </c>
      <c r="D42" s="113" t="s">
        <v>104</v>
      </c>
      <c r="E42" s="114" t="s">
        <v>23</v>
      </c>
      <c r="F42" s="141">
        <v>1076.48</v>
      </c>
      <c r="G42" s="143">
        <v>70.41</v>
      </c>
      <c r="H42" s="143">
        <f>TRUNC(G42*(1+22.88/100),2)</f>
        <v>86.51</v>
      </c>
      <c r="I42" s="143">
        <f>TRUNC(F42*H42,2)</f>
        <v>93126.28</v>
      </c>
      <c r="J42" s="139">
        <f t="shared" si="0"/>
        <v>0.021914323882722703</v>
      </c>
      <c r="L42" s="174"/>
    </row>
    <row r="43" spans="1:12" ht="20.1" customHeight="1">
      <c r="A43" s="114" t="s">
        <v>105</v>
      </c>
      <c r="B43" s="114" t="s">
        <v>106</v>
      </c>
      <c r="C43" s="114" t="s">
        <v>15</v>
      </c>
      <c r="D43" s="113" t="s">
        <v>107</v>
      </c>
      <c r="E43" s="114" t="s">
        <v>23</v>
      </c>
      <c r="F43" s="141">
        <v>135</v>
      </c>
      <c r="G43" s="143">
        <v>231.83</v>
      </c>
      <c r="H43" s="143">
        <f>TRUNC(G43*(1+22.88/100),2)</f>
        <v>284.87</v>
      </c>
      <c r="I43" s="143">
        <f>TRUNC(F43*H43,2)</f>
        <v>38457.45</v>
      </c>
      <c r="J43" s="139">
        <f t="shared" si="0"/>
        <v>0.009049744229057728</v>
      </c>
      <c r="L43" s="174"/>
    </row>
    <row r="44" spans="1:12" ht="20.1" customHeight="1">
      <c r="A44" s="145" t="s">
        <v>108</v>
      </c>
      <c r="B44" s="145"/>
      <c r="C44" s="145"/>
      <c r="D44" s="146" t="s">
        <v>109</v>
      </c>
      <c r="E44" s="146"/>
      <c r="F44" s="147"/>
      <c r="G44" s="148"/>
      <c r="H44" s="148"/>
      <c r="I44" s="148">
        <f>SUM(I45,I48,I52)</f>
        <v>457912.09</v>
      </c>
      <c r="J44" s="149">
        <f t="shared" si="0"/>
        <v>0.10775512401090721</v>
      </c>
      <c r="K44" s="256">
        <f>I44/2</f>
        <v>228956.045</v>
      </c>
      <c r="L44" s="174"/>
    </row>
    <row r="45" spans="1:12" ht="20.1" customHeight="1">
      <c r="A45" s="145" t="s">
        <v>110</v>
      </c>
      <c r="B45" s="145"/>
      <c r="C45" s="145"/>
      <c r="D45" s="146" t="s">
        <v>90</v>
      </c>
      <c r="E45" s="146"/>
      <c r="F45" s="147"/>
      <c r="G45" s="148"/>
      <c r="H45" s="148"/>
      <c r="I45" s="148">
        <f>SUM(I46:I47)</f>
        <v>278553.85</v>
      </c>
      <c r="J45" s="149">
        <f t="shared" si="0"/>
        <v>0.0655488363508062</v>
      </c>
      <c r="L45" s="174"/>
    </row>
    <row r="46" spans="1:12" ht="20.1" customHeight="1">
      <c r="A46" s="114" t="s">
        <v>111</v>
      </c>
      <c r="B46" s="114" t="s">
        <v>112</v>
      </c>
      <c r="C46" s="114" t="s">
        <v>15</v>
      </c>
      <c r="D46" s="113" t="s">
        <v>113</v>
      </c>
      <c r="E46" s="114" t="s">
        <v>23</v>
      </c>
      <c r="F46" s="141">
        <v>974.12</v>
      </c>
      <c r="G46" s="143">
        <v>63.75</v>
      </c>
      <c r="H46" s="143">
        <f>TRUNC(G46*(1+22.88/100),2)</f>
        <v>78.33</v>
      </c>
      <c r="I46" s="143">
        <f>TRUNC(F46*H46,2)</f>
        <v>76302.81</v>
      </c>
      <c r="J46" s="139">
        <f t="shared" si="0"/>
        <v>0.017955452440512523</v>
      </c>
      <c r="L46" s="174"/>
    </row>
    <row r="47" spans="1:12" ht="20.1" customHeight="1">
      <c r="A47" s="114" t="s">
        <v>114</v>
      </c>
      <c r="B47" s="114" t="s">
        <v>115</v>
      </c>
      <c r="C47" s="114" t="s">
        <v>15</v>
      </c>
      <c r="D47" s="113" t="s">
        <v>116</v>
      </c>
      <c r="E47" s="114" t="s">
        <v>23</v>
      </c>
      <c r="F47" s="141">
        <v>568.68</v>
      </c>
      <c r="G47" s="143">
        <v>289.43</v>
      </c>
      <c r="H47" s="143">
        <f>TRUNC(G47*(1+22.88/100),2)</f>
        <v>355.65</v>
      </c>
      <c r="I47" s="143">
        <f>TRUNC(F47*H47,2)</f>
        <v>202251.04</v>
      </c>
      <c r="J47" s="139">
        <f t="shared" si="0"/>
        <v>0.04759338391029369</v>
      </c>
      <c r="L47" s="174"/>
    </row>
    <row r="48" spans="1:12" ht="20.1" customHeight="1">
      <c r="A48" s="145" t="s">
        <v>117</v>
      </c>
      <c r="B48" s="145"/>
      <c r="C48" s="145"/>
      <c r="D48" s="146" t="s">
        <v>786</v>
      </c>
      <c r="E48" s="146"/>
      <c r="F48" s="147"/>
      <c r="G48" s="148"/>
      <c r="H48" s="148"/>
      <c r="I48" s="148">
        <f>SUM(I49:I51)</f>
        <v>160732.04</v>
      </c>
      <c r="J48" s="149">
        <f t="shared" si="0"/>
        <v>0.03782320074302056</v>
      </c>
      <c r="L48" s="174"/>
    </row>
    <row r="49" spans="1:12" ht="20.1" customHeight="1">
      <c r="A49" s="114" t="s">
        <v>118</v>
      </c>
      <c r="B49" s="114" t="s">
        <v>119</v>
      </c>
      <c r="C49" s="114" t="s">
        <v>15</v>
      </c>
      <c r="D49" s="113" t="s">
        <v>120</v>
      </c>
      <c r="E49" s="114" t="s">
        <v>23</v>
      </c>
      <c r="F49" s="141">
        <v>974.12</v>
      </c>
      <c r="G49" s="143">
        <v>84.26</v>
      </c>
      <c r="H49" s="143">
        <f>TRUNC(G49*(1+22.88/100),2)</f>
        <v>103.53</v>
      </c>
      <c r="I49" s="143">
        <f>TRUNC(F49*H49,2)</f>
        <v>100850.64</v>
      </c>
      <c r="J49" s="139">
        <f t="shared" si="0"/>
        <v>0.023732007643168712</v>
      </c>
      <c r="L49" s="174"/>
    </row>
    <row r="50" spans="1:12" ht="20.1" customHeight="1">
      <c r="A50" s="114" t="s">
        <v>121</v>
      </c>
      <c r="B50" s="114" t="s">
        <v>122</v>
      </c>
      <c r="C50" s="114" t="s">
        <v>15</v>
      </c>
      <c r="D50" s="113" t="s">
        <v>123</v>
      </c>
      <c r="E50" s="114" t="s">
        <v>23</v>
      </c>
      <c r="F50" s="141">
        <v>368.68</v>
      </c>
      <c r="G50" s="143">
        <v>70.9</v>
      </c>
      <c r="H50" s="143">
        <f>TRUNC(G50*(1+22.88/100),2)</f>
        <v>87.12</v>
      </c>
      <c r="I50" s="143">
        <f>TRUNC(F50*H50,2)</f>
        <v>32119.4</v>
      </c>
      <c r="J50" s="139">
        <f t="shared" si="0"/>
        <v>0.007558284670221162</v>
      </c>
      <c r="L50" s="174"/>
    </row>
    <row r="51" spans="1:12" ht="20.1" customHeight="1">
      <c r="A51" s="114" t="s">
        <v>124</v>
      </c>
      <c r="B51" s="114" t="s">
        <v>125</v>
      </c>
      <c r="C51" s="114" t="s">
        <v>15</v>
      </c>
      <c r="D51" s="113" t="s">
        <v>126</v>
      </c>
      <c r="E51" s="114" t="s">
        <v>23</v>
      </c>
      <c r="F51" s="141">
        <v>200</v>
      </c>
      <c r="G51" s="143">
        <v>112.97</v>
      </c>
      <c r="H51" s="143">
        <f>TRUNC(G51*(1+22.88/100),2)</f>
        <v>138.81</v>
      </c>
      <c r="I51" s="143">
        <f>TRUNC(F51*H51,2)</f>
        <v>27762</v>
      </c>
      <c r="J51" s="139">
        <f t="shared" si="0"/>
        <v>0.006532908429630687</v>
      </c>
      <c r="L51" s="174"/>
    </row>
    <row r="52" spans="1:12" ht="20.1" customHeight="1">
      <c r="A52" s="145" t="s">
        <v>127</v>
      </c>
      <c r="B52" s="145"/>
      <c r="C52" s="145"/>
      <c r="D52" s="146" t="s">
        <v>787</v>
      </c>
      <c r="E52" s="146"/>
      <c r="F52" s="147"/>
      <c r="G52" s="148"/>
      <c r="H52" s="148"/>
      <c r="I52" s="148">
        <f>SUM(I53:I54)</f>
        <v>18626.2</v>
      </c>
      <c r="J52" s="149">
        <f t="shared" si="0"/>
        <v>0.004383086917080438</v>
      </c>
      <c r="L52" s="174"/>
    </row>
    <row r="53" spans="1:12" ht="20.1" customHeight="1">
      <c r="A53" s="114" t="s">
        <v>128</v>
      </c>
      <c r="B53" s="114" t="s">
        <v>129</v>
      </c>
      <c r="C53" s="114" t="s">
        <v>15</v>
      </c>
      <c r="D53" s="113" t="s">
        <v>130</v>
      </c>
      <c r="E53" s="114" t="s">
        <v>131</v>
      </c>
      <c r="F53" s="141">
        <v>155</v>
      </c>
      <c r="G53" s="143">
        <v>86.5</v>
      </c>
      <c r="H53" s="143">
        <f>TRUNC(G53*(1+22.88/100),2)</f>
        <v>106.29</v>
      </c>
      <c r="I53" s="143">
        <f>TRUNC(F53*H53,2)</f>
        <v>16474.95</v>
      </c>
      <c r="J53" s="139">
        <f t="shared" si="0"/>
        <v>0.00387685828588517</v>
      </c>
      <c r="L53" s="174"/>
    </row>
    <row r="54" spans="1:12" ht="20.1" customHeight="1">
      <c r="A54" s="114" t="s">
        <v>132</v>
      </c>
      <c r="B54" s="114" t="s">
        <v>133</v>
      </c>
      <c r="C54" s="114" t="s">
        <v>15</v>
      </c>
      <c r="D54" s="113" t="s">
        <v>134</v>
      </c>
      <c r="E54" s="114" t="s">
        <v>131</v>
      </c>
      <c r="F54" s="141">
        <v>25</v>
      </c>
      <c r="G54" s="143">
        <v>70.03</v>
      </c>
      <c r="H54" s="143">
        <f>TRUNC(G54*(1+22.88/100),2)</f>
        <v>86.05</v>
      </c>
      <c r="I54" s="143">
        <f>TRUNC(F54*H54,2)</f>
        <v>2151.25</v>
      </c>
      <c r="J54" s="139">
        <f t="shared" si="0"/>
        <v>0.0005062286311952674</v>
      </c>
      <c r="L54" s="174"/>
    </row>
    <row r="55" spans="1:12" ht="20.1" customHeight="1">
      <c r="A55" s="145" t="s">
        <v>135</v>
      </c>
      <c r="B55" s="145"/>
      <c r="C55" s="145"/>
      <c r="D55" s="146" t="s">
        <v>136</v>
      </c>
      <c r="E55" s="146"/>
      <c r="F55" s="147"/>
      <c r="G55" s="148"/>
      <c r="H55" s="148"/>
      <c r="I55" s="148">
        <f>SUM(I56)</f>
        <v>9195.26</v>
      </c>
      <c r="J55" s="149">
        <f t="shared" si="0"/>
        <v>0.0021638135424913866</v>
      </c>
      <c r="K55" s="256">
        <f>I55/2</f>
        <v>4597.63</v>
      </c>
      <c r="L55" s="174"/>
    </row>
    <row r="56" spans="1:12" ht="25.5">
      <c r="A56" s="114" t="s">
        <v>137</v>
      </c>
      <c r="B56" s="114" t="s">
        <v>138</v>
      </c>
      <c r="C56" s="114" t="s">
        <v>15</v>
      </c>
      <c r="D56" s="113" t="s">
        <v>139</v>
      </c>
      <c r="E56" s="114" t="s">
        <v>23</v>
      </c>
      <c r="F56" s="141">
        <v>230.4</v>
      </c>
      <c r="G56" s="143">
        <v>32.48</v>
      </c>
      <c r="H56" s="143">
        <f>TRUNC(G56*(1+22.88/100),2)</f>
        <v>39.91</v>
      </c>
      <c r="I56" s="143">
        <f>TRUNC(F56*H56,2)</f>
        <v>9195.26</v>
      </c>
      <c r="J56" s="139">
        <f t="shared" si="0"/>
        <v>0.0021638135424913866</v>
      </c>
      <c r="L56" s="174"/>
    </row>
    <row r="57" spans="1:12" ht="20.1" customHeight="1">
      <c r="A57" s="145" t="s">
        <v>140</v>
      </c>
      <c r="B57" s="145"/>
      <c r="C57" s="145"/>
      <c r="D57" s="146" t="s">
        <v>141</v>
      </c>
      <c r="E57" s="146"/>
      <c r="F57" s="147"/>
      <c r="G57" s="148"/>
      <c r="H57" s="148"/>
      <c r="I57" s="148">
        <f>SUM(I58,I60,I64)</f>
        <v>310992.24</v>
      </c>
      <c r="J57" s="149">
        <f t="shared" si="0"/>
        <v>0.07318218522605467</v>
      </c>
      <c r="K57" s="256">
        <f>I57/2</f>
        <v>155496.12</v>
      </c>
      <c r="L57" s="174"/>
    </row>
    <row r="58" spans="1:12" ht="20.1" customHeight="1">
      <c r="A58" s="145" t="s">
        <v>142</v>
      </c>
      <c r="B58" s="145"/>
      <c r="C58" s="145"/>
      <c r="D58" s="146" t="s">
        <v>788</v>
      </c>
      <c r="E58" s="146"/>
      <c r="F58" s="147"/>
      <c r="G58" s="148"/>
      <c r="H58" s="148"/>
      <c r="I58" s="148">
        <f>SUM(I59)</f>
        <v>30205.19</v>
      </c>
      <c r="J58" s="149">
        <f t="shared" si="0"/>
        <v>0.007107835904099003</v>
      </c>
      <c r="L58" s="174"/>
    </row>
    <row r="59" spans="1:12" ht="20.1" customHeight="1">
      <c r="A59" s="114" t="s">
        <v>143</v>
      </c>
      <c r="B59" s="114" t="s">
        <v>144</v>
      </c>
      <c r="C59" s="114" t="s">
        <v>15</v>
      </c>
      <c r="D59" s="113" t="s">
        <v>145</v>
      </c>
      <c r="E59" s="114" t="s">
        <v>23</v>
      </c>
      <c r="F59" s="141">
        <v>55.76</v>
      </c>
      <c r="G59" s="143">
        <v>440.84</v>
      </c>
      <c r="H59" s="143">
        <f>TRUNC(G59*(1+22.88/100),2)</f>
        <v>541.7</v>
      </c>
      <c r="I59" s="143">
        <f>TRUNC(F59*H59,2)</f>
        <v>30205.19</v>
      </c>
      <c r="J59" s="139">
        <f t="shared" si="0"/>
        <v>0.007107835904099003</v>
      </c>
      <c r="L59" s="174"/>
    </row>
    <row r="60" spans="1:12" ht="20.1" customHeight="1">
      <c r="A60" s="145" t="s">
        <v>146</v>
      </c>
      <c r="B60" s="145"/>
      <c r="C60" s="145"/>
      <c r="D60" s="146" t="s">
        <v>789</v>
      </c>
      <c r="E60" s="146"/>
      <c r="F60" s="147"/>
      <c r="G60" s="148"/>
      <c r="H60" s="148"/>
      <c r="I60" s="148">
        <f>SUM(I61:I63)</f>
        <v>128743.91</v>
      </c>
      <c r="J60" s="149">
        <f t="shared" si="0"/>
        <v>0.03029580631448075</v>
      </c>
      <c r="L60" s="174"/>
    </row>
    <row r="61" spans="1:12" ht="20.1" customHeight="1">
      <c r="A61" s="114" t="s">
        <v>147</v>
      </c>
      <c r="B61" s="114" t="s">
        <v>148</v>
      </c>
      <c r="C61" s="114" t="s">
        <v>149</v>
      </c>
      <c r="D61" s="113" t="s">
        <v>150</v>
      </c>
      <c r="E61" s="114" t="s">
        <v>53</v>
      </c>
      <c r="F61" s="141">
        <v>162.52</v>
      </c>
      <c r="G61" s="143">
        <v>579.52</v>
      </c>
      <c r="H61" s="143">
        <f>TRUNC(G61*(1+22.88/100),2)</f>
        <v>712.11</v>
      </c>
      <c r="I61" s="143">
        <f>TRUNC(F61*H61,2)</f>
        <v>115732.11</v>
      </c>
      <c r="J61" s="139">
        <f t="shared" si="0"/>
        <v>0.027233890821912903</v>
      </c>
      <c r="L61" s="174"/>
    </row>
    <row r="62" spans="1:12" ht="20.1" customHeight="1">
      <c r="A62" s="114" t="s">
        <v>151</v>
      </c>
      <c r="B62" s="114" t="s">
        <v>790</v>
      </c>
      <c r="C62" s="114" t="s">
        <v>15</v>
      </c>
      <c r="D62" s="113" t="s">
        <v>152</v>
      </c>
      <c r="E62" s="114" t="s">
        <v>23</v>
      </c>
      <c r="F62" s="141">
        <v>3.3</v>
      </c>
      <c r="G62" s="143">
        <v>426.33</v>
      </c>
      <c r="H62" s="143">
        <f>TRUNC(G62*(1+22.88/100),2)</f>
        <v>523.87</v>
      </c>
      <c r="I62" s="143">
        <f>TRUNC(F62*H62,2)</f>
        <v>1728.77</v>
      </c>
      <c r="J62" s="139">
        <f t="shared" si="0"/>
        <v>0.0004068113286468065</v>
      </c>
      <c r="L62" s="174"/>
    </row>
    <row r="63" spans="1:12" ht="25.5">
      <c r="A63" s="114" t="s">
        <v>153</v>
      </c>
      <c r="B63" s="114" t="s">
        <v>154</v>
      </c>
      <c r="C63" s="114" t="s">
        <v>15</v>
      </c>
      <c r="D63" s="113" t="s">
        <v>155</v>
      </c>
      <c r="E63" s="114" t="s">
        <v>23</v>
      </c>
      <c r="F63" s="141">
        <v>9</v>
      </c>
      <c r="G63" s="143">
        <v>1020.24</v>
      </c>
      <c r="H63" s="143">
        <f>TRUNC(G63*(1+22.88/100),2)</f>
        <v>1253.67</v>
      </c>
      <c r="I63" s="143">
        <f>TRUNC(F63*H63,2)</f>
        <v>11283.03</v>
      </c>
      <c r="J63" s="139">
        <f t="shared" si="0"/>
        <v>0.002655104163921041</v>
      </c>
      <c r="L63" s="174"/>
    </row>
    <row r="64" spans="1:12" ht="20.1" customHeight="1">
      <c r="A64" s="145" t="s">
        <v>156</v>
      </c>
      <c r="B64" s="145"/>
      <c r="C64" s="145"/>
      <c r="D64" s="146" t="s">
        <v>791</v>
      </c>
      <c r="E64" s="146"/>
      <c r="F64" s="147"/>
      <c r="G64" s="148"/>
      <c r="H64" s="148"/>
      <c r="I64" s="148">
        <f>SUM(I65:I67)</f>
        <v>152043.14</v>
      </c>
      <c r="J64" s="149">
        <f t="shared" si="0"/>
        <v>0.035778543007474926</v>
      </c>
      <c r="L64" s="174"/>
    </row>
    <row r="65" spans="1:12" ht="20.1" customHeight="1">
      <c r="A65" s="114" t="s">
        <v>157</v>
      </c>
      <c r="B65" s="114" t="s">
        <v>792</v>
      </c>
      <c r="C65" s="114" t="s">
        <v>15</v>
      </c>
      <c r="D65" s="113" t="s">
        <v>158</v>
      </c>
      <c r="E65" s="114" t="s">
        <v>23</v>
      </c>
      <c r="F65" s="141">
        <v>38.96</v>
      </c>
      <c r="G65" s="143">
        <v>1479.76</v>
      </c>
      <c r="H65" s="143">
        <f>TRUNC(G65*(1+22.88/100),2)</f>
        <v>1818.32</v>
      </c>
      <c r="I65" s="143">
        <f>TRUNC(F65*H65,2)</f>
        <v>70841.74</v>
      </c>
      <c r="J65" s="139">
        <f t="shared" si="0"/>
        <v>0.01667036238079769</v>
      </c>
      <c r="L65" s="174"/>
    </row>
    <row r="66" spans="1:12" ht="20.1" customHeight="1">
      <c r="A66" s="114" t="s">
        <v>159</v>
      </c>
      <c r="B66" s="114" t="s">
        <v>160</v>
      </c>
      <c r="C66" s="114" t="s">
        <v>15</v>
      </c>
      <c r="D66" s="113" t="s">
        <v>161</v>
      </c>
      <c r="E66" s="114" t="s">
        <v>23</v>
      </c>
      <c r="F66" s="141">
        <v>86.46</v>
      </c>
      <c r="G66" s="143">
        <v>759.62</v>
      </c>
      <c r="H66" s="143">
        <f>TRUNC(G66*(1+22.88/100),2)</f>
        <v>933.42</v>
      </c>
      <c r="I66" s="143">
        <f>TRUNC(F66*H66,2)</f>
        <v>80703.49</v>
      </c>
      <c r="J66" s="139">
        <f t="shared" si="0"/>
        <v>0.0189910132599098</v>
      </c>
      <c r="L66" s="174"/>
    </row>
    <row r="67" spans="1:12" ht="20.1" customHeight="1">
      <c r="A67" s="114" t="s">
        <v>162</v>
      </c>
      <c r="B67" s="114" t="s">
        <v>163</v>
      </c>
      <c r="C67" s="114" t="s">
        <v>15</v>
      </c>
      <c r="D67" s="113" t="s">
        <v>164</v>
      </c>
      <c r="E67" s="114" t="s">
        <v>23</v>
      </c>
      <c r="F67" s="141">
        <v>1.66</v>
      </c>
      <c r="G67" s="143">
        <v>244.1</v>
      </c>
      <c r="H67" s="143">
        <f>TRUNC(G67*(1+22.88/100),2)</f>
        <v>299.95</v>
      </c>
      <c r="I67" s="143">
        <f>TRUNC(F67*H67,2)</f>
        <v>497.91</v>
      </c>
      <c r="J67" s="139">
        <f t="shared" si="0"/>
        <v>0.00011716736676743086</v>
      </c>
      <c r="L67" s="174"/>
    </row>
    <row r="68" spans="1:12" ht="20.1" customHeight="1">
      <c r="A68" s="145" t="s">
        <v>165</v>
      </c>
      <c r="B68" s="145"/>
      <c r="C68" s="145"/>
      <c r="D68" s="146" t="s">
        <v>166</v>
      </c>
      <c r="E68" s="146"/>
      <c r="F68" s="147"/>
      <c r="G68" s="148"/>
      <c r="H68" s="148"/>
      <c r="I68" s="148">
        <f>SUM(I69)</f>
        <v>8833.82</v>
      </c>
      <c r="J68" s="149">
        <f t="shared" si="0"/>
        <v>0.0020787600728996527</v>
      </c>
      <c r="K68" s="256">
        <f>I68</f>
        <v>8833.82</v>
      </c>
      <c r="L68" s="174"/>
    </row>
    <row r="69" spans="1:12" ht="20.1" customHeight="1">
      <c r="A69" s="145" t="s">
        <v>167</v>
      </c>
      <c r="B69" s="145"/>
      <c r="C69" s="145"/>
      <c r="D69" s="146" t="s">
        <v>793</v>
      </c>
      <c r="E69" s="146"/>
      <c r="F69" s="147"/>
      <c r="G69" s="148"/>
      <c r="H69" s="148"/>
      <c r="I69" s="148">
        <f>SUM(I70:I75)</f>
        <v>8833.82</v>
      </c>
      <c r="J69" s="149">
        <f t="shared" si="0"/>
        <v>0.0020787600728996527</v>
      </c>
      <c r="L69" s="174"/>
    </row>
    <row r="70" spans="1:12" ht="20.1" customHeight="1">
      <c r="A70" s="114" t="s">
        <v>168</v>
      </c>
      <c r="B70" s="114" t="s">
        <v>169</v>
      </c>
      <c r="C70" s="114" t="s">
        <v>15</v>
      </c>
      <c r="D70" s="113" t="s">
        <v>170</v>
      </c>
      <c r="E70" s="114" t="s">
        <v>53</v>
      </c>
      <c r="F70" s="141">
        <v>2</v>
      </c>
      <c r="G70" s="143">
        <v>79.25</v>
      </c>
      <c r="H70" s="143">
        <f aca="true" t="shared" si="5" ref="H70:H75">TRUNC(G70*(1+22.88/100),2)</f>
        <v>97.38</v>
      </c>
      <c r="I70" s="143">
        <f aca="true" t="shared" si="6" ref="I70:I75">TRUNC(F70*H70,2)</f>
        <v>194.76</v>
      </c>
      <c r="J70" s="139">
        <f t="shared" si="0"/>
        <v>4.58306046306056E-05</v>
      </c>
      <c r="L70" s="174"/>
    </row>
    <row r="71" spans="1:12" ht="20.1" customHeight="1">
      <c r="A71" s="114" t="s">
        <v>171</v>
      </c>
      <c r="B71" s="114" t="s">
        <v>172</v>
      </c>
      <c r="C71" s="114" t="s">
        <v>15</v>
      </c>
      <c r="D71" s="113" t="s">
        <v>173</v>
      </c>
      <c r="E71" s="114" t="s">
        <v>53</v>
      </c>
      <c r="F71" s="141">
        <v>26</v>
      </c>
      <c r="G71" s="143">
        <v>118.53</v>
      </c>
      <c r="H71" s="143">
        <f t="shared" si="5"/>
        <v>145.64</v>
      </c>
      <c r="I71" s="143">
        <f t="shared" si="6"/>
        <v>3786.64</v>
      </c>
      <c r="J71" s="139">
        <f t="shared" si="0"/>
        <v>0.0008910659309839617</v>
      </c>
      <c r="L71" s="174"/>
    </row>
    <row r="72" spans="1:12" ht="20.1" customHeight="1">
      <c r="A72" s="114" t="s">
        <v>174</v>
      </c>
      <c r="B72" s="114" t="s">
        <v>175</v>
      </c>
      <c r="C72" s="114" t="s">
        <v>15</v>
      </c>
      <c r="D72" s="113" t="s">
        <v>176</v>
      </c>
      <c r="E72" s="114" t="s">
        <v>53</v>
      </c>
      <c r="F72" s="141">
        <v>4</v>
      </c>
      <c r="G72" s="143">
        <v>92.21</v>
      </c>
      <c r="H72" s="143">
        <f t="shared" si="5"/>
        <v>113.3</v>
      </c>
      <c r="I72" s="143">
        <f t="shared" si="6"/>
        <v>453.2</v>
      </c>
      <c r="J72" s="139">
        <f t="shared" si="0"/>
        <v>0.00010664628269968401</v>
      </c>
      <c r="L72" s="174"/>
    </row>
    <row r="73" spans="1:12" ht="38.25">
      <c r="A73" s="114" t="s">
        <v>177</v>
      </c>
      <c r="B73" s="114" t="s">
        <v>799</v>
      </c>
      <c r="C73" s="114" t="s">
        <v>19</v>
      </c>
      <c r="D73" s="113" t="s">
        <v>800</v>
      </c>
      <c r="E73" s="114" t="s">
        <v>801</v>
      </c>
      <c r="F73" s="141">
        <v>4</v>
      </c>
      <c r="G73" s="143">
        <v>258.69</v>
      </c>
      <c r="H73" s="143">
        <f t="shared" si="5"/>
        <v>317.87</v>
      </c>
      <c r="I73" s="143">
        <f t="shared" si="6"/>
        <v>1271.48</v>
      </c>
      <c r="J73" s="139">
        <f t="shared" si="0"/>
        <v>0.00029920259383714524</v>
      </c>
      <c r="L73" s="174"/>
    </row>
    <row r="74" spans="1:12" ht="25.5">
      <c r="A74" s="114" t="s">
        <v>179</v>
      </c>
      <c r="B74" s="114" t="s">
        <v>802</v>
      </c>
      <c r="C74" s="114" t="s">
        <v>19</v>
      </c>
      <c r="D74" s="113" t="s">
        <v>803</v>
      </c>
      <c r="E74" s="114" t="s">
        <v>801</v>
      </c>
      <c r="F74" s="141">
        <v>8</v>
      </c>
      <c r="G74" s="143">
        <v>241.28</v>
      </c>
      <c r="H74" s="143">
        <f t="shared" si="5"/>
        <v>296.48</v>
      </c>
      <c r="I74" s="143">
        <f t="shared" si="6"/>
        <v>2371.84</v>
      </c>
      <c r="J74" s="139">
        <f aca="true" t="shared" si="7" ref="J74:J137">I74/4249562.09</f>
        <v>0.0005581375091756808</v>
      </c>
      <c r="L74" s="174"/>
    </row>
    <row r="75" spans="1:12" ht="25.5">
      <c r="A75" s="114" t="s">
        <v>180</v>
      </c>
      <c r="B75" s="114" t="s">
        <v>804</v>
      </c>
      <c r="C75" s="114" t="s">
        <v>19</v>
      </c>
      <c r="D75" s="113" t="s">
        <v>805</v>
      </c>
      <c r="E75" s="114" t="s">
        <v>801</v>
      </c>
      <c r="F75" s="141">
        <v>2</v>
      </c>
      <c r="G75" s="143">
        <v>307.58</v>
      </c>
      <c r="H75" s="143">
        <f t="shared" si="5"/>
        <v>377.95</v>
      </c>
      <c r="I75" s="143">
        <f t="shared" si="6"/>
        <v>755.9</v>
      </c>
      <c r="J75" s="139">
        <f t="shared" si="7"/>
        <v>0.00017787715157257532</v>
      </c>
      <c r="L75" s="174"/>
    </row>
    <row r="76" spans="1:12" ht="20.1" customHeight="1">
      <c r="A76" s="145" t="s">
        <v>181</v>
      </c>
      <c r="B76" s="145"/>
      <c r="C76" s="145"/>
      <c r="D76" s="146" t="s">
        <v>182</v>
      </c>
      <c r="E76" s="146"/>
      <c r="F76" s="147"/>
      <c r="G76" s="148"/>
      <c r="H76" s="148"/>
      <c r="I76" s="148">
        <f>SUM(I77:I82)</f>
        <v>308834.08</v>
      </c>
      <c r="J76" s="149">
        <f t="shared" si="7"/>
        <v>0.07267433054496211</v>
      </c>
      <c r="K76" s="256">
        <f>I76/4</f>
        <v>77208.52</v>
      </c>
      <c r="L76" s="174"/>
    </row>
    <row r="77" spans="1:12" ht="20.1" customHeight="1">
      <c r="A77" s="114" t="s">
        <v>183</v>
      </c>
      <c r="B77" s="114" t="s">
        <v>184</v>
      </c>
      <c r="C77" s="114" t="s">
        <v>15</v>
      </c>
      <c r="D77" s="113" t="s">
        <v>185</v>
      </c>
      <c r="E77" s="114" t="s">
        <v>23</v>
      </c>
      <c r="F77" s="141">
        <v>752.8</v>
      </c>
      <c r="G77" s="143">
        <v>126.55</v>
      </c>
      <c r="H77" s="143">
        <f aca="true" t="shared" si="8" ref="H77:H82">TRUNC(G77*(1+22.88/100),2)</f>
        <v>155.5</v>
      </c>
      <c r="I77" s="143">
        <f aca="true" t="shared" si="9" ref="I77:I82">TRUNC(F77*H77,2)</f>
        <v>117060.4</v>
      </c>
      <c r="J77" s="139">
        <f t="shared" si="7"/>
        <v>0.02754646185202579</v>
      </c>
      <c r="L77" s="174"/>
    </row>
    <row r="78" spans="1:12" ht="20.1" customHeight="1">
      <c r="A78" s="114" t="s">
        <v>186</v>
      </c>
      <c r="B78" s="114" t="s">
        <v>187</v>
      </c>
      <c r="C78" s="114" t="s">
        <v>15</v>
      </c>
      <c r="D78" s="113" t="s">
        <v>188</v>
      </c>
      <c r="E78" s="114" t="s">
        <v>23</v>
      </c>
      <c r="F78" s="141">
        <v>2152.95</v>
      </c>
      <c r="G78" s="143">
        <v>11.67</v>
      </c>
      <c r="H78" s="143">
        <f t="shared" si="8"/>
        <v>14.34</v>
      </c>
      <c r="I78" s="143">
        <f t="shared" si="9"/>
        <v>30873.3</v>
      </c>
      <c r="J78" s="139">
        <f t="shared" si="7"/>
        <v>0.0072650544564698905</v>
      </c>
      <c r="L78" s="174"/>
    </row>
    <row r="79" spans="1:12" ht="20.1" customHeight="1">
      <c r="A79" s="114" t="s">
        <v>189</v>
      </c>
      <c r="B79" s="114" t="s">
        <v>190</v>
      </c>
      <c r="C79" s="114" t="s">
        <v>15</v>
      </c>
      <c r="D79" s="113" t="s">
        <v>191</v>
      </c>
      <c r="E79" s="114" t="s">
        <v>23</v>
      </c>
      <c r="F79" s="141">
        <v>15</v>
      </c>
      <c r="G79" s="143">
        <v>533.52</v>
      </c>
      <c r="H79" s="143">
        <f t="shared" si="8"/>
        <v>655.58</v>
      </c>
      <c r="I79" s="143">
        <f t="shared" si="9"/>
        <v>9833.7</v>
      </c>
      <c r="J79" s="139">
        <f t="shared" si="7"/>
        <v>0.0023140501989935627</v>
      </c>
      <c r="L79" s="174"/>
    </row>
    <row r="80" spans="1:12" ht="20.1" customHeight="1">
      <c r="A80" s="114" t="s">
        <v>192</v>
      </c>
      <c r="B80" s="114" t="s">
        <v>193</v>
      </c>
      <c r="C80" s="114" t="s">
        <v>15</v>
      </c>
      <c r="D80" s="113" t="s">
        <v>194</v>
      </c>
      <c r="E80" s="114" t="s">
        <v>23</v>
      </c>
      <c r="F80" s="141">
        <v>1107.71</v>
      </c>
      <c r="G80" s="143">
        <v>47.7</v>
      </c>
      <c r="H80" s="143">
        <f t="shared" si="8"/>
        <v>58.61</v>
      </c>
      <c r="I80" s="143">
        <f t="shared" si="9"/>
        <v>64922.88</v>
      </c>
      <c r="J80" s="139">
        <f t="shared" si="7"/>
        <v>0.015277545927091043</v>
      </c>
      <c r="L80" s="174"/>
    </row>
    <row r="81" spans="1:12" ht="20.1" customHeight="1">
      <c r="A81" s="114" t="s">
        <v>195</v>
      </c>
      <c r="B81" s="114" t="s">
        <v>812</v>
      </c>
      <c r="C81" s="114" t="s">
        <v>15</v>
      </c>
      <c r="D81" s="113" t="s">
        <v>813</v>
      </c>
      <c r="E81" s="114" t="s">
        <v>23</v>
      </c>
      <c r="F81" s="141">
        <v>1045.24</v>
      </c>
      <c r="G81" s="143">
        <v>40.72</v>
      </c>
      <c r="H81" s="143">
        <f t="shared" si="8"/>
        <v>50.03</v>
      </c>
      <c r="I81" s="143">
        <f t="shared" si="9"/>
        <v>52293.35</v>
      </c>
      <c r="J81" s="139">
        <f t="shared" si="7"/>
        <v>0.01230558558564325</v>
      </c>
      <c r="L81" s="174"/>
    </row>
    <row r="82" spans="1:12" ht="20.1" customHeight="1">
      <c r="A82" s="114" t="s">
        <v>814</v>
      </c>
      <c r="B82" s="114" t="s">
        <v>196</v>
      </c>
      <c r="C82" s="114" t="s">
        <v>15</v>
      </c>
      <c r="D82" s="113" t="s">
        <v>197</v>
      </c>
      <c r="E82" s="114" t="s">
        <v>23</v>
      </c>
      <c r="F82" s="141">
        <v>277.44</v>
      </c>
      <c r="G82" s="143">
        <v>99.3</v>
      </c>
      <c r="H82" s="143">
        <f t="shared" si="8"/>
        <v>122.01</v>
      </c>
      <c r="I82" s="143">
        <f t="shared" si="9"/>
        <v>33850.45</v>
      </c>
      <c r="J82" s="139">
        <f t="shared" si="7"/>
        <v>0.007965632524738567</v>
      </c>
      <c r="L82" s="174"/>
    </row>
    <row r="83" spans="1:12" ht="20.1" customHeight="1">
      <c r="A83" s="145" t="s">
        <v>198</v>
      </c>
      <c r="B83" s="145"/>
      <c r="C83" s="145"/>
      <c r="D83" s="146" t="s">
        <v>199</v>
      </c>
      <c r="E83" s="146"/>
      <c r="F83" s="147"/>
      <c r="G83" s="148"/>
      <c r="H83" s="148"/>
      <c r="I83" s="148">
        <f>SUM(I84:I85)</f>
        <v>24297.39</v>
      </c>
      <c r="J83" s="149">
        <f t="shared" si="7"/>
        <v>0.00571762207150149</v>
      </c>
      <c r="K83" s="256">
        <f>I83</f>
        <v>24297.39</v>
      </c>
      <c r="L83" s="174"/>
    </row>
    <row r="84" spans="1:12" ht="20.1" customHeight="1">
      <c r="A84" s="114" t="s">
        <v>200</v>
      </c>
      <c r="B84" s="114" t="s">
        <v>201</v>
      </c>
      <c r="C84" s="114" t="s">
        <v>15</v>
      </c>
      <c r="D84" s="113" t="s">
        <v>202</v>
      </c>
      <c r="E84" s="114" t="s">
        <v>131</v>
      </c>
      <c r="F84" s="141">
        <v>284.2</v>
      </c>
      <c r="G84" s="143">
        <v>12.54</v>
      </c>
      <c r="H84" s="143">
        <f>TRUNC(G84*(1+22.88/100),2)</f>
        <v>15.4</v>
      </c>
      <c r="I84" s="143">
        <f>TRUNC(F84*H84,2)</f>
        <v>4376.68</v>
      </c>
      <c r="J84" s="139">
        <f t="shared" si="7"/>
        <v>0.0010299131786541329</v>
      </c>
      <c r="L84" s="174"/>
    </row>
    <row r="85" spans="1:12" ht="20.1" customHeight="1">
      <c r="A85" s="114" t="s">
        <v>203</v>
      </c>
      <c r="B85" s="114" t="s">
        <v>204</v>
      </c>
      <c r="C85" s="114" t="s">
        <v>15</v>
      </c>
      <c r="D85" s="113" t="s">
        <v>205</v>
      </c>
      <c r="E85" s="114" t="s">
        <v>23</v>
      </c>
      <c r="F85" s="141">
        <v>23.64</v>
      </c>
      <c r="G85" s="143">
        <v>685.77</v>
      </c>
      <c r="H85" s="143">
        <f>TRUNC(G85*(1+22.88/100),2)</f>
        <v>842.67</v>
      </c>
      <c r="I85" s="143">
        <f>TRUNC(F85*H85,2)</f>
        <v>19920.71</v>
      </c>
      <c r="J85" s="139">
        <f t="shared" si="7"/>
        <v>0.0046877088928473564</v>
      </c>
      <c r="L85" s="174"/>
    </row>
    <row r="86" spans="1:12" ht="20.1" customHeight="1">
      <c r="A86" s="145" t="s">
        <v>206</v>
      </c>
      <c r="B86" s="145"/>
      <c r="C86" s="145"/>
      <c r="D86" s="146" t="s">
        <v>207</v>
      </c>
      <c r="E86" s="146"/>
      <c r="F86" s="147"/>
      <c r="G86" s="148"/>
      <c r="H86" s="148"/>
      <c r="I86" s="148">
        <f>SUM(I87:I93)</f>
        <v>547417.6200000001</v>
      </c>
      <c r="J86" s="149">
        <f t="shared" si="7"/>
        <v>0.1288174189260993</v>
      </c>
      <c r="K86" s="256">
        <f>I86/5</f>
        <v>109483.52400000002</v>
      </c>
      <c r="L86" s="174"/>
    </row>
    <row r="87" spans="1:12" ht="20.1" customHeight="1">
      <c r="A87" s="114" t="s">
        <v>208</v>
      </c>
      <c r="B87" s="114" t="s">
        <v>209</v>
      </c>
      <c r="C87" s="114" t="s">
        <v>15</v>
      </c>
      <c r="D87" s="113" t="s">
        <v>210</v>
      </c>
      <c r="E87" s="114" t="s">
        <v>23</v>
      </c>
      <c r="F87" s="141">
        <v>2012.5</v>
      </c>
      <c r="G87" s="143">
        <v>75.7</v>
      </c>
      <c r="H87" s="143">
        <f aca="true" t="shared" si="10" ref="H87:H93">TRUNC(G87*(1+22.88/100),2)</f>
        <v>93.02</v>
      </c>
      <c r="I87" s="143">
        <f aca="true" t="shared" si="11" ref="I87:I93">TRUNC(F87*H87,2)</f>
        <v>187202.75</v>
      </c>
      <c r="J87" s="139">
        <f t="shared" si="7"/>
        <v>0.04405224492201737</v>
      </c>
      <c r="L87" s="174"/>
    </row>
    <row r="88" spans="1:12" ht="20.1" customHeight="1">
      <c r="A88" s="114" t="s">
        <v>211</v>
      </c>
      <c r="B88" s="114" t="s">
        <v>212</v>
      </c>
      <c r="C88" s="114" t="s">
        <v>15</v>
      </c>
      <c r="D88" s="113" t="s">
        <v>213</v>
      </c>
      <c r="E88" s="114" t="s">
        <v>23</v>
      </c>
      <c r="F88" s="141">
        <v>105</v>
      </c>
      <c r="G88" s="143">
        <v>101.55</v>
      </c>
      <c r="H88" s="143">
        <f t="shared" si="10"/>
        <v>124.78</v>
      </c>
      <c r="I88" s="143">
        <f t="shared" si="11"/>
        <v>13101.9</v>
      </c>
      <c r="J88" s="139">
        <f t="shared" si="7"/>
        <v>0.0030831176771910634</v>
      </c>
      <c r="L88" s="174"/>
    </row>
    <row r="89" spans="1:12" ht="20.1" customHeight="1">
      <c r="A89" s="114" t="s">
        <v>214</v>
      </c>
      <c r="B89" s="114" t="s">
        <v>215</v>
      </c>
      <c r="C89" s="114" t="s">
        <v>15</v>
      </c>
      <c r="D89" s="113" t="s">
        <v>217</v>
      </c>
      <c r="E89" s="114" t="s">
        <v>23</v>
      </c>
      <c r="F89" s="141">
        <v>45</v>
      </c>
      <c r="G89" s="143">
        <v>99.26</v>
      </c>
      <c r="H89" s="143">
        <f t="shared" si="10"/>
        <v>121.97</v>
      </c>
      <c r="I89" s="143">
        <f t="shared" si="11"/>
        <v>5488.65</v>
      </c>
      <c r="J89" s="139">
        <f t="shared" si="7"/>
        <v>0.0012915801402021638</v>
      </c>
      <c r="L89" s="174"/>
    </row>
    <row r="90" spans="1:12" ht="25.5">
      <c r="A90" s="114" t="s">
        <v>218</v>
      </c>
      <c r="B90" s="114" t="s">
        <v>219</v>
      </c>
      <c r="C90" s="114" t="s">
        <v>15</v>
      </c>
      <c r="D90" s="113" t="s">
        <v>220</v>
      </c>
      <c r="E90" s="114" t="s">
        <v>23</v>
      </c>
      <c r="F90" s="141">
        <v>2012.5</v>
      </c>
      <c r="G90" s="143">
        <v>125.72</v>
      </c>
      <c r="H90" s="143">
        <f t="shared" si="10"/>
        <v>154.48</v>
      </c>
      <c r="I90" s="143">
        <f t="shared" si="11"/>
        <v>310891</v>
      </c>
      <c r="J90" s="139">
        <f t="shared" si="7"/>
        <v>0.07315836159485319</v>
      </c>
      <c r="L90" s="174"/>
    </row>
    <row r="91" spans="1:12" ht="20.1" customHeight="1">
      <c r="A91" s="114" t="s">
        <v>221</v>
      </c>
      <c r="B91" s="114" t="s">
        <v>222</v>
      </c>
      <c r="C91" s="114" t="s">
        <v>15</v>
      </c>
      <c r="D91" s="113" t="s">
        <v>223</v>
      </c>
      <c r="E91" s="114" t="s">
        <v>23</v>
      </c>
      <c r="F91" s="141">
        <v>80</v>
      </c>
      <c r="G91" s="143">
        <v>174.12</v>
      </c>
      <c r="H91" s="143">
        <f t="shared" si="10"/>
        <v>213.95</v>
      </c>
      <c r="I91" s="143">
        <f t="shared" si="11"/>
        <v>17116</v>
      </c>
      <c r="J91" s="139">
        <f t="shared" si="7"/>
        <v>0.004027709123318163</v>
      </c>
      <c r="L91" s="174"/>
    </row>
    <row r="92" spans="1:12" ht="20.1" customHeight="1">
      <c r="A92" s="114" t="s">
        <v>224</v>
      </c>
      <c r="B92" s="114" t="s">
        <v>225</v>
      </c>
      <c r="C92" s="114" t="s">
        <v>15</v>
      </c>
      <c r="D92" s="113" t="s">
        <v>226</v>
      </c>
      <c r="E92" s="114" t="s">
        <v>23</v>
      </c>
      <c r="F92" s="141">
        <v>90</v>
      </c>
      <c r="G92" s="143">
        <v>117.74</v>
      </c>
      <c r="H92" s="143">
        <f t="shared" si="10"/>
        <v>144.67</v>
      </c>
      <c r="I92" s="143">
        <f t="shared" si="11"/>
        <v>13020.3</v>
      </c>
      <c r="J92" s="139">
        <f t="shared" si="7"/>
        <v>0.0030639156986643767</v>
      </c>
      <c r="L92" s="174"/>
    </row>
    <row r="93" spans="1:12" ht="25.5">
      <c r="A93" s="114" t="s">
        <v>227</v>
      </c>
      <c r="B93" s="114" t="s">
        <v>228</v>
      </c>
      <c r="C93" s="114" t="s">
        <v>15</v>
      </c>
      <c r="D93" s="113" t="s">
        <v>229</v>
      </c>
      <c r="E93" s="114" t="s">
        <v>23</v>
      </c>
      <c r="F93" s="141">
        <v>2.5</v>
      </c>
      <c r="G93" s="143">
        <v>194.35</v>
      </c>
      <c r="H93" s="143">
        <f t="shared" si="10"/>
        <v>238.81</v>
      </c>
      <c r="I93" s="143">
        <f t="shared" si="11"/>
        <v>597.02</v>
      </c>
      <c r="J93" s="139">
        <f t="shared" si="7"/>
        <v>0.00014048976985296855</v>
      </c>
      <c r="L93" s="174"/>
    </row>
    <row r="94" spans="1:12" ht="20.1" customHeight="1">
      <c r="A94" s="145" t="s">
        <v>230</v>
      </c>
      <c r="B94" s="145"/>
      <c r="C94" s="145"/>
      <c r="D94" s="146" t="s">
        <v>231</v>
      </c>
      <c r="E94" s="146"/>
      <c r="F94" s="147"/>
      <c r="G94" s="148"/>
      <c r="H94" s="148"/>
      <c r="I94" s="148">
        <f>SUM(I95:I96)</f>
        <v>80390.56</v>
      </c>
      <c r="J94" s="149">
        <f t="shared" si="7"/>
        <v>0.018917375084170143</v>
      </c>
      <c r="K94" s="256">
        <f>I94*33%</f>
        <v>26528.8848</v>
      </c>
      <c r="L94" s="257">
        <f>I94*34%</f>
        <v>27332.7904</v>
      </c>
    </row>
    <row r="95" spans="1:12" ht="20.1" customHeight="1">
      <c r="A95" s="114" t="s">
        <v>232</v>
      </c>
      <c r="B95" s="114" t="s">
        <v>233</v>
      </c>
      <c r="C95" s="114" t="s">
        <v>15</v>
      </c>
      <c r="D95" s="113" t="s">
        <v>234</v>
      </c>
      <c r="E95" s="114" t="s">
        <v>23</v>
      </c>
      <c r="F95" s="141">
        <v>685.4</v>
      </c>
      <c r="G95" s="143">
        <v>57.36</v>
      </c>
      <c r="H95" s="143">
        <f>TRUNC(G95*(1+22.88/100),2)</f>
        <v>70.48</v>
      </c>
      <c r="I95" s="143">
        <f>TRUNC(F95*H95,2)</f>
        <v>48306.99</v>
      </c>
      <c r="J95" s="139">
        <f t="shared" si="7"/>
        <v>0.011367521870941765</v>
      </c>
      <c r="L95" s="174"/>
    </row>
    <row r="96" spans="1:12" ht="20.1" customHeight="1">
      <c r="A96" s="114" t="s">
        <v>235</v>
      </c>
      <c r="B96" s="114" t="s">
        <v>236</v>
      </c>
      <c r="C96" s="114" t="s">
        <v>15</v>
      </c>
      <c r="D96" s="113" t="s">
        <v>237</v>
      </c>
      <c r="E96" s="114" t="s">
        <v>23</v>
      </c>
      <c r="F96" s="141">
        <v>685.4</v>
      </c>
      <c r="G96" s="143">
        <v>38.1</v>
      </c>
      <c r="H96" s="143">
        <f>TRUNC(G96*(1+22.88/100),2)</f>
        <v>46.81</v>
      </c>
      <c r="I96" s="143">
        <f>TRUNC(F96*H96,2)</f>
        <v>32083.57</v>
      </c>
      <c r="J96" s="139">
        <f t="shared" si="7"/>
        <v>0.007549853213228378</v>
      </c>
      <c r="L96" s="174"/>
    </row>
    <row r="97" spans="1:12" ht="20.1" customHeight="1">
      <c r="A97" s="145" t="s">
        <v>238</v>
      </c>
      <c r="B97" s="145"/>
      <c r="C97" s="145"/>
      <c r="D97" s="146" t="s">
        <v>239</v>
      </c>
      <c r="E97" s="146"/>
      <c r="F97" s="147"/>
      <c r="G97" s="148"/>
      <c r="H97" s="148"/>
      <c r="I97" s="148">
        <f>SUM(I98,I100)</f>
        <v>103162.15</v>
      </c>
      <c r="J97" s="149">
        <f t="shared" si="7"/>
        <v>0.024275948395426315</v>
      </c>
      <c r="K97" s="256">
        <f>I97*33%</f>
        <v>34043.5095</v>
      </c>
      <c r="L97" s="257">
        <f>I97*34%</f>
        <v>35075.131</v>
      </c>
    </row>
    <row r="98" spans="1:12" ht="20.1" customHeight="1">
      <c r="A98" s="145" t="s">
        <v>240</v>
      </c>
      <c r="B98" s="145"/>
      <c r="C98" s="145"/>
      <c r="D98" s="146" t="s">
        <v>241</v>
      </c>
      <c r="E98" s="146"/>
      <c r="F98" s="147"/>
      <c r="G98" s="148"/>
      <c r="H98" s="148"/>
      <c r="I98" s="148">
        <f>SUM(I99)</f>
        <v>78442.86</v>
      </c>
      <c r="J98" s="149">
        <f t="shared" si="7"/>
        <v>0.018459045506027658</v>
      </c>
      <c r="L98" s="174"/>
    </row>
    <row r="99" spans="1:12" ht="20.1" customHeight="1">
      <c r="A99" s="114" t="s">
        <v>242</v>
      </c>
      <c r="B99" s="114" t="s">
        <v>243</v>
      </c>
      <c r="C99" s="114" t="s">
        <v>15</v>
      </c>
      <c r="D99" s="113" t="s">
        <v>244</v>
      </c>
      <c r="E99" s="114" t="s">
        <v>23</v>
      </c>
      <c r="F99" s="141">
        <v>1465.4</v>
      </c>
      <c r="G99" s="143">
        <v>43.57</v>
      </c>
      <c r="H99" s="143">
        <f>TRUNC(G99*(1+22.88/100),2)</f>
        <v>53.53</v>
      </c>
      <c r="I99" s="143">
        <f>TRUNC(F99*H99,2)</f>
        <v>78442.86</v>
      </c>
      <c r="J99" s="139">
        <f t="shared" si="7"/>
        <v>0.018459045506027658</v>
      </c>
      <c r="L99" s="174"/>
    </row>
    <row r="100" spans="1:12" ht="20.1" customHeight="1">
      <c r="A100" s="145" t="s">
        <v>245</v>
      </c>
      <c r="B100" s="145"/>
      <c r="C100" s="145"/>
      <c r="D100" s="146" t="s">
        <v>246</v>
      </c>
      <c r="E100" s="146"/>
      <c r="F100" s="147"/>
      <c r="G100" s="148"/>
      <c r="H100" s="148"/>
      <c r="I100" s="148">
        <f>SUM(I101:I102)</f>
        <v>24719.29</v>
      </c>
      <c r="J100" s="149">
        <f t="shared" si="7"/>
        <v>0.0058169028893986586</v>
      </c>
      <c r="L100" s="174"/>
    </row>
    <row r="101" spans="1:12" ht="25.5">
      <c r="A101" s="114" t="s">
        <v>247</v>
      </c>
      <c r="B101" s="114" t="s">
        <v>815</v>
      </c>
      <c r="C101" s="114" t="s">
        <v>149</v>
      </c>
      <c r="D101" s="113" t="s">
        <v>816</v>
      </c>
      <c r="E101" s="114" t="s">
        <v>23</v>
      </c>
      <c r="F101" s="141">
        <v>448.16</v>
      </c>
      <c r="G101" s="143">
        <v>22.59</v>
      </c>
      <c r="H101" s="143">
        <f>TRUNC(G101*(1+22.88/100),2)</f>
        <v>27.75</v>
      </c>
      <c r="I101" s="143">
        <f>TRUNC(F101*H101,2)</f>
        <v>12436.44</v>
      </c>
      <c r="J101" s="139">
        <f t="shared" si="7"/>
        <v>0.0029265227184855653</v>
      </c>
      <c r="L101" s="174"/>
    </row>
    <row r="102" spans="1:12" ht="20.1" customHeight="1">
      <c r="A102" s="114" t="s">
        <v>248</v>
      </c>
      <c r="B102" s="114" t="s">
        <v>249</v>
      </c>
      <c r="C102" s="114" t="s">
        <v>15</v>
      </c>
      <c r="D102" s="113" t="s">
        <v>250</v>
      </c>
      <c r="E102" s="114" t="s">
        <v>23</v>
      </c>
      <c r="F102" s="141">
        <v>174.82</v>
      </c>
      <c r="G102" s="143">
        <v>57.18</v>
      </c>
      <c r="H102" s="143">
        <f>TRUNC(G102*(1+22.88/100),2)</f>
        <v>70.26</v>
      </c>
      <c r="I102" s="143">
        <f>TRUNC(F102*H102,2)</f>
        <v>12282.85</v>
      </c>
      <c r="J102" s="139">
        <f t="shared" si="7"/>
        <v>0.002890380170913093</v>
      </c>
      <c r="L102" s="174"/>
    </row>
    <row r="103" spans="1:12" ht="20.1" customHeight="1">
      <c r="A103" s="145" t="s">
        <v>251</v>
      </c>
      <c r="B103" s="145"/>
      <c r="C103" s="145"/>
      <c r="D103" s="146" t="s">
        <v>252</v>
      </c>
      <c r="E103" s="146"/>
      <c r="F103" s="147"/>
      <c r="G103" s="148"/>
      <c r="H103" s="148"/>
      <c r="I103" s="148">
        <f>SUM(I104,I115,I121,I126,I139,I150,I156,I158,I162)</f>
        <v>450906.63999999996</v>
      </c>
      <c r="J103" s="149">
        <f t="shared" si="7"/>
        <v>0.1061066129757384</v>
      </c>
      <c r="K103" s="256">
        <f>I103*17%</f>
        <v>76654.12879999999</v>
      </c>
      <c r="L103" s="257">
        <f>I103*16%</f>
        <v>72145.0624</v>
      </c>
    </row>
    <row r="104" spans="1:12" ht="20.1" customHeight="1">
      <c r="A104" s="145" t="s">
        <v>253</v>
      </c>
      <c r="B104" s="145"/>
      <c r="C104" s="145"/>
      <c r="D104" s="146" t="s">
        <v>254</v>
      </c>
      <c r="E104" s="146"/>
      <c r="F104" s="147"/>
      <c r="G104" s="148"/>
      <c r="H104" s="148"/>
      <c r="I104" s="148">
        <f>SUM(I105:I114)</f>
        <v>12720.490000000002</v>
      </c>
      <c r="J104" s="149">
        <f t="shared" si="7"/>
        <v>0.0029933648998643064</v>
      </c>
      <c r="L104" s="174"/>
    </row>
    <row r="105" spans="1:12" ht="20.1" customHeight="1">
      <c r="A105" s="114" t="s">
        <v>255</v>
      </c>
      <c r="B105" s="114" t="s">
        <v>256</v>
      </c>
      <c r="C105" s="114" t="s">
        <v>15</v>
      </c>
      <c r="D105" s="113" t="s">
        <v>257</v>
      </c>
      <c r="E105" s="114" t="s">
        <v>53</v>
      </c>
      <c r="F105" s="141">
        <v>12</v>
      </c>
      <c r="G105" s="143">
        <v>56.93</v>
      </c>
      <c r="H105" s="143">
        <f aca="true" t="shared" si="12" ref="H105:H114">TRUNC(G105*(1+22.88/100),2)</f>
        <v>69.95</v>
      </c>
      <c r="I105" s="143">
        <f aca="true" t="shared" si="13" ref="I105:I114">TRUNC(F105*H105,2)</f>
        <v>839.4</v>
      </c>
      <c r="J105" s="139">
        <f t="shared" si="7"/>
        <v>0.0001975262349914271</v>
      </c>
      <c r="L105" s="174"/>
    </row>
    <row r="106" spans="1:12" ht="20.1" customHeight="1">
      <c r="A106" s="114" t="s">
        <v>258</v>
      </c>
      <c r="B106" s="114" t="s">
        <v>259</v>
      </c>
      <c r="C106" s="114" t="s">
        <v>15</v>
      </c>
      <c r="D106" s="113" t="s">
        <v>260</v>
      </c>
      <c r="E106" s="114" t="s">
        <v>53</v>
      </c>
      <c r="F106" s="141">
        <v>103</v>
      </c>
      <c r="G106" s="143">
        <v>3.31</v>
      </c>
      <c r="H106" s="143">
        <f t="shared" si="12"/>
        <v>4.06</v>
      </c>
      <c r="I106" s="143">
        <f t="shared" si="13"/>
        <v>418.18</v>
      </c>
      <c r="J106" s="139">
        <f t="shared" si="7"/>
        <v>9.840543358198115E-05</v>
      </c>
      <c r="L106" s="174"/>
    </row>
    <row r="107" spans="1:12" ht="20.1" customHeight="1">
      <c r="A107" s="114" t="s">
        <v>261</v>
      </c>
      <c r="B107" s="114" t="s">
        <v>262</v>
      </c>
      <c r="C107" s="114" t="s">
        <v>15</v>
      </c>
      <c r="D107" s="113" t="s">
        <v>263</v>
      </c>
      <c r="E107" s="114" t="s">
        <v>53</v>
      </c>
      <c r="F107" s="141">
        <v>64</v>
      </c>
      <c r="G107" s="143">
        <v>3.78</v>
      </c>
      <c r="H107" s="143">
        <f t="shared" si="12"/>
        <v>4.64</v>
      </c>
      <c r="I107" s="143">
        <f t="shared" si="13"/>
        <v>296.96</v>
      </c>
      <c r="J107" s="139">
        <f t="shared" si="7"/>
        <v>6.988014146182294E-05</v>
      </c>
      <c r="L107" s="174"/>
    </row>
    <row r="108" spans="1:12" ht="20.1" customHeight="1">
      <c r="A108" s="114" t="s">
        <v>264</v>
      </c>
      <c r="B108" s="114" t="s">
        <v>817</v>
      </c>
      <c r="C108" s="114" t="s">
        <v>15</v>
      </c>
      <c r="D108" s="113" t="s">
        <v>818</v>
      </c>
      <c r="E108" s="114" t="s">
        <v>53</v>
      </c>
      <c r="F108" s="141">
        <v>100</v>
      </c>
      <c r="G108" s="143">
        <v>5.97</v>
      </c>
      <c r="H108" s="143">
        <f t="shared" si="12"/>
        <v>7.33</v>
      </c>
      <c r="I108" s="143">
        <f t="shared" si="13"/>
        <v>733</v>
      </c>
      <c r="J108" s="139">
        <f t="shared" si="7"/>
        <v>0.0001724883610301597</v>
      </c>
      <c r="L108" s="174"/>
    </row>
    <row r="109" spans="1:12" ht="20.1" customHeight="1">
      <c r="A109" s="114" t="s">
        <v>267</v>
      </c>
      <c r="B109" s="114" t="s">
        <v>265</v>
      </c>
      <c r="C109" s="114" t="s">
        <v>15</v>
      </c>
      <c r="D109" s="113" t="s">
        <v>266</v>
      </c>
      <c r="E109" s="114" t="s">
        <v>53</v>
      </c>
      <c r="F109" s="141">
        <v>1</v>
      </c>
      <c r="G109" s="143">
        <v>194.36</v>
      </c>
      <c r="H109" s="143">
        <f t="shared" si="12"/>
        <v>238.82</v>
      </c>
      <c r="I109" s="143">
        <f t="shared" si="13"/>
        <v>238.82</v>
      </c>
      <c r="J109" s="139">
        <f t="shared" si="7"/>
        <v>5.619873176155899E-05</v>
      </c>
      <c r="L109" s="174"/>
    </row>
    <row r="110" spans="1:12" ht="20.1" customHeight="1">
      <c r="A110" s="114" t="s">
        <v>270</v>
      </c>
      <c r="B110" s="114" t="s">
        <v>268</v>
      </c>
      <c r="C110" s="114" t="s">
        <v>15</v>
      </c>
      <c r="D110" s="113" t="s">
        <v>269</v>
      </c>
      <c r="E110" s="114" t="s">
        <v>53</v>
      </c>
      <c r="F110" s="141">
        <v>6</v>
      </c>
      <c r="G110" s="143">
        <v>109.86</v>
      </c>
      <c r="H110" s="143">
        <f t="shared" si="12"/>
        <v>134.99</v>
      </c>
      <c r="I110" s="143">
        <f t="shared" si="13"/>
        <v>809.94</v>
      </c>
      <c r="J110" s="139">
        <f t="shared" si="7"/>
        <v>0.00019059375597921905</v>
      </c>
      <c r="L110" s="174"/>
    </row>
    <row r="111" spans="1:12" ht="20.1" customHeight="1">
      <c r="A111" s="114" t="s">
        <v>273</v>
      </c>
      <c r="B111" s="114" t="s">
        <v>271</v>
      </c>
      <c r="C111" s="114" t="s">
        <v>15</v>
      </c>
      <c r="D111" s="113" t="s">
        <v>272</v>
      </c>
      <c r="E111" s="114" t="s">
        <v>53</v>
      </c>
      <c r="F111" s="141">
        <v>4</v>
      </c>
      <c r="G111" s="143">
        <v>696.28</v>
      </c>
      <c r="H111" s="143">
        <f t="shared" si="12"/>
        <v>855.58</v>
      </c>
      <c r="I111" s="143">
        <f t="shared" si="13"/>
        <v>3422.32</v>
      </c>
      <c r="J111" s="139">
        <f t="shared" si="7"/>
        <v>0.0008053347445030508</v>
      </c>
      <c r="L111" s="174"/>
    </row>
    <row r="112" spans="1:12" ht="20.1" customHeight="1">
      <c r="A112" s="114" t="s">
        <v>276</v>
      </c>
      <c r="B112" s="114" t="s">
        <v>274</v>
      </c>
      <c r="C112" s="114" t="s">
        <v>15</v>
      </c>
      <c r="D112" s="113" t="s">
        <v>275</v>
      </c>
      <c r="E112" s="114" t="s">
        <v>53</v>
      </c>
      <c r="F112" s="141">
        <v>1</v>
      </c>
      <c r="G112" s="143">
        <v>2062.55</v>
      </c>
      <c r="H112" s="143">
        <f t="shared" si="12"/>
        <v>2534.46</v>
      </c>
      <c r="I112" s="143">
        <f t="shared" si="13"/>
        <v>2534.46</v>
      </c>
      <c r="J112" s="139">
        <f t="shared" si="7"/>
        <v>0.0005964049815777606</v>
      </c>
      <c r="L112" s="174"/>
    </row>
    <row r="113" spans="1:12" ht="20.1" customHeight="1">
      <c r="A113" s="114" t="s">
        <v>279</v>
      </c>
      <c r="B113" s="114" t="s">
        <v>277</v>
      </c>
      <c r="C113" s="114" t="s">
        <v>15</v>
      </c>
      <c r="D113" s="113" t="s">
        <v>278</v>
      </c>
      <c r="E113" s="114" t="s">
        <v>53</v>
      </c>
      <c r="F113" s="141">
        <v>1</v>
      </c>
      <c r="G113" s="143">
        <v>1478.42</v>
      </c>
      <c r="H113" s="143">
        <f t="shared" si="12"/>
        <v>1816.68</v>
      </c>
      <c r="I113" s="143">
        <f t="shared" si="13"/>
        <v>1816.68</v>
      </c>
      <c r="J113" s="139">
        <f t="shared" si="7"/>
        <v>0.00042749816605221083</v>
      </c>
      <c r="L113" s="174"/>
    </row>
    <row r="114" spans="1:12" ht="20.1" customHeight="1">
      <c r="A114" s="114" t="s">
        <v>819</v>
      </c>
      <c r="B114" s="114" t="s">
        <v>280</v>
      </c>
      <c r="C114" s="114" t="s">
        <v>15</v>
      </c>
      <c r="D114" s="113" t="s">
        <v>281</v>
      </c>
      <c r="E114" s="114" t="s">
        <v>53</v>
      </c>
      <c r="F114" s="141">
        <v>1</v>
      </c>
      <c r="G114" s="143">
        <v>1310.82</v>
      </c>
      <c r="H114" s="143">
        <f t="shared" si="12"/>
        <v>1610.73</v>
      </c>
      <c r="I114" s="143">
        <f t="shared" si="13"/>
        <v>1610.73</v>
      </c>
      <c r="J114" s="139">
        <f t="shared" si="7"/>
        <v>0.0003790343489251148</v>
      </c>
      <c r="L114" s="174"/>
    </row>
    <row r="115" spans="1:12" ht="20.1" customHeight="1">
      <c r="A115" s="145" t="s">
        <v>282</v>
      </c>
      <c r="B115" s="145"/>
      <c r="C115" s="145"/>
      <c r="D115" s="146" t="s">
        <v>283</v>
      </c>
      <c r="E115" s="146"/>
      <c r="F115" s="147"/>
      <c r="G115" s="148"/>
      <c r="H115" s="148"/>
      <c r="I115" s="148">
        <f>SUM(I116:I120)</f>
        <v>7132.37</v>
      </c>
      <c r="J115" s="149">
        <f t="shared" si="7"/>
        <v>0.0016783776419654571</v>
      </c>
      <c r="L115" s="174"/>
    </row>
    <row r="116" spans="1:12" ht="20.1" customHeight="1">
      <c r="A116" s="114" t="s">
        <v>284</v>
      </c>
      <c r="B116" s="114" t="s">
        <v>285</v>
      </c>
      <c r="C116" s="114" t="s">
        <v>15</v>
      </c>
      <c r="D116" s="113" t="s">
        <v>286</v>
      </c>
      <c r="E116" s="114" t="s">
        <v>53</v>
      </c>
      <c r="F116" s="141">
        <v>16</v>
      </c>
      <c r="G116" s="143">
        <v>65.6</v>
      </c>
      <c r="H116" s="143">
        <f>TRUNC(G116*(1+22.88/100),2)</f>
        <v>80.6</v>
      </c>
      <c r="I116" s="143">
        <f>TRUNC(F116*H116,2)</f>
        <v>1289.6</v>
      </c>
      <c r="J116" s="139">
        <f t="shared" si="7"/>
        <v>0.0003034665625982182</v>
      </c>
      <c r="L116" s="174"/>
    </row>
    <row r="117" spans="1:12" ht="20.1" customHeight="1">
      <c r="A117" s="114" t="s">
        <v>287</v>
      </c>
      <c r="B117" s="114" t="s">
        <v>288</v>
      </c>
      <c r="C117" s="114" t="s">
        <v>15</v>
      </c>
      <c r="D117" s="113" t="s">
        <v>289</v>
      </c>
      <c r="E117" s="114" t="s">
        <v>53</v>
      </c>
      <c r="F117" s="141">
        <v>5</v>
      </c>
      <c r="G117" s="143">
        <v>337.67</v>
      </c>
      <c r="H117" s="143">
        <f>TRUNC(G117*(1+22.88/100),2)</f>
        <v>414.92</v>
      </c>
      <c r="I117" s="143">
        <f>TRUNC(F117*H117,2)</f>
        <v>2074.6</v>
      </c>
      <c r="J117" s="139">
        <f t="shared" si="7"/>
        <v>0.00048819147857185447</v>
      </c>
      <c r="L117" s="174"/>
    </row>
    <row r="118" spans="1:12" ht="20.1" customHeight="1">
      <c r="A118" s="114" t="s">
        <v>290</v>
      </c>
      <c r="B118" s="114" t="s">
        <v>291</v>
      </c>
      <c r="C118" s="114" t="s">
        <v>15</v>
      </c>
      <c r="D118" s="113" t="s">
        <v>292</v>
      </c>
      <c r="E118" s="114" t="s">
        <v>53</v>
      </c>
      <c r="F118" s="141">
        <v>1</v>
      </c>
      <c r="G118" s="143">
        <v>426.22</v>
      </c>
      <c r="H118" s="143">
        <f>TRUNC(G118*(1+22.88/100),2)</f>
        <v>523.73</v>
      </c>
      <c r="I118" s="143">
        <f>TRUNC(F118*H118,2)</f>
        <v>523.73</v>
      </c>
      <c r="J118" s="139">
        <f t="shared" si="7"/>
        <v>0.00012324328693359555</v>
      </c>
      <c r="L118" s="174"/>
    </row>
    <row r="119" spans="1:12" ht="20.1" customHeight="1">
      <c r="A119" s="114" t="s">
        <v>293</v>
      </c>
      <c r="B119" s="114" t="s">
        <v>294</v>
      </c>
      <c r="C119" s="114" t="s">
        <v>15</v>
      </c>
      <c r="D119" s="113" t="s">
        <v>295</v>
      </c>
      <c r="E119" s="114" t="s">
        <v>53</v>
      </c>
      <c r="F119" s="141">
        <v>1</v>
      </c>
      <c r="G119" s="143">
        <v>1754.74</v>
      </c>
      <c r="H119" s="143">
        <f>TRUNC(G119*(1+22.88/100),2)</f>
        <v>2156.22</v>
      </c>
      <c r="I119" s="143">
        <f>TRUNC(F119*H119,2)</f>
        <v>2156.22</v>
      </c>
      <c r="J119" s="139">
        <f t="shared" si="7"/>
        <v>0.0005073981634658266</v>
      </c>
      <c r="L119" s="174"/>
    </row>
    <row r="120" spans="1:12" ht="20.1" customHeight="1">
      <c r="A120" s="114" t="s">
        <v>296</v>
      </c>
      <c r="B120" s="114" t="s">
        <v>297</v>
      </c>
      <c r="C120" s="114" t="s">
        <v>15</v>
      </c>
      <c r="D120" s="113" t="s">
        <v>298</v>
      </c>
      <c r="E120" s="114" t="s">
        <v>53</v>
      </c>
      <c r="F120" s="141">
        <v>1</v>
      </c>
      <c r="G120" s="143">
        <v>885.6</v>
      </c>
      <c r="H120" s="143">
        <f>TRUNC(G120*(1+22.88/100),2)</f>
        <v>1088.22</v>
      </c>
      <c r="I120" s="143">
        <f>TRUNC(F120*H120,2)</f>
        <v>1088.22</v>
      </c>
      <c r="J120" s="139">
        <f t="shared" si="7"/>
        <v>0.00025607815039596236</v>
      </c>
      <c r="L120" s="174"/>
    </row>
    <row r="121" spans="1:12" ht="20.1" customHeight="1">
      <c r="A121" s="145" t="s">
        <v>299</v>
      </c>
      <c r="B121" s="145"/>
      <c r="C121" s="145"/>
      <c r="D121" s="146" t="s">
        <v>300</v>
      </c>
      <c r="E121" s="146"/>
      <c r="F121" s="147"/>
      <c r="G121" s="148"/>
      <c r="H121" s="148"/>
      <c r="I121" s="148">
        <f>SUM(I122:I125)</f>
        <v>18420.14</v>
      </c>
      <c r="J121" s="149">
        <f t="shared" si="7"/>
        <v>0.004334597214933268</v>
      </c>
      <c r="L121" s="174"/>
    </row>
    <row r="122" spans="1:12" ht="20.1" customHeight="1">
      <c r="A122" s="114" t="s">
        <v>301</v>
      </c>
      <c r="B122" s="114" t="s">
        <v>302</v>
      </c>
      <c r="C122" s="114" t="s">
        <v>15</v>
      </c>
      <c r="D122" s="113" t="s">
        <v>303</v>
      </c>
      <c r="E122" s="114" t="s">
        <v>53</v>
      </c>
      <c r="F122" s="141">
        <v>4</v>
      </c>
      <c r="G122" s="143">
        <v>238.4</v>
      </c>
      <c r="H122" s="143">
        <f>TRUNC(G122*(1+22.88/100),2)</f>
        <v>292.94</v>
      </c>
      <c r="I122" s="143">
        <f>TRUNC(F122*H122,2)</f>
        <v>1171.76</v>
      </c>
      <c r="J122" s="139">
        <f t="shared" si="7"/>
        <v>0.000275736646549386</v>
      </c>
      <c r="L122" s="174"/>
    </row>
    <row r="123" spans="1:12" ht="20.1" customHeight="1">
      <c r="A123" s="114" t="s">
        <v>304</v>
      </c>
      <c r="B123" s="114" t="s">
        <v>305</v>
      </c>
      <c r="C123" s="114" t="s">
        <v>15</v>
      </c>
      <c r="D123" s="113" t="s">
        <v>306</v>
      </c>
      <c r="E123" s="114" t="s">
        <v>53</v>
      </c>
      <c r="F123" s="141">
        <v>98</v>
      </c>
      <c r="G123" s="143">
        <v>124.71</v>
      </c>
      <c r="H123" s="143">
        <f>TRUNC(G123*(1+22.88/100),2)</f>
        <v>153.24</v>
      </c>
      <c r="I123" s="143">
        <f>TRUNC(F123*H123,2)</f>
        <v>15017.52</v>
      </c>
      <c r="J123" s="139">
        <f t="shared" si="7"/>
        <v>0.0035338982422068814</v>
      </c>
      <c r="L123" s="174"/>
    </row>
    <row r="124" spans="1:12" ht="20.1" customHeight="1">
      <c r="A124" s="114" t="s">
        <v>307</v>
      </c>
      <c r="B124" s="114" t="s">
        <v>308</v>
      </c>
      <c r="C124" s="114" t="s">
        <v>15</v>
      </c>
      <c r="D124" s="113" t="s">
        <v>309</v>
      </c>
      <c r="E124" s="114" t="s">
        <v>131</v>
      </c>
      <c r="F124" s="141">
        <v>6</v>
      </c>
      <c r="G124" s="143">
        <v>173.53</v>
      </c>
      <c r="H124" s="143">
        <f>TRUNC(G124*(1+22.88/100),2)</f>
        <v>213.23</v>
      </c>
      <c r="I124" s="143">
        <f>TRUNC(F124*H124,2)</f>
        <v>1279.38</v>
      </c>
      <c r="J124" s="139">
        <f t="shared" si="7"/>
        <v>0.0003010616089150965</v>
      </c>
      <c r="L124" s="174"/>
    </row>
    <row r="125" spans="1:12" ht="20.1" customHeight="1">
      <c r="A125" s="114" t="s">
        <v>310</v>
      </c>
      <c r="B125" s="114" t="s">
        <v>311</v>
      </c>
      <c r="C125" s="114" t="s">
        <v>15</v>
      </c>
      <c r="D125" s="113" t="s">
        <v>312</v>
      </c>
      <c r="E125" s="114" t="s">
        <v>131</v>
      </c>
      <c r="F125" s="141">
        <v>6</v>
      </c>
      <c r="G125" s="143">
        <v>129.06</v>
      </c>
      <c r="H125" s="143">
        <f>TRUNC(G125*(1+22.88/100),2)</f>
        <v>158.58</v>
      </c>
      <c r="I125" s="143">
        <f>TRUNC(F125*H125,2)</f>
        <v>951.48</v>
      </c>
      <c r="J125" s="139">
        <f t="shared" si="7"/>
        <v>0.000223900717261905</v>
      </c>
      <c r="L125" s="174"/>
    </row>
    <row r="126" spans="1:12" ht="20.1" customHeight="1">
      <c r="A126" s="145" t="s">
        <v>313</v>
      </c>
      <c r="B126" s="145"/>
      <c r="C126" s="145"/>
      <c r="D126" s="146" t="s">
        <v>314</v>
      </c>
      <c r="E126" s="146"/>
      <c r="F126" s="147"/>
      <c r="G126" s="148"/>
      <c r="H126" s="148"/>
      <c r="I126" s="148">
        <f>SUM(I127:I138)</f>
        <v>128228.91</v>
      </c>
      <c r="J126" s="149">
        <f t="shared" si="7"/>
        <v>0.03017461735686747</v>
      </c>
      <c r="L126" s="174"/>
    </row>
    <row r="127" spans="1:12" ht="20.1" customHeight="1">
      <c r="A127" s="114" t="s">
        <v>315</v>
      </c>
      <c r="B127" s="114" t="s">
        <v>316</v>
      </c>
      <c r="C127" s="114" t="s">
        <v>15</v>
      </c>
      <c r="D127" s="113" t="s">
        <v>317</v>
      </c>
      <c r="E127" s="114" t="s">
        <v>131</v>
      </c>
      <c r="F127" s="141">
        <v>350</v>
      </c>
      <c r="G127" s="143">
        <v>3.86</v>
      </c>
      <c r="H127" s="143">
        <f aca="true" t="shared" si="14" ref="H127:H138">TRUNC(G127*(1+22.88/100),2)</f>
        <v>4.74</v>
      </c>
      <c r="I127" s="143">
        <f aca="true" t="shared" si="15" ref="I127:I138">TRUNC(F127*H127,2)</f>
        <v>1659</v>
      </c>
      <c r="J127" s="139">
        <f t="shared" si="7"/>
        <v>0.0003903931663697612</v>
      </c>
      <c r="L127" s="174"/>
    </row>
    <row r="128" spans="1:12" ht="20.1" customHeight="1">
      <c r="A128" s="114" t="s">
        <v>318</v>
      </c>
      <c r="B128" s="114" t="s">
        <v>319</v>
      </c>
      <c r="C128" s="114" t="s">
        <v>15</v>
      </c>
      <c r="D128" s="113" t="s">
        <v>320</v>
      </c>
      <c r="E128" s="114" t="s">
        <v>131</v>
      </c>
      <c r="F128" s="141">
        <v>562</v>
      </c>
      <c r="G128" s="143">
        <v>6.44</v>
      </c>
      <c r="H128" s="143">
        <f t="shared" si="14"/>
        <v>7.91</v>
      </c>
      <c r="I128" s="143">
        <f t="shared" si="15"/>
        <v>4445.42</v>
      </c>
      <c r="J128" s="139">
        <f t="shared" si="7"/>
        <v>0.0010460889630159516</v>
      </c>
      <c r="L128" s="174"/>
    </row>
    <row r="129" spans="1:12" ht="20.1" customHeight="1">
      <c r="A129" s="114" t="s">
        <v>321</v>
      </c>
      <c r="B129" s="114" t="s">
        <v>322</v>
      </c>
      <c r="C129" s="114" t="s">
        <v>15</v>
      </c>
      <c r="D129" s="113" t="s">
        <v>323</v>
      </c>
      <c r="E129" s="114" t="s">
        <v>131</v>
      </c>
      <c r="F129" s="141">
        <v>2882</v>
      </c>
      <c r="G129" s="143">
        <v>7.93</v>
      </c>
      <c r="H129" s="143">
        <f t="shared" si="14"/>
        <v>9.74</v>
      </c>
      <c r="I129" s="143">
        <f t="shared" si="15"/>
        <v>28070.68</v>
      </c>
      <c r="J129" s="139">
        <f t="shared" si="7"/>
        <v>0.006605546502322078</v>
      </c>
      <c r="L129" s="174"/>
    </row>
    <row r="130" spans="1:12" ht="20.1" customHeight="1">
      <c r="A130" s="114" t="s">
        <v>324</v>
      </c>
      <c r="B130" s="114" t="s">
        <v>325</v>
      </c>
      <c r="C130" s="114" t="s">
        <v>15</v>
      </c>
      <c r="D130" s="113" t="s">
        <v>326</v>
      </c>
      <c r="E130" s="114" t="s">
        <v>131</v>
      </c>
      <c r="F130" s="141">
        <v>1172</v>
      </c>
      <c r="G130" s="143">
        <v>10.84</v>
      </c>
      <c r="H130" s="143">
        <f t="shared" si="14"/>
        <v>13.32</v>
      </c>
      <c r="I130" s="143">
        <f t="shared" si="15"/>
        <v>15611.04</v>
      </c>
      <c r="J130" s="139">
        <f t="shared" si="7"/>
        <v>0.0036735643977848084</v>
      </c>
      <c r="L130" s="174"/>
    </row>
    <row r="131" spans="1:12" ht="20.1" customHeight="1">
      <c r="A131" s="114" t="s">
        <v>327</v>
      </c>
      <c r="B131" s="114" t="s">
        <v>328</v>
      </c>
      <c r="C131" s="114" t="s">
        <v>15</v>
      </c>
      <c r="D131" s="113" t="s">
        <v>329</v>
      </c>
      <c r="E131" s="114" t="s">
        <v>131</v>
      </c>
      <c r="F131" s="141">
        <v>658</v>
      </c>
      <c r="G131" s="143">
        <v>13.08</v>
      </c>
      <c r="H131" s="143">
        <f t="shared" si="14"/>
        <v>16.07</v>
      </c>
      <c r="I131" s="143">
        <f t="shared" si="15"/>
        <v>10574.06</v>
      </c>
      <c r="J131" s="139">
        <f t="shared" si="7"/>
        <v>0.002488270503184953</v>
      </c>
      <c r="L131" s="174"/>
    </row>
    <row r="132" spans="1:12" ht="20.1" customHeight="1">
      <c r="A132" s="114" t="s">
        <v>330</v>
      </c>
      <c r="B132" s="114" t="s">
        <v>331</v>
      </c>
      <c r="C132" s="114" t="s">
        <v>15</v>
      </c>
      <c r="D132" s="113" t="s">
        <v>332</v>
      </c>
      <c r="E132" s="114" t="s">
        <v>131</v>
      </c>
      <c r="F132" s="141">
        <v>401</v>
      </c>
      <c r="G132" s="143">
        <v>17.04</v>
      </c>
      <c r="H132" s="143">
        <f t="shared" si="14"/>
        <v>20.93</v>
      </c>
      <c r="I132" s="143">
        <f t="shared" si="15"/>
        <v>8392.93</v>
      </c>
      <c r="J132" s="139">
        <f t="shared" si="7"/>
        <v>0.0019750105592644725</v>
      </c>
      <c r="L132" s="174"/>
    </row>
    <row r="133" spans="1:12" ht="20.1" customHeight="1">
      <c r="A133" s="114" t="s">
        <v>333</v>
      </c>
      <c r="B133" s="114" t="s">
        <v>334</v>
      </c>
      <c r="C133" s="114" t="s">
        <v>15</v>
      </c>
      <c r="D133" s="113" t="s">
        <v>335</v>
      </c>
      <c r="E133" s="114" t="s">
        <v>131</v>
      </c>
      <c r="F133" s="141">
        <v>691</v>
      </c>
      <c r="G133" s="143">
        <v>24.67</v>
      </c>
      <c r="H133" s="143">
        <f t="shared" si="14"/>
        <v>30.31</v>
      </c>
      <c r="I133" s="143">
        <f t="shared" si="15"/>
        <v>20944.21</v>
      </c>
      <c r="J133" s="139">
        <f t="shared" si="7"/>
        <v>0.004928557238705977</v>
      </c>
      <c r="L133" s="174"/>
    </row>
    <row r="134" spans="1:12" ht="20.1" customHeight="1">
      <c r="A134" s="114" t="s">
        <v>336</v>
      </c>
      <c r="B134" s="114" t="s">
        <v>337</v>
      </c>
      <c r="C134" s="114" t="s">
        <v>15</v>
      </c>
      <c r="D134" s="113" t="s">
        <v>338</v>
      </c>
      <c r="E134" s="114" t="s">
        <v>131</v>
      </c>
      <c r="F134" s="141">
        <v>153</v>
      </c>
      <c r="G134" s="143">
        <v>51.54</v>
      </c>
      <c r="H134" s="143">
        <f t="shared" si="14"/>
        <v>63.33</v>
      </c>
      <c r="I134" s="143">
        <f t="shared" si="15"/>
        <v>9689.49</v>
      </c>
      <c r="J134" s="139">
        <f t="shared" si="7"/>
        <v>0.002280114937678202</v>
      </c>
      <c r="L134" s="174"/>
    </row>
    <row r="135" spans="1:12" ht="20.1" customHeight="1">
      <c r="A135" s="114" t="s">
        <v>339</v>
      </c>
      <c r="B135" s="114" t="s">
        <v>340</v>
      </c>
      <c r="C135" s="114" t="s">
        <v>15</v>
      </c>
      <c r="D135" s="113" t="s">
        <v>341</v>
      </c>
      <c r="E135" s="114" t="s">
        <v>131</v>
      </c>
      <c r="F135" s="141">
        <v>115</v>
      </c>
      <c r="G135" s="143">
        <v>70.66</v>
      </c>
      <c r="H135" s="143">
        <f t="shared" si="14"/>
        <v>86.82</v>
      </c>
      <c r="I135" s="143">
        <f t="shared" si="15"/>
        <v>9984.3</v>
      </c>
      <c r="J135" s="139">
        <f t="shared" si="7"/>
        <v>0.002349489144656785</v>
      </c>
      <c r="L135" s="174"/>
    </row>
    <row r="136" spans="1:12" ht="20.1" customHeight="1">
      <c r="A136" s="114" t="s">
        <v>342</v>
      </c>
      <c r="B136" s="114" t="s">
        <v>343</v>
      </c>
      <c r="C136" s="114" t="s">
        <v>15</v>
      </c>
      <c r="D136" s="113" t="s">
        <v>344</v>
      </c>
      <c r="E136" s="114" t="s">
        <v>131</v>
      </c>
      <c r="F136" s="141">
        <v>135</v>
      </c>
      <c r="G136" s="143">
        <v>31.08</v>
      </c>
      <c r="H136" s="143">
        <f t="shared" si="14"/>
        <v>38.19</v>
      </c>
      <c r="I136" s="143">
        <f t="shared" si="15"/>
        <v>5155.65</v>
      </c>
      <c r="J136" s="139">
        <f t="shared" si="7"/>
        <v>0.0012132191248910543</v>
      </c>
      <c r="L136" s="174"/>
    </row>
    <row r="137" spans="1:12" ht="20.1" customHeight="1">
      <c r="A137" s="114" t="s">
        <v>345</v>
      </c>
      <c r="B137" s="114" t="s">
        <v>346</v>
      </c>
      <c r="C137" s="114" t="s">
        <v>15</v>
      </c>
      <c r="D137" s="113" t="s">
        <v>347</v>
      </c>
      <c r="E137" s="114" t="s">
        <v>131</v>
      </c>
      <c r="F137" s="141">
        <v>182</v>
      </c>
      <c r="G137" s="143">
        <v>36.9</v>
      </c>
      <c r="H137" s="143">
        <f t="shared" si="14"/>
        <v>45.34</v>
      </c>
      <c r="I137" s="143">
        <f t="shared" si="15"/>
        <v>8251.88</v>
      </c>
      <c r="J137" s="139">
        <f t="shared" si="7"/>
        <v>0.0019418189039802922</v>
      </c>
      <c r="L137" s="174"/>
    </row>
    <row r="138" spans="1:12" ht="20.1" customHeight="1">
      <c r="A138" s="114" t="s">
        <v>348</v>
      </c>
      <c r="B138" s="114" t="s">
        <v>349</v>
      </c>
      <c r="C138" s="114" t="s">
        <v>15</v>
      </c>
      <c r="D138" s="113" t="s">
        <v>350</v>
      </c>
      <c r="E138" s="114" t="s">
        <v>131</v>
      </c>
      <c r="F138" s="141">
        <v>75</v>
      </c>
      <c r="G138" s="143">
        <v>59.14</v>
      </c>
      <c r="H138" s="143">
        <f t="shared" si="14"/>
        <v>72.67</v>
      </c>
      <c r="I138" s="143">
        <f t="shared" si="15"/>
        <v>5450.25</v>
      </c>
      <c r="J138" s="139">
        <f aca="true" t="shared" si="16" ref="J138:J201">I138/4249562.09</f>
        <v>0.001282543915013135</v>
      </c>
      <c r="L138" s="174"/>
    </row>
    <row r="139" spans="1:12" ht="20.1" customHeight="1">
      <c r="A139" s="145" t="s">
        <v>351</v>
      </c>
      <c r="B139" s="145"/>
      <c r="C139" s="145"/>
      <c r="D139" s="146" t="s">
        <v>352</v>
      </c>
      <c r="E139" s="146"/>
      <c r="F139" s="147"/>
      <c r="G139" s="148"/>
      <c r="H139" s="148"/>
      <c r="I139" s="148">
        <f>SUM(I140:I149)</f>
        <v>193493.44</v>
      </c>
      <c r="J139" s="149">
        <f t="shared" si="16"/>
        <v>0.0455325598031208</v>
      </c>
      <c r="L139" s="174"/>
    </row>
    <row r="140" spans="1:12" ht="20.1" customHeight="1">
      <c r="A140" s="114" t="s">
        <v>353</v>
      </c>
      <c r="B140" s="114" t="s">
        <v>354</v>
      </c>
      <c r="C140" s="114" t="s">
        <v>15</v>
      </c>
      <c r="D140" s="113" t="s">
        <v>355</v>
      </c>
      <c r="E140" s="114" t="s">
        <v>53</v>
      </c>
      <c r="F140" s="141">
        <v>40</v>
      </c>
      <c r="G140" s="143">
        <v>18.8</v>
      </c>
      <c r="H140" s="143">
        <f aca="true" t="shared" si="17" ref="H140:H149">TRUNC(G140*(1+22.88/100),2)</f>
        <v>23.1</v>
      </c>
      <c r="I140" s="143">
        <f aca="true" t="shared" si="18" ref="I140:I149">TRUNC(F140*H140,2)</f>
        <v>924</v>
      </c>
      <c r="J140" s="139">
        <f t="shared" si="16"/>
        <v>0.00021743416861100623</v>
      </c>
      <c r="L140" s="174"/>
    </row>
    <row r="141" spans="1:12" ht="20.1" customHeight="1">
      <c r="A141" s="114" t="s">
        <v>356</v>
      </c>
      <c r="B141" s="114" t="s">
        <v>357</v>
      </c>
      <c r="C141" s="114" t="s">
        <v>15</v>
      </c>
      <c r="D141" s="113" t="s">
        <v>358</v>
      </c>
      <c r="E141" s="114" t="s">
        <v>53</v>
      </c>
      <c r="F141" s="141">
        <v>40</v>
      </c>
      <c r="G141" s="143">
        <v>49.76</v>
      </c>
      <c r="H141" s="143">
        <f t="shared" si="17"/>
        <v>61.14</v>
      </c>
      <c r="I141" s="143">
        <f t="shared" si="18"/>
        <v>2445.6</v>
      </c>
      <c r="J141" s="139">
        <f t="shared" si="16"/>
        <v>0.0005754945917262736</v>
      </c>
      <c r="L141" s="174"/>
    </row>
    <row r="142" spans="1:12" ht="20.1" customHeight="1">
      <c r="A142" s="114" t="s">
        <v>359</v>
      </c>
      <c r="B142" s="114" t="s">
        <v>360</v>
      </c>
      <c r="C142" s="114" t="s">
        <v>15</v>
      </c>
      <c r="D142" s="113" t="s">
        <v>361</v>
      </c>
      <c r="E142" s="114" t="s">
        <v>53</v>
      </c>
      <c r="F142" s="141">
        <v>22</v>
      </c>
      <c r="G142" s="143">
        <v>48.04</v>
      </c>
      <c r="H142" s="143">
        <f t="shared" si="17"/>
        <v>59.03</v>
      </c>
      <c r="I142" s="143">
        <f t="shared" si="18"/>
        <v>1298.66</v>
      </c>
      <c r="J142" s="139">
        <f t="shared" si="16"/>
        <v>0.00030559854697875474</v>
      </c>
      <c r="L142" s="174"/>
    </row>
    <row r="143" spans="1:12" ht="20.1" customHeight="1">
      <c r="A143" s="114" t="s">
        <v>362</v>
      </c>
      <c r="B143" s="114" t="s">
        <v>363</v>
      </c>
      <c r="C143" s="114" t="s">
        <v>15</v>
      </c>
      <c r="D143" s="113" t="s">
        <v>364</v>
      </c>
      <c r="E143" s="114" t="s">
        <v>66</v>
      </c>
      <c r="F143" s="141">
        <v>24</v>
      </c>
      <c r="G143" s="143">
        <v>525.61</v>
      </c>
      <c r="H143" s="143">
        <f t="shared" si="17"/>
        <v>645.86</v>
      </c>
      <c r="I143" s="143">
        <f t="shared" si="18"/>
        <v>15500.64</v>
      </c>
      <c r="J143" s="139">
        <f t="shared" si="16"/>
        <v>0.00364758525036635</v>
      </c>
      <c r="L143" s="174"/>
    </row>
    <row r="144" spans="1:12" ht="20.1" customHeight="1">
      <c r="A144" s="114" t="s">
        <v>365</v>
      </c>
      <c r="B144" s="114" t="s">
        <v>366</v>
      </c>
      <c r="C144" s="114" t="s">
        <v>15</v>
      </c>
      <c r="D144" s="113" t="s">
        <v>367</v>
      </c>
      <c r="E144" s="114" t="s">
        <v>66</v>
      </c>
      <c r="F144" s="141">
        <v>523</v>
      </c>
      <c r="G144" s="143">
        <v>250.92</v>
      </c>
      <c r="H144" s="143">
        <f t="shared" si="17"/>
        <v>308.33</v>
      </c>
      <c r="I144" s="143">
        <f t="shared" si="18"/>
        <v>161256.59</v>
      </c>
      <c r="J144" s="139">
        <f t="shared" si="16"/>
        <v>0.03794663699101288</v>
      </c>
      <c r="L144" s="174"/>
    </row>
    <row r="145" spans="1:12" ht="20.1" customHeight="1">
      <c r="A145" s="114" t="s">
        <v>368</v>
      </c>
      <c r="B145" s="114" t="s">
        <v>369</v>
      </c>
      <c r="C145" s="114" t="s">
        <v>15</v>
      </c>
      <c r="D145" s="113" t="s">
        <v>370</v>
      </c>
      <c r="E145" s="114" t="s">
        <v>53</v>
      </c>
      <c r="F145" s="141">
        <v>60</v>
      </c>
      <c r="G145" s="143">
        <v>27.93</v>
      </c>
      <c r="H145" s="143">
        <f t="shared" si="17"/>
        <v>34.32</v>
      </c>
      <c r="I145" s="143">
        <f t="shared" si="18"/>
        <v>2059.2</v>
      </c>
      <c r="J145" s="139">
        <f t="shared" si="16"/>
        <v>0.00048456757576167096</v>
      </c>
      <c r="L145" s="174"/>
    </row>
    <row r="146" spans="1:12" ht="20.1" customHeight="1">
      <c r="A146" s="114" t="s">
        <v>371</v>
      </c>
      <c r="B146" s="114" t="s">
        <v>372</v>
      </c>
      <c r="C146" s="114" t="s">
        <v>15</v>
      </c>
      <c r="D146" s="113" t="s">
        <v>373</v>
      </c>
      <c r="E146" s="114" t="s">
        <v>53</v>
      </c>
      <c r="F146" s="141">
        <v>30</v>
      </c>
      <c r="G146" s="143">
        <v>27.24</v>
      </c>
      <c r="H146" s="143">
        <f t="shared" si="17"/>
        <v>33.47</v>
      </c>
      <c r="I146" s="143">
        <f t="shared" si="18"/>
        <v>1004.1</v>
      </c>
      <c r="J146" s="139">
        <f t="shared" si="16"/>
        <v>0.00023628316959124605</v>
      </c>
      <c r="L146" s="174"/>
    </row>
    <row r="147" spans="1:12" ht="20.1" customHeight="1">
      <c r="A147" s="114" t="s">
        <v>374</v>
      </c>
      <c r="B147" s="114" t="s">
        <v>375</v>
      </c>
      <c r="C147" s="114" t="s">
        <v>15</v>
      </c>
      <c r="D147" s="113" t="s">
        <v>376</v>
      </c>
      <c r="E147" s="114" t="s">
        <v>53</v>
      </c>
      <c r="F147" s="141">
        <v>25</v>
      </c>
      <c r="G147" s="143">
        <v>252.3</v>
      </c>
      <c r="H147" s="143">
        <f t="shared" si="17"/>
        <v>310.02</v>
      </c>
      <c r="I147" s="143">
        <f t="shared" si="18"/>
        <v>7750.5</v>
      </c>
      <c r="J147" s="139">
        <f t="shared" si="16"/>
        <v>0.0018238349824887486</v>
      </c>
      <c r="L147" s="174"/>
    </row>
    <row r="148" spans="1:12" ht="20.1" customHeight="1">
      <c r="A148" s="114" t="s">
        <v>377</v>
      </c>
      <c r="B148" s="114" t="s">
        <v>378</v>
      </c>
      <c r="C148" s="114" t="s">
        <v>15</v>
      </c>
      <c r="D148" s="113" t="s">
        <v>379</v>
      </c>
      <c r="E148" s="114" t="s">
        <v>53</v>
      </c>
      <c r="F148" s="141">
        <v>15</v>
      </c>
      <c r="G148" s="143">
        <v>31.13</v>
      </c>
      <c r="H148" s="143">
        <f t="shared" si="17"/>
        <v>38.25</v>
      </c>
      <c r="I148" s="143">
        <f t="shared" si="18"/>
        <v>573.75</v>
      </c>
      <c r="J148" s="139">
        <f t="shared" si="16"/>
        <v>0.0001350139115157628</v>
      </c>
      <c r="L148" s="174"/>
    </row>
    <row r="149" spans="1:12" ht="20.1" customHeight="1">
      <c r="A149" s="114" t="s">
        <v>380</v>
      </c>
      <c r="B149" s="114" t="s">
        <v>381</v>
      </c>
      <c r="C149" s="114" t="s">
        <v>15</v>
      </c>
      <c r="D149" s="113" t="s">
        <v>382</v>
      </c>
      <c r="E149" s="114" t="s">
        <v>53</v>
      </c>
      <c r="F149" s="141">
        <v>15</v>
      </c>
      <c r="G149" s="143">
        <v>36.92</v>
      </c>
      <c r="H149" s="143">
        <f t="shared" si="17"/>
        <v>45.36</v>
      </c>
      <c r="I149" s="143">
        <f t="shared" si="18"/>
        <v>680.4</v>
      </c>
      <c r="J149" s="139">
        <f t="shared" si="16"/>
        <v>0.00016011061506810459</v>
      </c>
      <c r="L149" s="174"/>
    </row>
    <row r="150" spans="1:12" ht="20.1" customHeight="1">
      <c r="A150" s="145" t="s">
        <v>383</v>
      </c>
      <c r="B150" s="145"/>
      <c r="C150" s="145"/>
      <c r="D150" s="146" t="s">
        <v>384</v>
      </c>
      <c r="E150" s="146"/>
      <c r="F150" s="147"/>
      <c r="G150" s="148"/>
      <c r="H150" s="148"/>
      <c r="I150" s="148">
        <f>SUM(I151:I155)</f>
        <v>18529.8</v>
      </c>
      <c r="J150" s="149">
        <f t="shared" si="16"/>
        <v>0.004360402226762147</v>
      </c>
      <c r="L150" s="174"/>
    </row>
    <row r="151" spans="1:12" ht="20.1" customHeight="1">
      <c r="A151" s="114" t="s">
        <v>385</v>
      </c>
      <c r="B151" s="114" t="s">
        <v>386</v>
      </c>
      <c r="C151" s="114" t="s">
        <v>15</v>
      </c>
      <c r="D151" s="113" t="s">
        <v>387</v>
      </c>
      <c r="E151" s="114" t="s">
        <v>53</v>
      </c>
      <c r="F151" s="141">
        <v>252</v>
      </c>
      <c r="G151" s="143">
        <v>24.13</v>
      </c>
      <c r="H151" s="143">
        <f>TRUNC(G151*(1+22.88/100),2)</f>
        <v>29.65</v>
      </c>
      <c r="I151" s="143">
        <f>TRUNC(F151*H151,2)</f>
        <v>7471.8</v>
      </c>
      <c r="J151" s="139">
        <f t="shared" si="16"/>
        <v>0.0017582517543590004</v>
      </c>
      <c r="L151" s="174"/>
    </row>
    <row r="152" spans="1:12" ht="20.1" customHeight="1">
      <c r="A152" s="114" t="s">
        <v>388</v>
      </c>
      <c r="B152" s="114" t="s">
        <v>389</v>
      </c>
      <c r="C152" s="114" t="s">
        <v>15</v>
      </c>
      <c r="D152" s="113" t="s">
        <v>390</v>
      </c>
      <c r="E152" s="114" t="s">
        <v>53</v>
      </c>
      <c r="F152" s="141">
        <v>30</v>
      </c>
      <c r="G152" s="143">
        <v>62.57</v>
      </c>
      <c r="H152" s="143">
        <f>TRUNC(G152*(1+22.88/100),2)</f>
        <v>76.88</v>
      </c>
      <c r="I152" s="143">
        <f>TRUNC(F152*H152,2)</f>
        <v>2306.4</v>
      </c>
      <c r="J152" s="139">
        <f t="shared" si="16"/>
        <v>0.0005427382754160441</v>
      </c>
      <c r="L152" s="174"/>
    </row>
    <row r="153" spans="1:12" ht="20.1" customHeight="1">
      <c r="A153" s="114" t="s">
        <v>391</v>
      </c>
      <c r="B153" s="114" t="s">
        <v>392</v>
      </c>
      <c r="C153" s="114" t="s">
        <v>15</v>
      </c>
      <c r="D153" s="113" t="s">
        <v>393</v>
      </c>
      <c r="E153" s="114" t="s">
        <v>53</v>
      </c>
      <c r="F153" s="141">
        <v>20</v>
      </c>
      <c r="G153" s="143">
        <v>123.39</v>
      </c>
      <c r="H153" s="143">
        <f>TRUNC(G153*(1+22.88/100),2)</f>
        <v>151.62</v>
      </c>
      <c r="I153" s="143">
        <f>TRUNC(F153*H153,2)</f>
        <v>3032.4</v>
      </c>
      <c r="J153" s="139">
        <f t="shared" si="16"/>
        <v>0.0007135794078961205</v>
      </c>
      <c r="L153" s="174"/>
    </row>
    <row r="154" spans="1:12" ht="25.5">
      <c r="A154" s="114" t="s">
        <v>394</v>
      </c>
      <c r="B154" s="114" t="s">
        <v>395</v>
      </c>
      <c r="C154" s="114" t="s">
        <v>19</v>
      </c>
      <c r="D154" s="113" t="s">
        <v>396</v>
      </c>
      <c r="E154" s="114" t="s">
        <v>21</v>
      </c>
      <c r="F154" s="141">
        <v>10</v>
      </c>
      <c r="G154" s="143">
        <v>148.1</v>
      </c>
      <c r="H154" s="143">
        <f>TRUNC(G154*(1+22.88/100),2)</f>
        <v>181.98</v>
      </c>
      <c r="I154" s="143">
        <f>TRUNC(F154*H154,2)</f>
        <v>1819.8</v>
      </c>
      <c r="J154" s="139">
        <f t="shared" si="16"/>
        <v>0.0004282323593488194</v>
      </c>
      <c r="L154" s="174"/>
    </row>
    <row r="155" spans="1:12" ht="25.5">
      <c r="A155" s="114" t="s">
        <v>397</v>
      </c>
      <c r="B155" s="114" t="s">
        <v>398</v>
      </c>
      <c r="C155" s="114" t="s">
        <v>19</v>
      </c>
      <c r="D155" s="113" t="s">
        <v>399</v>
      </c>
      <c r="E155" s="114" t="s">
        <v>21</v>
      </c>
      <c r="F155" s="141">
        <v>12</v>
      </c>
      <c r="G155" s="143">
        <v>264.45</v>
      </c>
      <c r="H155" s="143">
        <f>TRUNC(G155*(1+22.88/100),2)</f>
        <v>324.95</v>
      </c>
      <c r="I155" s="143">
        <f>TRUNC(F155*H155,2)</f>
        <v>3899.4</v>
      </c>
      <c r="J155" s="139">
        <f t="shared" si="16"/>
        <v>0.0009176004297421621</v>
      </c>
      <c r="L155" s="174"/>
    </row>
    <row r="156" spans="1:12" ht="20.1" customHeight="1">
      <c r="A156" s="145" t="s">
        <v>400</v>
      </c>
      <c r="B156" s="145"/>
      <c r="C156" s="145"/>
      <c r="D156" s="146" t="s">
        <v>401</v>
      </c>
      <c r="E156" s="146"/>
      <c r="F156" s="147"/>
      <c r="G156" s="148"/>
      <c r="H156" s="148"/>
      <c r="I156" s="148">
        <f>SUM(I157)</f>
        <v>69093.43</v>
      </c>
      <c r="J156" s="149">
        <f t="shared" si="16"/>
        <v>0.016258952931312506</v>
      </c>
      <c r="L156" s="174"/>
    </row>
    <row r="157" spans="1:12" ht="25.5">
      <c r="A157" s="114" t="s">
        <v>402</v>
      </c>
      <c r="B157" s="114" t="s">
        <v>820</v>
      </c>
      <c r="C157" s="114" t="s">
        <v>15</v>
      </c>
      <c r="D157" s="113" t="s">
        <v>821</v>
      </c>
      <c r="E157" s="114" t="s">
        <v>53</v>
      </c>
      <c r="F157" s="141">
        <v>1</v>
      </c>
      <c r="G157" s="143">
        <v>56228.38</v>
      </c>
      <c r="H157" s="143">
        <f>TRUNC(G157*(1+22.88/100),2)</f>
        <v>69093.43</v>
      </c>
      <c r="I157" s="143">
        <f>TRUNC(F157*H157,2)</f>
        <v>69093.43</v>
      </c>
      <c r="J157" s="139">
        <f t="shared" si="16"/>
        <v>0.016258952931312506</v>
      </c>
      <c r="L157" s="174"/>
    </row>
    <row r="158" spans="1:12" ht="20.1" customHeight="1">
      <c r="A158" s="145" t="s">
        <v>403</v>
      </c>
      <c r="B158" s="145"/>
      <c r="C158" s="145"/>
      <c r="D158" s="146" t="s">
        <v>404</v>
      </c>
      <c r="E158" s="146"/>
      <c r="F158" s="147"/>
      <c r="G158" s="148"/>
      <c r="H158" s="148"/>
      <c r="I158" s="148">
        <f>SUM(I159:I161)</f>
        <v>1236.04</v>
      </c>
      <c r="J158" s="149">
        <f t="shared" si="16"/>
        <v>0.00029086291100643736</v>
      </c>
      <c r="L158" s="174"/>
    </row>
    <row r="159" spans="1:12" ht="20.1" customHeight="1">
      <c r="A159" s="114" t="s">
        <v>405</v>
      </c>
      <c r="B159" s="114" t="s">
        <v>406</v>
      </c>
      <c r="C159" s="114" t="s">
        <v>15</v>
      </c>
      <c r="D159" s="113" t="s">
        <v>407</v>
      </c>
      <c r="E159" s="114" t="s">
        <v>53</v>
      </c>
      <c r="F159" s="141">
        <v>3</v>
      </c>
      <c r="G159" s="143">
        <v>271.93</v>
      </c>
      <c r="H159" s="143">
        <f>TRUNC(G159*(1+22.88/100),2)</f>
        <v>334.14</v>
      </c>
      <c r="I159" s="143">
        <f>TRUNC(F159*H159,2)</f>
        <v>1002.42</v>
      </c>
      <c r="J159" s="139">
        <f t="shared" si="16"/>
        <v>0.00023588783473922604</v>
      </c>
      <c r="L159" s="174"/>
    </row>
    <row r="160" spans="1:12" ht="20.1" customHeight="1">
      <c r="A160" s="114" t="s">
        <v>408</v>
      </c>
      <c r="B160" s="114" t="s">
        <v>409</v>
      </c>
      <c r="C160" s="114" t="s">
        <v>15</v>
      </c>
      <c r="D160" s="113" t="s">
        <v>410</v>
      </c>
      <c r="E160" s="114" t="s">
        <v>53</v>
      </c>
      <c r="F160" s="141">
        <v>2</v>
      </c>
      <c r="G160" s="143">
        <v>53.79</v>
      </c>
      <c r="H160" s="143">
        <f>TRUNC(G160*(1+22.88/100),2)</f>
        <v>66.09</v>
      </c>
      <c r="I160" s="143">
        <f>TRUNC(F160*H160,2)</f>
        <v>132.18</v>
      </c>
      <c r="J160" s="139">
        <f t="shared" si="16"/>
        <v>3.110438139286018E-05</v>
      </c>
      <c r="L160" s="174"/>
    </row>
    <row r="161" spans="1:12" ht="20.1" customHeight="1">
      <c r="A161" s="114" t="s">
        <v>411</v>
      </c>
      <c r="B161" s="114" t="s">
        <v>412</v>
      </c>
      <c r="C161" s="114" t="s">
        <v>15</v>
      </c>
      <c r="D161" s="113" t="s">
        <v>413</v>
      </c>
      <c r="E161" s="114" t="s">
        <v>53</v>
      </c>
      <c r="F161" s="141">
        <v>8</v>
      </c>
      <c r="G161" s="143">
        <v>10.32</v>
      </c>
      <c r="H161" s="143">
        <f>TRUNC(G161*(1+22.88/100),2)</f>
        <v>12.68</v>
      </c>
      <c r="I161" s="143">
        <f>TRUNC(F161*H161,2)</f>
        <v>101.44</v>
      </c>
      <c r="J161" s="139">
        <f t="shared" si="16"/>
        <v>2.387069487435116E-05</v>
      </c>
      <c r="L161" s="174"/>
    </row>
    <row r="162" spans="1:12" ht="20.1" customHeight="1">
      <c r="A162" s="145" t="s">
        <v>414</v>
      </c>
      <c r="B162" s="145"/>
      <c r="C162" s="145"/>
      <c r="D162" s="146" t="s">
        <v>415</v>
      </c>
      <c r="E162" s="146"/>
      <c r="F162" s="147"/>
      <c r="G162" s="148"/>
      <c r="H162" s="148"/>
      <c r="I162" s="148">
        <f>SUM(I163:I171)</f>
        <v>2052.02</v>
      </c>
      <c r="J162" s="149">
        <f t="shared" si="16"/>
        <v>0.0004828779899060141</v>
      </c>
      <c r="L162" s="174"/>
    </row>
    <row r="163" spans="1:12" ht="20.1" customHeight="1">
      <c r="A163" s="114" t="s">
        <v>416</v>
      </c>
      <c r="B163" s="114" t="s">
        <v>417</v>
      </c>
      <c r="C163" s="114" t="s">
        <v>15</v>
      </c>
      <c r="D163" s="113" t="s">
        <v>418</v>
      </c>
      <c r="E163" s="114" t="s">
        <v>53</v>
      </c>
      <c r="F163" s="141">
        <v>1</v>
      </c>
      <c r="G163" s="143">
        <v>56.12</v>
      </c>
      <c r="H163" s="143">
        <f aca="true" t="shared" si="19" ref="H163:H171">TRUNC(G163*(1+22.88/100),2)</f>
        <v>68.96</v>
      </c>
      <c r="I163" s="143">
        <f aca="true" t="shared" si="20" ref="I163:I171">TRUNC(F163*H163,2)</f>
        <v>68.96</v>
      </c>
      <c r="J163" s="139">
        <f t="shared" si="16"/>
        <v>1.6227554401964274E-05</v>
      </c>
      <c r="L163" s="174"/>
    </row>
    <row r="164" spans="1:12" ht="20.1" customHeight="1">
      <c r="A164" s="114" t="s">
        <v>419</v>
      </c>
      <c r="B164" s="114" t="s">
        <v>420</v>
      </c>
      <c r="C164" s="114" t="s">
        <v>15</v>
      </c>
      <c r="D164" s="113" t="s">
        <v>421</v>
      </c>
      <c r="E164" s="114" t="s">
        <v>53</v>
      </c>
      <c r="F164" s="141">
        <v>2</v>
      </c>
      <c r="G164" s="143">
        <v>111.44</v>
      </c>
      <c r="H164" s="143">
        <f t="shared" si="19"/>
        <v>136.93</v>
      </c>
      <c r="I164" s="143">
        <f t="shared" si="20"/>
        <v>273.86</v>
      </c>
      <c r="J164" s="139">
        <f t="shared" si="16"/>
        <v>6.44442872465478E-05</v>
      </c>
      <c r="L164" s="174"/>
    </row>
    <row r="165" spans="1:12" ht="20.1" customHeight="1">
      <c r="A165" s="114" t="s">
        <v>422</v>
      </c>
      <c r="B165" s="114" t="s">
        <v>423</v>
      </c>
      <c r="C165" s="114" t="s">
        <v>15</v>
      </c>
      <c r="D165" s="113" t="s">
        <v>424</v>
      </c>
      <c r="E165" s="114" t="s">
        <v>53</v>
      </c>
      <c r="F165" s="141">
        <v>8</v>
      </c>
      <c r="G165" s="143">
        <v>2.61</v>
      </c>
      <c r="H165" s="143">
        <f t="shared" si="19"/>
        <v>3.2</v>
      </c>
      <c r="I165" s="143">
        <f t="shared" si="20"/>
        <v>25.6</v>
      </c>
      <c r="J165" s="139">
        <f t="shared" si="16"/>
        <v>6.0241501260192204E-06</v>
      </c>
      <c r="L165" s="174"/>
    </row>
    <row r="166" spans="1:12" ht="20.1" customHeight="1">
      <c r="A166" s="114" t="s">
        <v>425</v>
      </c>
      <c r="B166" s="114" t="s">
        <v>426</v>
      </c>
      <c r="C166" s="114" t="s">
        <v>15</v>
      </c>
      <c r="D166" s="113" t="s">
        <v>427</v>
      </c>
      <c r="E166" s="114" t="s">
        <v>53</v>
      </c>
      <c r="F166" s="141">
        <v>12</v>
      </c>
      <c r="G166" s="143">
        <v>4.01</v>
      </c>
      <c r="H166" s="143">
        <f t="shared" si="19"/>
        <v>4.92</v>
      </c>
      <c r="I166" s="143">
        <f t="shared" si="20"/>
        <v>59.04</v>
      </c>
      <c r="J166" s="139">
        <f t="shared" si="16"/>
        <v>1.3893196228131826E-05</v>
      </c>
      <c r="L166" s="174"/>
    </row>
    <row r="167" spans="1:12" ht="20.1" customHeight="1">
      <c r="A167" s="114" t="s">
        <v>428</v>
      </c>
      <c r="B167" s="114" t="s">
        <v>429</v>
      </c>
      <c r="C167" s="114" t="s">
        <v>15</v>
      </c>
      <c r="D167" s="113" t="s">
        <v>430</v>
      </c>
      <c r="E167" s="114" t="s">
        <v>53</v>
      </c>
      <c r="F167" s="141">
        <v>3</v>
      </c>
      <c r="G167" s="143">
        <v>44.31</v>
      </c>
      <c r="H167" s="143">
        <f t="shared" si="19"/>
        <v>54.44</v>
      </c>
      <c r="I167" s="143">
        <f t="shared" si="20"/>
        <v>163.32</v>
      </c>
      <c r="J167" s="139">
        <f t="shared" si="16"/>
        <v>3.843219525708824E-05</v>
      </c>
      <c r="L167" s="174"/>
    </row>
    <row r="168" spans="1:12" ht="20.1" customHeight="1">
      <c r="A168" s="114" t="s">
        <v>431</v>
      </c>
      <c r="B168" s="114" t="s">
        <v>432</v>
      </c>
      <c r="C168" s="114" t="s">
        <v>15</v>
      </c>
      <c r="D168" s="113" t="s">
        <v>433</v>
      </c>
      <c r="E168" s="114" t="s">
        <v>53</v>
      </c>
      <c r="F168" s="141">
        <v>2</v>
      </c>
      <c r="G168" s="143">
        <v>212.93</v>
      </c>
      <c r="H168" s="143">
        <f t="shared" si="19"/>
        <v>261.64</v>
      </c>
      <c r="I168" s="143">
        <f t="shared" si="20"/>
        <v>523.28</v>
      </c>
      <c r="J168" s="139">
        <f t="shared" si="16"/>
        <v>0.00012313739366966162</v>
      </c>
      <c r="L168" s="174"/>
    </row>
    <row r="169" spans="1:12" ht="20.1" customHeight="1">
      <c r="A169" s="114" t="s">
        <v>434</v>
      </c>
      <c r="B169" s="114" t="s">
        <v>435</v>
      </c>
      <c r="C169" s="114" t="s">
        <v>15</v>
      </c>
      <c r="D169" s="113" t="s">
        <v>436</v>
      </c>
      <c r="E169" s="114" t="s">
        <v>53</v>
      </c>
      <c r="F169" s="141">
        <v>4</v>
      </c>
      <c r="G169" s="143">
        <v>167.48</v>
      </c>
      <c r="H169" s="143">
        <f t="shared" si="19"/>
        <v>205.79</v>
      </c>
      <c r="I169" s="143">
        <f t="shared" si="20"/>
        <v>823.16</v>
      </c>
      <c r="J169" s="139">
        <f t="shared" si="16"/>
        <v>0.00019370466475523363</v>
      </c>
      <c r="L169" s="174"/>
    </row>
    <row r="170" spans="1:12" ht="20.1" customHeight="1">
      <c r="A170" s="114" t="s">
        <v>437</v>
      </c>
      <c r="B170" s="114" t="s">
        <v>438</v>
      </c>
      <c r="C170" s="114" t="s">
        <v>15</v>
      </c>
      <c r="D170" s="113" t="s">
        <v>439</v>
      </c>
      <c r="E170" s="114" t="s">
        <v>53</v>
      </c>
      <c r="F170" s="141">
        <v>2</v>
      </c>
      <c r="G170" s="143">
        <v>35.5</v>
      </c>
      <c r="H170" s="143">
        <f t="shared" si="19"/>
        <v>43.62</v>
      </c>
      <c r="I170" s="143">
        <f t="shared" si="20"/>
        <v>87.24</v>
      </c>
      <c r="J170" s="139">
        <f t="shared" si="16"/>
        <v>2.0529174101324872E-05</v>
      </c>
      <c r="L170" s="174"/>
    </row>
    <row r="171" spans="1:12" ht="20.1" customHeight="1">
      <c r="A171" s="114" t="s">
        <v>440</v>
      </c>
      <c r="B171" s="114" t="s">
        <v>441</v>
      </c>
      <c r="C171" s="114" t="s">
        <v>15</v>
      </c>
      <c r="D171" s="113" t="s">
        <v>442</v>
      </c>
      <c r="E171" s="114" t="s">
        <v>53</v>
      </c>
      <c r="F171" s="141">
        <v>4</v>
      </c>
      <c r="G171" s="143">
        <v>5.61</v>
      </c>
      <c r="H171" s="143">
        <f t="shared" si="19"/>
        <v>6.89</v>
      </c>
      <c r="I171" s="143">
        <f t="shared" si="20"/>
        <v>27.56</v>
      </c>
      <c r="J171" s="139">
        <f t="shared" si="16"/>
        <v>6.485374120042567E-06</v>
      </c>
      <c r="L171" s="174"/>
    </row>
    <row r="172" spans="1:12" ht="20.1" customHeight="1">
      <c r="A172" s="145" t="s">
        <v>443</v>
      </c>
      <c r="B172" s="145"/>
      <c r="C172" s="145"/>
      <c r="D172" s="146" t="s">
        <v>444</v>
      </c>
      <c r="E172" s="146"/>
      <c r="F172" s="147"/>
      <c r="G172" s="148"/>
      <c r="H172" s="148"/>
      <c r="I172" s="148">
        <f>SUM(I173,I175,I177,I180)</f>
        <v>6297.849999999999</v>
      </c>
      <c r="J172" s="149">
        <f t="shared" si="16"/>
        <v>0.0014819997605918026</v>
      </c>
      <c r="K172" s="256">
        <f>I172/2</f>
        <v>3148.9249999999997</v>
      </c>
      <c r="L172" s="174"/>
    </row>
    <row r="173" spans="1:12" ht="20.1" customHeight="1">
      <c r="A173" s="145" t="s">
        <v>445</v>
      </c>
      <c r="B173" s="145"/>
      <c r="C173" s="145"/>
      <c r="D173" s="146" t="s">
        <v>254</v>
      </c>
      <c r="E173" s="146"/>
      <c r="F173" s="147"/>
      <c r="G173" s="148"/>
      <c r="H173" s="148"/>
      <c r="I173" s="148">
        <f>SUM(I174)</f>
        <v>616.8</v>
      </c>
      <c r="J173" s="149">
        <f t="shared" si="16"/>
        <v>0.00014514436709877558</v>
      </c>
      <c r="L173" s="174"/>
    </row>
    <row r="174" spans="1:12" ht="20.1" customHeight="1">
      <c r="A174" s="114" t="s">
        <v>446</v>
      </c>
      <c r="B174" s="114" t="s">
        <v>447</v>
      </c>
      <c r="C174" s="114" t="s">
        <v>15</v>
      </c>
      <c r="D174" s="113" t="s">
        <v>448</v>
      </c>
      <c r="E174" s="114" t="s">
        <v>131</v>
      </c>
      <c r="F174" s="141">
        <v>120</v>
      </c>
      <c r="G174" s="143">
        <v>4.19</v>
      </c>
      <c r="H174" s="143">
        <f>TRUNC(G174*(1+22.88/100),2)</f>
        <v>5.14</v>
      </c>
      <c r="I174" s="143">
        <f>TRUNC(F174*H174,2)</f>
        <v>616.8</v>
      </c>
      <c r="J174" s="139">
        <f t="shared" si="16"/>
        <v>0.00014514436709877558</v>
      </c>
      <c r="L174" s="174"/>
    </row>
    <row r="175" spans="1:12" ht="20.1" customHeight="1">
      <c r="A175" s="145" t="s">
        <v>449</v>
      </c>
      <c r="B175" s="145"/>
      <c r="C175" s="145"/>
      <c r="D175" s="146" t="s">
        <v>450</v>
      </c>
      <c r="E175" s="146"/>
      <c r="F175" s="147"/>
      <c r="G175" s="148"/>
      <c r="H175" s="148"/>
      <c r="I175" s="148">
        <f>SUM(I176)</f>
        <v>650.99</v>
      </c>
      <c r="J175" s="149">
        <f t="shared" si="16"/>
        <v>0.00015318990197411142</v>
      </c>
      <c r="L175" s="174"/>
    </row>
    <row r="176" spans="1:12" ht="20.1" customHeight="1">
      <c r="A176" s="114" t="s">
        <v>451</v>
      </c>
      <c r="B176" s="114" t="s">
        <v>452</v>
      </c>
      <c r="C176" s="114" t="s">
        <v>15</v>
      </c>
      <c r="D176" s="113" t="s">
        <v>453</v>
      </c>
      <c r="E176" s="114" t="s">
        <v>66</v>
      </c>
      <c r="F176" s="141">
        <v>1</v>
      </c>
      <c r="G176" s="143">
        <v>529.78</v>
      </c>
      <c r="H176" s="143">
        <f>TRUNC(G176*(1+22.88/100),2)</f>
        <v>650.99</v>
      </c>
      <c r="I176" s="143">
        <f>TRUNC(F176*H176,2)</f>
        <v>650.99</v>
      </c>
      <c r="J176" s="139">
        <f t="shared" si="16"/>
        <v>0.00015318990197411142</v>
      </c>
      <c r="L176" s="174"/>
    </row>
    <row r="177" spans="1:12" ht="20.1" customHeight="1">
      <c r="A177" s="145" t="s">
        <v>454</v>
      </c>
      <c r="B177" s="145"/>
      <c r="C177" s="145"/>
      <c r="D177" s="146" t="s">
        <v>455</v>
      </c>
      <c r="E177" s="146"/>
      <c r="F177" s="147"/>
      <c r="G177" s="148"/>
      <c r="H177" s="148"/>
      <c r="I177" s="148">
        <f>SUM(I178:I179)</f>
        <v>2721.3599999999997</v>
      </c>
      <c r="J177" s="149">
        <f t="shared" si="16"/>
        <v>0.0006403859838649868</v>
      </c>
      <c r="L177" s="174"/>
    </row>
    <row r="178" spans="1:12" ht="20.1" customHeight="1">
      <c r="A178" s="114" t="s">
        <v>456</v>
      </c>
      <c r="B178" s="114" t="s">
        <v>457</v>
      </c>
      <c r="C178" s="114" t="s">
        <v>15</v>
      </c>
      <c r="D178" s="113" t="s">
        <v>458</v>
      </c>
      <c r="E178" s="114" t="s">
        <v>53</v>
      </c>
      <c r="F178" s="141">
        <v>24</v>
      </c>
      <c r="G178" s="143">
        <v>37.8</v>
      </c>
      <c r="H178" s="143">
        <f>TRUNC(G178*(1+22.88/100),2)</f>
        <v>46.44</v>
      </c>
      <c r="I178" s="143">
        <f>TRUNC(F178*H178,2)</f>
        <v>1114.56</v>
      </c>
      <c r="J178" s="139">
        <f t="shared" si="16"/>
        <v>0.0002622764361115618</v>
      </c>
      <c r="L178" s="174"/>
    </row>
    <row r="179" spans="1:12" ht="20.1" customHeight="1">
      <c r="A179" s="114" t="s">
        <v>459</v>
      </c>
      <c r="B179" s="114" t="s">
        <v>460</v>
      </c>
      <c r="C179" s="114" t="s">
        <v>15</v>
      </c>
      <c r="D179" s="113" t="s">
        <v>461</v>
      </c>
      <c r="E179" s="114" t="s">
        <v>53</v>
      </c>
      <c r="F179" s="141">
        <v>24</v>
      </c>
      <c r="G179" s="143">
        <v>54.49</v>
      </c>
      <c r="H179" s="143">
        <f>TRUNC(G179*(1+22.88/100),2)</f>
        <v>66.95</v>
      </c>
      <c r="I179" s="143">
        <f>TRUNC(F179*H179,2)</f>
        <v>1606.8</v>
      </c>
      <c r="J179" s="139">
        <f t="shared" si="16"/>
        <v>0.0003781095477534251</v>
      </c>
      <c r="L179" s="174"/>
    </row>
    <row r="180" spans="1:12" ht="20.1" customHeight="1">
      <c r="A180" s="145" t="s">
        <v>462</v>
      </c>
      <c r="B180" s="145"/>
      <c r="C180" s="145"/>
      <c r="D180" s="146" t="s">
        <v>463</v>
      </c>
      <c r="E180" s="146"/>
      <c r="F180" s="147"/>
      <c r="G180" s="148"/>
      <c r="H180" s="148"/>
      <c r="I180" s="148">
        <f>SUM(I181:I182)</f>
        <v>2308.7</v>
      </c>
      <c r="J180" s="149">
        <f t="shared" si="16"/>
        <v>0.0005432795076539286</v>
      </c>
      <c r="L180" s="174"/>
    </row>
    <row r="181" spans="1:12" ht="20.1" customHeight="1">
      <c r="A181" s="114" t="s">
        <v>464</v>
      </c>
      <c r="B181" s="114" t="s">
        <v>465</v>
      </c>
      <c r="C181" s="114" t="s">
        <v>15</v>
      </c>
      <c r="D181" s="113" t="s">
        <v>466</v>
      </c>
      <c r="E181" s="114" t="s">
        <v>53</v>
      </c>
      <c r="F181" s="141">
        <v>1</v>
      </c>
      <c r="G181" s="143">
        <v>618.27</v>
      </c>
      <c r="H181" s="143">
        <f>TRUNC(G181*(1+22.88/100),2)</f>
        <v>759.73</v>
      </c>
      <c r="I181" s="143">
        <f>TRUNC(F181*H181,2)</f>
        <v>759.73</v>
      </c>
      <c r="J181" s="139">
        <f t="shared" si="16"/>
        <v>0.00017877842090783524</v>
      </c>
      <c r="L181" s="174"/>
    </row>
    <row r="182" spans="1:12" ht="20.1" customHeight="1">
      <c r="A182" s="114" t="s">
        <v>467</v>
      </c>
      <c r="B182" s="114" t="s">
        <v>468</v>
      </c>
      <c r="C182" s="114" t="s">
        <v>15</v>
      </c>
      <c r="D182" s="113" t="s">
        <v>469</v>
      </c>
      <c r="E182" s="114" t="s">
        <v>53</v>
      </c>
      <c r="F182" s="141">
        <v>1</v>
      </c>
      <c r="G182" s="143">
        <v>1260.56</v>
      </c>
      <c r="H182" s="143">
        <f>TRUNC(G182*(1+22.88/100),2)</f>
        <v>1548.97</v>
      </c>
      <c r="I182" s="143">
        <f>TRUNC(F182*H182,2)</f>
        <v>1548.97</v>
      </c>
      <c r="J182" s="139">
        <f t="shared" si="16"/>
        <v>0.0003645010867460934</v>
      </c>
      <c r="L182" s="174"/>
    </row>
    <row r="183" spans="1:12" ht="20.1" customHeight="1">
      <c r="A183" s="145" t="s">
        <v>470</v>
      </c>
      <c r="B183" s="145"/>
      <c r="C183" s="145"/>
      <c r="D183" s="146" t="s">
        <v>471</v>
      </c>
      <c r="E183" s="146"/>
      <c r="F183" s="147"/>
      <c r="G183" s="148"/>
      <c r="H183" s="148"/>
      <c r="I183" s="148">
        <f>SUM(I184)</f>
        <v>7477.44</v>
      </c>
      <c r="J183" s="149">
        <f t="shared" si="16"/>
        <v>0.0017595789499336388</v>
      </c>
      <c r="K183" s="256">
        <f>I183/2</f>
        <v>3738.72</v>
      </c>
      <c r="L183" s="174"/>
    </row>
    <row r="184" spans="1:12" ht="20.1" customHeight="1">
      <c r="A184" s="145" t="s">
        <v>472</v>
      </c>
      <c r="B184" s="145"/>
      <c r="C184" s="145"/>
      <c r="D184" s="146" t="s">
        <v>473</v>
      </c>
      <c r="E184" s="146"/>
      <c r="F184" s="147"/>
      <c r="G184" s="148"/>
      <c r="H184" s="148"/>
      <c r="I184" s="148">
        <f>SUM(I185)</f>
        <v>7477.44</v>
      </c>
      <c r="J184" s="149">
        <f t="shared" si="16"/>
        <v>0.0017595789499336388</v>
      </c>
      <c r="L184" s="174"/>
    </row>
    <row r="185" spans="1:12" ht="20.1" customHeight="1">
      <c r="A185" s="114" t="s">
        <v>474</v>
      </c>
      <c r="B185" s="114" t="s">
        <v>475</v>
      </c>
      <c r="C185" s="114" t="s">
        <v>15</v>
      </c>
      <c r="D185" s="113" t="s">
        <v>476</v>
      </c>
      <c r="E185" s="114" t="s">
        <v>66</v>
      </c>
      <c r="F185" s="141">
        <v>24</v>
      </c>
      <c r="G185" s="143">
        <v>253.55</v>
      </c>
      <c r="H185" s="143">
        <f>TRUNC(G185*(1+22.88/100),2)</f>
        <v>311.56</v>
      </c>
      <c r="I185" s="143">
        <f>TRUNC(F185*H185,2)</f>
        <v>7477.44</v>
      </c>
      <c r="J185" s="139">
        <f t="shared" si="16"/>
        <v>0.0017595789499336388</v>
      </c>
      <c r="L185" s="174"/>
    </row>
    <row r="186" spans="1:12" ht="20.1" customHeight="1">
      <c r="A186" s="145" t="s">
        <v>477</v>
      </c>
      <c r="B186" s="145"/>
      <c r="C186" s="145"/>
      <c r="D186" s="146" t="s">
        <v>478</v>
      </c>
      <c r="E186" s="146"/>
      <c r="F186" s="147"/>
      <c r="G186" s="148"/>
      <c r="H186" s="148"/>
      <c r="I186" s="148">
        <f>SUM(I187,I191,I200,I204)</f>
        <v>324951.46</v>
      </c>
      <c r="J186" s="149">
        <f t="shared" si="16"/>
        <v>0.07646704604332538</v>
      </c>
      <c r="K186" s="256">
        <f>I186*15%</f>
        <v>48742.719000000005</v>
      </c>
      <c r="L186" s="256">
        <f>I186*14%</f>
        <v>45493.20440000001</v>
      </c>
    </row>
    <row r="187" spans="1:12" ht="20.1" customHeight="1">
      <c r="A187" s="145" t="s">
        <v>479</v>
      </c>
      <c r="B187" s="145"/>
      <c r="C187" s="145"/>
      <c r="D187" s="146" t="s">
        <v>480</v>
      </c>
      <c r="E187" s="146"/>
      <c r="F187" s="147"/>
      <c r="G187" s="148"/>
      <c r="H187" s="148"/>
      <c r="I187" s="148">
        <f>SUM(I188:I190)</f>
        <v>58622.28</v>
      </c>
      <c r="J187" s="149">
        <f t="shared" si="16"/>
        <v>0.013794899040997422</v>
      </c>
      <c r="L187" s="174"/>
    </row>
    <row r="188" spans="1:12" ht="20.1" customHeight="1">
      <c r="A188" s="114" t="s">
        <v>481</v>
      </c>
      <c r="B188" s="114" t="s">
        <v>482</v>
      </c>
      <c r="C188" s="114" t="s">
        <v>15</v>
      </c>
      <c r="D188" s="113" t="s">
        <v>483</v>
      </c>
      <c r="E188" s="114" t="s">
        <v>66</v>
      </c>
      <c r="F188" s="141">
        <v>72</v>
      </c>
      <c r="G188" s="143">
        <v>601.76</v>
      </c>
      <c r="H188" s="143">
        <f>TRUNC(G188*(1+22.88/100),2)</f>
        <v>739.44</v>
      </c>
      <c r="I188" s="143">
        <f>TRUNC(F188*H188,2)</f>
        <v>53239.68</v>
      </c>
      <c r="J188" s="139">
        <f t="shared" si="16"/>
        <v>0.012528274413329023</v>
      </c>
      <c r="L188" s="174"/>
    </row>
    <row r="189" spans="1:12" ht="20.1" customHeight="1">
      <c r="A189" s="114" t="s">
        <v>484</v>
      </c>
      <c r="B189" s="114" t="s">
        <v>485</v>
      </c>
      <c r="C189" s="114" t="s">
        <v>15</v>
      </c>
      <c r="D189" s="113" t="s">
        <v>486</v>
      </c>
      <c r="E189" s="114" t="s">
        <v>53</v>
      </c>
      <c r="F189" s="141">
        <v>13</v>
      </c>
      <c r="G189" s="143">
        <v>100.49</v>
      </c>
      <c r="H189" s="143">
        <f>TRUNC(G189*(1+22.88/100),2)</f>
        <v>123.48</v>
      </c>
      <c r="I189" s="143">
        <f>TRUNC(F189*H189,2)</f>
        <v>1605.24</v>
      </c>
      <c r="J189" s="139">
        <f t="shared" si="16"/>
        <v>0.00037774245110512084</v>
      </c>
      <c r="L189" s="174"/>
    </row>
    <row r="190" spans="1:12" ht="20.1" customHeight="1">
      <c r="A190" s="114" t="s">
        <v>487</v>
      </c>
      <c r="B190" s="114" t="s">
        <v>488</v>
      </c>
      <c r="C190" s="114" t="s">
        <v>15</v>
      </c>
      <c r="D190" s="113" t="s">
        <v>489</v>
      </c>
      <c r="E190" s="114" t="s">
        <v>53</v>
      </c>
      <c r="F190" s="141">
        <v>1</v>
      </c>
      <c r="G190" s="143">
        <v>3074.03</v>
      </c>
      <c r="H190" s="143">
        <f>TRUNC(G190*(1+22.88/100),2)</f>
        <v>3777.36</v>
      </c>
      <c r="I190" s="143">
        <f>TRUNC(F190*H190,2)</f>
        <v>3777.36</v>
      </c>
      <c r="J190" s="139">
        <f t="shared" si="16"/>
        <v>0.0008888821765632797</v>
      </c>
      <c r="L190" s="174"/>
    </row>
    <row r="191" spans="1:12" ht="20.1" customHeight="1">
      <c r="A191" s="145" t="s">
        <v>490</v>
      </c>
      <c r="B191" s="145"/>
      <c r="C191" s="145"/>
      <c r="D191" s="146" t="s">
        <v>491</v>
      </c>
      <c r="E191" s="146"/>
      <c r="F191" s="147"/>
      <c r="G191" s="148"/>
      <c r="H191" s="148"/>
      <c r="I191" s="148">
        <f>SUM(I192:I199)</f>
        <v>131153.27</v>
      </c>
      <c r="J191" s="149">
        <f t="shared" si="16"/>
        <v>0.030862772968684872</v>
      </c>
      <c r="L191" s="174"/>
    </row>
    <row r="192" spans="1:12" ht="20.1" customHeight="1">
      <c r="A192" s="114" t="s">
        <v>492</v>
      </c>
      <c r="B192" s="114" t="s">
        <v>493</v>
      </c>
      <c r="C192" s="114" t="s">
        <v>15</v>
      </c>
      <c r="D192" s="113" t="s">
        <v>494</v>
      </c>
      <c r="E192" s="114" t="s">
        <v>53</v>
      </c>
      <c r="F192" s="141">
        <v>2</v>
      </c>
      <c r="G192" s="143">
        <v>443.78</v>
      </c>
      <c r="H192" s="143">
        <f aca="true" t="shared" si="21" ref="H192:H199">TRUNC(G192*(1+22.88/100),2)</f>
        <v>545.31</v>
      </c>
      <c r="I192" s="143">
        <f aca="true" t="shared" si="22" ref="I192:I199">TRUNC(F192*H192,2)</f>
        <v>1090.62</v>
      </c>
      <c r="J192" s="139">
        <f t="shared" si="16"/>
        <v>0.0002566429144702766</v>
      </c>
      <c r="L192" s="174"/>
    </row>
    <row r="193" spans="1:12" ht="20.1" customHeight="1">
      <c r="A193" s="114" t="s">
        <v>495</v>
      </c>
      <c r="B193" s="114" t="s">
        <v>493</v>
      </c>
      <c r="C193" s="114" t="s">
        <v>15</v>
      </c>
      <c r="D193" s="113" t="s">
        <v>496</v>
      </c>
      <c r="E193" s="114" t="s">
        <v>53</v>
      </c>
      <c r="F193" s="141">
        <v>12</v>
      </c>
      <c r="G193" s="143">
        <v>443.78</v>
      </c>
      <c r="H193" s="143">
        <f t="shared" si="21"/>
        <v>545.31</v>
      </c>
      <c r="I193" s="143">
        <f t="shared" si="22"/>
        <v>6543.72</v>
      </c>
      <c r="J193" s="139">
        <f t="shared" si="16"/>
        <v>0.00153985748682166</v>
      </c>
      <c r="L193" s="174"/>
    </row>
    <row r="194" spans="1:12" ht="20.1" customHeight="1">
      <c r="A194" s="114" t="s">
        <v>497</v>
      </c>
      <c r="B194" s="114" t="s">
        <v>498</v>
      </c>
      <c r="C194" s="114" t="s">
        <v>15</v>
      </c>
      <c r="D194" s="113" t="s">
        <v>499</v>
      </c>
      <c r="E194" s="114" t="s">
        <v>53</v>
      </c>
      <c r="F194" s="141">
        <v>6</v>
      </c>
      <c r="G194" s="143">
        <v>1058.6</v>
      </c>
      <c r="H194" s="143">
        <f t="shared" si="21"/>
        <v>1300.8</v>
      </c>
      <c r="I194" s="143">
        <f t="shared" si="22"/>
        <v>7804.8</v>
      </c>
      <c r="J194" s="139">
        <f t="shared" si="16"/>
        <v>0.0018366127696701098</v>
      </c>
      <c r="L194" s="174"/>
    </row>
    <row r="195" spans="1:12" ht="20.1" customHeight="1">
      <c r="A195" s="114" t="s">
        <v>500</v>
      </c>
      <c r="B195" s="114" t="s">
        <v>501</v>
      </c>
      <c r="C195" s="114" t="s">
        <v>15</v>
      </c>
      <c r="D195" s="113" t="s">
        <v>502</v>
      </c>
      <c r="E195" s="114" t="s">
        <v>53</v>
      </c>
      <c r="F195" s="141">
        <v>3</v>
      </c>
      <c r="G195" s="143">
        <v>3786.33</v>
      </c>
      <c r="H195" s="143">
        <f t="shared" si="21"/>
        <v>4652.64</v>
      </c>
      <c r="I195" s="143">
        <f t="shared" si="22"/>
        <v>13957.92</v>
      </c>
      <c r="J195" s="139">
        <f t="shared" si="16"/>
        <v>0.003284554903397117</v>
      </c>
      <c r="L195" s="174"/>
    </row>
    <row r="196" spans="1:12" ht="20.1" customHeight="1">
      <c r="A196" s="114" t="s">
        <v>503</v>
      </c>
      <c r="B196" s="114" t="s">
        <v>504</v>
      </c>
      <c r="C196" s="114" t="s">
        <v>15</v>
      </c>
      <c r="D196" s="113" t="s">
        <v>505</v>
      </c>
      <c r="E196" s="114" t="s">
        <v>53</v>
      </c>
      <c r="F196" s="141">
        <v>3</v>
      </c>
      <c r="G196" s="143">
        <v>12282.07</v>
      </c>
      <c r="H196" s="143">
        <f t="shared" si="21"/>
        <v>15092.2</v>
      </c>
      <c r="I196" s="143">
        <f t="shared" si="22"/>
        <v>45276.6</v>
      </c>
      <c r="J196" s="139">
        <f t="shared" si="16"/>
        <v>0.010654415452957883</v>
      </c>
      <c r="L196" s="174"/>
    </row>
    <row r="197" spans="1:12" ht="20.1" customHeight="1">
      <c r="A197" s="114" t="s">
        <v>506</v>
      </c>
      <c r="B197" s="114" t="s">
        <v>507</v>
      </c>
      <c r="C197" s="114" t="s">
        <v>15</v>
      </c>
      <c r="D197" s="113" t="s">
        <v>508</v>
      </c>
      <c r="E197" s="114" t="s">
        <v>66</v>
      </c>
      <c r="F197" s="141">
        <v>70</v>
      </c>
      <c r="G197" s="143">
        <v>424.53</v>
      </c>
      <c r="H197" s="143">
        <f t="shared" si="21"/>
        <v>521.66</v>
      </c>
      <c r="I197" s="143">
        <f t="shared" si="22"/>
        <v>36516.2</v>
      </c>
      <c r="J197" s="139">
        <f t="shared" si="16"/>
        <v>0.008592932454364962</v>
      </c>
      <c r="L197" s="174"/>
    </row>
    <row r="198" spans="1:12" ht="20.1" customHeight="1">
      <c r="A198" s="114" t="s">
        <v>509</v>
      </c>
      <c r="B198" s="114" t="s">
        <v>510</v>
      </c>
      <c r="C198" s="114" t="s">
        <v>15</v>
      </c>
      <c r="D198" s="113" t="s">
        <v>511</v>
      </c>
      <c r="E198" s="114" t="s">
        <v>66</v>
      </c>
      <c r="F198" s="141">
        <v>12</v>
      </c>
      <c r="G198" s="143">
        <v>169.81</v>
      </c>
      <c r="H198" s="143">
        <f t="shared" si="21"/>
        <v>208.66</v>
      </c>
      <c r="I198" s="143">
        <f t="shared" si="22"/>
        <v>2503.92</v>
      </c>
      <c r="J198" s="139">
        <f t="shared" si="16"/>
        <v>0.0005892183587321112</v>
      </c>
      <c r="L198" s="174"/>
    </row>
    <row r="199" spans="1:12" ht="25.5">
      <c r="A199" s="114" t="s">
        <v>512</v>
      </c>
      <c r="B199" s="114" t="s">
        <v>513</v>
      </c>
      <c r="C199" s="114" t="s">
        <v>15</v>
      </c>
      <c r="D199" s="113" t="s">
        <v>514</v>
      </c>
      <c r="E199" s="114" t="s">
        <v>53</v>
      </c>
      <c r="F199" s="141">
        <v>3</v>
      </c>
      <c r="G199" s="143">
        <v>4736.19</v>
      </c>
      <c r="H199" s="143">
        <f t="shared" si="21"/>
        <v>5819.83</v>
      </c>
      <c r="I199" s="143">
        <f t="shared" si="22"/>
        <v>17459.49</v>
      </c>
      <c r="J199" s="139">
        <f t="shared" si="16"/>
        <v>0.004108538628270755</v>
      </c>
      <c r="L199" s="174"/>
    </row>
    <row r="200" spans="1:12" ht="20.1" customHeight="1">
      <c r="A200" s="145" t="s">
        <v>515</v>
      </c>
      <c r="B200" s="145"/>
      <c r="C200" s="145"/>
      <c r="D200" s="146" t="s">
        <v>516</v>
      </c>
      <c r="E200" s="146"/>
      <c r="F200" s="147"/>
      <c r="G200" s="148"/>
      <c r="H200" s="148"/>
      <c r="I200" s="148">
        <f>SUM(I201:I203)</f>
        <v>130787.02</v>
      </c>
      <c r="J200" s="149">
        <f t="shared" si="16"/>
        <v>0.03077658761776087</v>
      </c>
      <c r="L200" s="174"/>
    </row>
    <row r="201" spans="1:12" ht="20.1" customHeight="1">
      <c r="A201" s="114" t="s">
        <v>517</v>
      </c>
      <c r="B201" s="114" t="s">
        <v>518</v>
      </c>
      <c r="C201" s="114" t="s">
        <v>15</v>
      </c>
      <c r="D201" s="113" t="s">
        <v>519</v>
      </c>
      <c r="E201" s="114" t="s">
        <v>131</v>
      </c>
      <c r="F201" s="141">
        <v>250</v>
      </c>
      <c r="G201" s="143">
        <v>277.73</v>
      </c>
      <c r="H201" s="143">
        <f>TRUNC(G201*(1+22.88/100),2)</f>
        <v>341.27</v>
      </c>
      <c r="I201" s="143">
        <f>TRUNC(F201*H201,2)</f>
        <v>85317.5</v>
      </c>
      <c r="J201" s="139">
        <f t="shared" si="16"/>
        <v>0.020076774545962687</v>
      </c>
      <c r="L201" s="174"/>
    </row>
    <row r="202" spans="1:12" ht="20.1" customHeight="1">
      <c r="A202" s="114" t="s">
        <v>520</v>
      </c>
      <c r="B202" s="114" t="s">
        <v>521</v>
      </c>
      <c r="C202" s="114" t="s">
        <v>15</v>
      </c>
      <c r="D202" s="113" t="s">
        <v>522</v>
      </c>
      <c r="E202" s="114" t="s">
        <v>131</v>
      </c>
      <c r="F202" s="141">
        <v>198</v>
      </c>
      <c r="G202" s="143">
        <v>104.37</v>
      </c>
      <c r="H202" s="143">
        <f>TRUNC(G202*(1+22.88/100),2)</f>
        <v>128.24</v>
      </c>
      <c r="I202" s="143">
        <f>TRUNC(F202*H202,2)</f>
        <v>25391.52</v>
      </c>
      <c r="J202" s="139">
        <f aca="true" t="shared" si="23" ref="J202:J243">I202/4249562.09</f>
        <v>0.0059750909534304515</v>
      </c>
      <c r="L202" s="174"/>
    </row>
    <row r="203" spans="1:12" ht="25.5">
      <c r="A203" s="114" t="s">
        <v>822</v>
      </c>
      <c r="B203" s="114" t="s">
        <v>823</v>
      </c>
      <c r="C203" s="114" t="s">
        <v>216</v>
      </c>
      <c r="D203" s="113" t="s">
        <v>824</v>
      </c>
      <c r="E203" s="114" t="s">
        <v>53</v>
      </c>
      <c r="F203" s="141">
        <v>20</v>
      </c>
      <c r="G203" s="143">
        <v>816.98</v>
      </c>
      <c r="H203" s="143">
        <f>TRUNC(G203*(1+22.88/100),2)</f>
        <v>1003.9</v>
      </c>
      <c r="I203" s="143">
        <f>TRUNC(F203*H203,2)</f>
        <v>20078</v>
      </c>
      <c r="J203" s="139">
        <f t="shared" si="23"/>
        <v>0.00472472211836773</v>
      </c>
      <c r="L203" s="174"/>
    </row>
    <row r="204" spans="1:12" ht="20.1" customHeight="1">
      <c r="A204" s="145" t="s">
        <v>523</v>
      </c>
      <c r="B204" s="145"/>
      <c r="C204" s="145"/>
      <c r="D204" s="146" t="s">
        <v>524</v>
      </c>
      <c r="E204" s="146"/>
      <c r="F204" s="147"/>
      <c r="G204" s="148"/>
      <c r="H204" s="148"/>
      <c r="I204" s="148">
        <f>SUM(I205)</f>
        <v>4388.89</v>
      </c>
      <c r="J204" s="149">
        <f t="shared" si="23"/>
        <v>0.0010327864158822069</v>
      </c>
      <c r="L204" s="174"/>
    </row>
    <row r="205" spans="1:12" ht="20.1" customHeight="1">
      <c r="A205" s="114" t="s">
        <v>525</v>
      </c>
      <c r="B205" s="114" t="s">
        <v>526</v>
      </c>
      <c r="C205" s="114" t="s">
        <v>15</v>
      </c>
      <c r="D205" s="113" t="s">
        <v>527</v>
      </c>
      <c r="E205" s="114" t="s">
        <v>53</v>
      </c>
      <c r="F205" s="141">
        <v>1</v>
      </c>
      <c r="G205" s="143">
        <v>3571.69</v>
      </c>
      <c r="H205" s="143">
        <f>TRUNC(G205*(1+22.88/100),2)</f>
        <v>4388.89</v>
      </c>
      <c r="I205" s="143">
        <f>TRUNC(F205*H205,2)</f>
        <v>4388.89</v>
      </c>
      <c r="J205" s="139">
        <f t="shared" si="23"/>
        <v>0.0010327864158822069</v>
      </c>
      <c r="L205" s="174"/>
    </row>
    <row r="206" spans="1:12" ht="20.1" customHeight="1">
      <c r="A206" s="145" t="s">
        <v>528</v>
      </c>
      <c r="B206" s="145"/>
      <c r="C206" s="145"/>
      <c r="D206" s="146" t="s">
        <v>529</v>
      </c>
      <c r="E206" s="146"/>
      <c r="F206" s="147"/>
      <c r="G206" s="148"/>
      <c r="H206" s="148"/>
      <c r="I206" s="148">
        <f>SUM(I207:I208)</f>
        <v>5647.03</v>
      </c>
      <c r="J206" s="149">
        <f t="shared" si="23"/>
        <v>0.0013288498627396217</v>
      </c>
      <c r="K206" s="256">
        <f>I206</f>
        <v>5647.03</v>
      </c>
      <c r="L206" s="174"/>
    </row>
    <row r="207" spans="1:12" ht="20.1" customHeight="1">
      <c r="A207" s="114" t="s">
        <v>530</v>
      </c>
      <c r="B207" s="114" t="s">
        <v>531</v>
      </c>
      <c r="C207" s="114" t="s">
        <v>15</v>
      </c>
      <c r="D207" s="113" t="s">
        <v>532</v>
      </c>
      <c r="E207" s="114" t="s">
        <v>53</v>
      </c>
      <c r="F207" s="141">
        <v>12</v>
      </c>
      <c r="G207" s="143">
        <v>238.26</v>
      </c>
      <c r="H207" s="143">
        <f>TRUNC(G207*(1+22.88/100),2)</f>
        <v>292.77</v>
      </c>
      <c r="I207" s="143">
        <f>TRUNC(F207*H207,2)</f>
        <v>3513.24</v>
      </c>
      <c r="J207" s="139">
        <f t="shared" si="23"/>
        <v>0.0008267298901849908</v>
      </c>
      <c r="L207" s="174"/>
    </row>
    <row r="208" spans="1:12" ht="25.5">
      <c r="A208" s="114" t="s">
        <v>825</v>
      </c>
      <c r="B208" s="114" t="s">
        <v>826</v>
      </c>
      <c r="C208" s="114" t="s">
        <v>216</v>
      </c>
      <c r="D208" s="113" t="s">
        <v>827</v>
      </c>
      <c r="E208" s="114" t="s">
        <v>53</v>
      </c>
      <c r="F208" s="141">
        <v>1</v>
      </c>
      <c r="G208" s="143">
        <v>1736.49</v>
      </c>
      <c r="H208" s="143">
        <f>TRUNC(G208*(1+22.88/100),2)</f>
        <v>2133.79</v>
      </c>
      <c r="I208" s="143">
        <f>TRUNC(F208*H208,2)</f>
        <v>2133.79</v>
      </c>
      <c r="J208" s="139">
        <f t="shared" si="23"/>
        <v>0.0005021199725546309</v>
      </c>
      <c r="L208" s="174"/>
    </row>
    <row r="209" spans="1:12" ht="25.5">
      <c r="A209" s="145" t="s">
        <v>533</v>
      </c>
      <c r="B209" s="145"/>
      <c r="C209" s="145"/>
      <c r="D209" s="146" t="s">
        <v>534</v>
      </c>
      <c r="E209" s="146"/>
      <c r="F209" s="147"/>
      <c r="G209" s="148"/>
      <c r="H209" s="148"/>
      <c r="I209" s="148">
        <f>SUM(I210:I225)</f>
        <v>53614.66000000002</v>
      </c>
      <c r="J209" s="149">
        <f t="shared" si="23"/>
        <v>0.01261651409357335</v>
      </c>
      <c r="K209" s="256">
        <f>I209*33%</f>
        <v>17692.83780000001</v>
      </c>
      <c r="L209" s="257">
        <f>I209*34%</f>
        <v>18228.98440000001</v>
      </c>
    </row>
    <row r="210" spans="1:12" ht="20.1" customHeight="1">
      <c r="A210" s="114" t="s">
        <v>535</v>
      </c>
      <c r="B210" s="114" t="s">
        <v>536</v>
      </c>
      <c r="C210" s="114" t="s">
        <v>15</v>
      </c>
      <c r="D210" s="113" t="s">
        <v>537</v>
      </c>
      <c r="E210" s="114" t="s">
        <v>53</v>
      </c>
      <c r="F210" s="141">
        <v>13</v>
      </c>
      <c r="G210" s="143">
        <v>72.53</v>
      </c>
      <c r="H210" s="143">
        <f aca="true" t="shared" si="24" ref="H210:H225">TRUNC(G210*(1+22.88/100),2)</f>
        <v>89.12</v>
      </c>
      <c r="I210" s="143">
        <f aca="true" t="shared" si="25" ref="I210:I225">TRUNC(F210*H210,2)</f>
        <v>1158.56</v>
      </c>
      <c r="J210" s="139">
        <f t="shared" si="23"/>
        <v>0.0002726304441406573</v>
      </c>
      <c r="L210" s="174"/>
    </row>
    <row r="211" spans="1:12" ht="20.1" customHeight="1">
      <c r="A211" s="114" t="s">
        <v>538</v>
      </c>
      <c r="B211" s="114" t="s">
        <v>539</v>
      </c>
      <c r="C211" s="114" t="s">
        <v>15</v>
      </c>
      <c r="D211" s="113" t="s">
        <v>540</v>
      </c>
      <c r="E211" s="114" t="s">
        <v>53</v>
      </c>
      <c r="F211" s="141">
        <v>3</v>
      </c>
      <c r="G211" s="143">
        <v>1397.02</v>
      </c>
      <c r="H211" s="143">
        <f t="shared" si="24"/>
        <v>1716.65</v>
      </c>
      <c r="I211" s="143">
        <f t="shared" si="25"/>
        <v>5149.95</v>
      </c>
      <c r="J211" s="139">
        <f t="shared" si="23"/>
        <v>0.0012118778102145579</v>
      </c>
      <c r="L211" s="174"/>
    </row>
    <row r="212" spans="1:12" ht="20.1" customHeight="1">
      <c r="A212" s="114" t="s">
        <v>541</v>
      </c>
      <c r="B212" s="114" t="s">
        <v>542</v>
      </c>
      <c r="C212" s="114" t="s">
        <v>15</v>
      </c>
      <c r="D212" s="113" t="s">
        <v>543</v>
      </c>
      <c r="E212" s="114" t="s">
        <v>53</v>
      </c>
      <c r="F212" s="141">
        <v>26</v>
      </c>
      <c r="G212" s="143">
        <v>593.59</v>
      </c>
      <c r="H212" s="143">
        <f t="shared" si="24"/>
        <v>729.4</v>
      </c>
      <c r="I212" s="143">
        <f t="shared" si="25"/>
        <v>18964.4</v>
      </c>
      <c r="J212" s="139">
        <f t="shared" si="23"/>
        <v>0.004462671587885895</v>
      </c>
      <c r="L212" s="174"/>
    </row>
    <row r="213" spans="1:12" ht="20.1" customHeight="1">
      <c r="A213" s="114" t="s">
        <v>544</v>
      </c>
      <c r="B213" s="114" t="s">
        <v>545</v>
      </c>
      <c r="C213" s="114" t="s">
        <v>15</v>
      </c>
      <c r="D213" s="113" t="s">
        <v>546</v>
      </c>
      <c r="E213" s="114" t="s">
        <v>131</v>
      </c>
      <c r="F213" s="141">
        <v>28</v>
      </c>
      <c r="G213" s="143">
        <v>280.77</v>
      </c>
      <c r="H213" s="143">
        <f t="shared" si="24"/>
        <v>345.01</v>
      </c>
      <c r="I213" s="143">
        <f t="shared" si="25"/>
        <v>9660.28</v>
      </c>
      <c r="J213" s="139">
        <f t="shared" si="23"/>
        <v>0.0022732412882570685</v>
      </c>
      <c r="L213" s="174"/>
    </row>
    <row r="214" spans="1:12" ht="20.1" customHeight="1">
      <c r="A214" s="114" t="s">
        <v>547</v>
      </c>
      <c r="B214" s="114" t="s">
        <v>548</v>
      </c>
      <c r="C214" s="114" t="s">
        <v>15</v>
      </c>
      <c r="D214" s="113" t="s">
        <v>549</v>
      </c>
      <c r="E214" s="114" t="s">
        <v>53</v>
      </c>
      <c r="F214" s="141">
        <v>22</v>
      </c>
      <c r="G214" s="143">
        <v>108.4</v>
      </c>
      <c r="H214" s="143">
        <f t="shared" si="24"/>
        <v>133.2</v>
      </c>
      <c r="I214" s="143">
        <f t="shared" si="25"/>
        <v>2930.4</v>
      </c>
      <c r="J214" s="139">
        <f t="shared" si="23"/>
        <v>0.0006895769347377627</v>
      </c>
      <c r="L214" s="174"/>
    </row>
    <row r="215" spans="1:12" ht="20.1" customHeight="1">
      <c r="A215" s="114" t="s">
        <v>550</v>
      </c>
      <c r="B215" s="114" t="s">
        <v>551</v>
      </c>
      <c r="C215" s="114" t="s">
        <v>15</v>
      </c>
      <c r="D215" s="113" t="s">
        <v>552</v>
      </c>
      <c r="E215" s="114" t="s">
        <v>53</v>
      </c>
      <c r="F215" s="141">
        <v>2</v>
      </c>
      <c r="G215" s="143">
        <v>152.05</v>
      </c>
      <c r="H215" s="143">
        <f t="shared" si="24"/>
        <v>186.83</v>
      </c>
      <c r="I215" s="143">
        <f t="shared" si="25"/>
        <v>373.66</v>
      </c>
      <c r="J215" s="139">
        <f t="shared" si="23"/>
        <v>8.792906000345086E-05</v>
      </c>
      <c r="L215" s="174"/>
    </row>
    <row r="216" spans="1:12" ht="20.1" customHeight="1">
      <c r="A216" s="114" t="s">
        <v>553</v>
      </c>
      <c r="B216" s="114" t="s">
        <v>554</v>
      </c>
      <c r="C216" s="114" t="s">
        <v>15</v>
      </c>
      <c r="D216" s="113" t="s">
        <v>555</v>
      </c>
      <c r="E216" s="114" t="s">
        <v>53</v>
      </c>
      <c r="F216" s="141">
        <v>30</v>
      </c>
      <c r="G216" s="143">
        <v>37.9</v>
      </c>
      <c r="H216" s="143">
        <f t="shared" si="24"/>
        <v>46.57</v>
      </c>
      <c r="I216" s="143">
        <f t="shared" si="25"/>
        <v>1397.1</v>
      </c>
      <c r="J216" s="139">
        <f t="shared" si="23"/>
        <v>0.00032876328676021294</v>
      </c>
      <c r="L216" s="174"/>
    </row>
    <row r="217" spans="1:12" ht="20.1" customHeight="1">
      <c r="A217" s="114" t="s">
        <v>556</v>
      </c>
      <c r="B217" s="114" t="s">
        <v>557</v>
      </c>
      <c r="C217" s="114" t="s">
        <v>15</v>
      </c>
      <c r="D217" s="113" t="s">
        <v>558</v>
      </c>
      <c r="E217" s="114" t="s">
        <v>53</v>
      </c>
      <c r="F217" s="141">
        <v>2</v>
      </c>
      <c r="G217" s="143">
        <v>1759.96</v>
      </c>
      <c r="H217" s="143">
        <f t="shared" si="24"/>
        <v>2162.63</v>
      </c>
      <c r="I217" s="143">
        <f t="shared" si="25"/>
        <v>4325.26</v>
      </c>
      <c r="J217" s="139">
        <f t="shared" si="23"/>
        <v>0.001017813108361949</v>
      </c>
      <c r="L217" s="174"/>
    </row>
    <row r="218" spans="1:12" ht="20.1" customHeight="1">
      <c r="A218" s="114" t="s">
        <v>559</v>
      </c>
      <c r="B218" s="114" t="s">
        <v>560</v>
      </c>
      <c r="C218" s="114" t="s">
        <v>15</v>
      </c>
      <c r="D218" s="113" t="s">
        <v>561</v>
      </c>
      <c r="E218" s="114" t="s">
        <v>53</v>
      </c>
      <c r="F218" s="141">
        <v>29</v>
      </c>
      <c r="G218" s="143">
        <v>71.1</v>
      </c>
      <c r="H218" s="143">
        <f t="shared" si="24"/>
        <v>87.36</v>
      </c>
      <c r="I218" s="143">
        <f t="shared" si="25"/>
        <v>2533.44</v>
      </c>
      <c r="J218" s="139">
        <f t="shared" si="23"/>
        <v>0.0005961649568461771</v>
      </c>
      <c r="L218" s="174"/>
    </row>
    <row r="219" spans="1:12" ht="20.1" customHeight="1">
      <c r="A219" s="114" t="s">
        <v>562</v>
      </c>
      <c r="B219" s="114" t="s">
        <v>563</v>
      </c>
      <c r="C219" s="114" t="s">
        <v>15</v>
      </c>
      <c r="D219" s="113" t="s">
        <v>564</v>
      </c>
      <c r="E219" s="114" t="s">
        <v>53</v>
      </c>
      <c r="F219" s="141">
        <v>16</v>
      </c>
      <c r="G219" s="143">
        <v>71.1</v>
      </c>
      <c r="H219" s="143">
        <f t="shared" si="24"/>
        <v>87.36</v>
      </c>
      <c r="I219" s="143">
        <f t="shared" si="25"/>
        <v>1397.76</v>
      </c>
      <c r="J219" s="139">
        <f t="shared" si="23"/>
        <v>0.00032891859688064944</v>
      </c>
      <c r="L219" s="174"/>
    </row>
    <row r="220" spans="1:12" ht="20.1" customHeight="1">
      <c r="A220" s="114" t="s">
        <v>565</v>
      </c>
      <c r="B220" s="114" t="s">
        <v>566</v>
      </c>
      <c r="C220" s="114" t="s">
        <v>15</v>
      </c>
      <c r="D220" s="113" t="s">
        <v>567</v>
      </c>
      <c r="E220" s="114" t="s">
        <v>53</v>
      </c>
      <c r="F220" s="141">
        <v>2</v>
      </c>
      <c r="G220" s="143">
        <v>188.87</v>
      </c>
      <c r="H220" s="143">
        <f t="shared" si="24"/>
        <v>232.08</v>
      </c>
      <c r="I220" s="143">
        <f t="shared" si="25"/>
        <v>464.16</v>
      </c>
      <c r="J220" s="139">
        <f t="shared" si="23"/>
        <v>0.000109225371972386</v>
      </c>
      <c r="L220" s="174"/>
    </row>
    <row r="221" spans="1:12" ht="20.1" customHeight="1">
      <c r="A221" s="114" t="s">
        <v>568</v>
      </c>
      <c r="B221" s="114" t="s">
        <v>569</v>
      </c>
      <c r="C221" s="114" t="s">
        <v>15</v>
      </c>
      <c r="D221" s="113" t="s">
        <v>570</v>
      </c>
      <c r="E221" s="114" t="s">
        <v>53</v>
      </c>
      <c r="F221" s="141">
        <v>22</v>
      </c>
      <c r="G221" s="143">
        <v>20.05</v>
      </c>
      <c r="H221" s="143">
        <f t="shared" si="24"/>
        <v>24.63</v>
      </c>
      <c r="I221" s="143">
        <f t="shared" si="25"/>
        <v>541.86</v>
      </c>
      <c r="J221" s="139">
        <f t="shared" si="23"/>
        <v>0.0001275096088783115</v>
      </c>
      <c r="L221" s="174"/>
    </row>
    <row r="222" spans="1:12" ht="20.1" customHeight="1">
      <c r="A222" s="114" t="s">
        <v>571</v>
      </c>
      <c r="B222" s="114" t="s">
        <v>572</v>
      </c>
      <c r="C222" s="114" t="s">
        <v>15</v>
      </c>
      <c r="D222" s="113" t="s">
        <v>573</v>
      </c>
      <c r="E222" s="114" t="s">
        <v>53</v>
      </c>
      <c r="F222" s="141">
        <v>1</v>
      </c>
      <c r="G222" s="143">
        <v>857.16</v>
      </c>
      <c r="H222" s="143">
        <f t="shared" si="24"/>
        <v>1053.27</v>
      </c>
      <c r="I222" s="143">
        <f t="shared" si="25"/>
        <v>1053.27</v>
      </c>
      <c r="J222" s="139">
        <f t="shared" si="23"/>
        <v>0.00024785377356376033</v>
      </c>
      <c r="L222" s="174"/>
    </row>
    <row r="223" spans="1:12" ht="20.1" customHeight="1">
      <c r="A223" s="114" t="s">
        <v>574</v>
      </c>
      <c r="B223" s="114" t="s">
        <v>575</v>
      </c>
      <c r="C223" s="114" t="s">
        <v>15</v>
      </c>
      <c r="D223" s="113" t="s">
        <v>576</v>
      </c>
      <c r="E223" s="114" t="s">
        <v>53</v>
      </c>
      <c r="F223" s="141">
        <v>2</v>
      </c>
      <c r="G223" s="143">
        <v>232.67</v>
      </c>
      <c r="H223" s="143">
        <f t="shared" si="24"/>
        <v>285.9</v>
      </c>
      <c r="I223" s="143">
        <f t="shared" si="25"/>
        <v>571.8</v>
      </c>
      <c r="J223" s="139">
        <f t="shared" si="23"/>
        <v>0.0001345550407053824</v>
      </c>
      <c r="L223" s="174"/>
    </row>
    <row r="224" spans="1:12" ht="20.1" customHeight="1">
      <c r="A224" s="114" t="s">
        <v>577</v>
      </c>
      <c r="B224" s="114" t="s">
        <v>578</v>
      </c>
      <c r="C224" s="114" t="s">
        <v>15</v>
      </c>
      <c r="D224" s="113" t="s">
        <v>579</v>
      </c>
      <c r="E224" s="114" t="s">
        <v>53</v>
      </c>
      <c r="F224" s="141">
        <v>4</v>
      </c>
      <c r="G224" s="143">
        <v>78.87</v>
      </c>
      <c r="H224" s="143">
        <f t="shared" si="24"/>
        <v>96.91</v>
      </c>
      <c r="I224" s="143">
        <f t="shared" si="25"/>
        <v>387.64</v>
      </c>
      <c r="J224" s="139">
        <f t="shared" si="23"/>
        <v>9.121881073633166E-05</v>
      </c>
      <c r="L224" s="174"/>
    </row>
    <row r="225" spans="1:12" ht="20.1" customHeight="1">
      <c r="A225" s="114" t="s">
        <v>580</v>
      </c>
      <c r="B225" s="114" t="s">
        <v>581</v>
      </c>
      <c r="C225" s="114" t="s">
        <v>15</v>
      </c>
      <c r="D225" s="113" t="s">
        <v>582</v>
      </c>
      <c r="E225" s="114" t="s">
        <v>53</v>
      </c>
      <c r="F225" s="141">
        <v>22</v>
      </c>
      <c r="G225" s="143">
        <v>100.07</v>
      </c>
      <c r="H225" s="143">
        <f t="shared" si="24"/>
        <v>122.96</v>
      </c>
      <c r="I225" s="143">
        <f t="shared" si="25"/>
        <v>2705.12</v>
      </c>
      <c r="J225" s="139">
        <f t="shared" si="23"/>
        <v>0.0006365644136287935</v>
      </c>
      <c r="L225" s="174"/>
    </row>
    <row r="226" spans="1:12" ht="20.1" customHeight="1">
      <c r="A226" s="145" t="s">
        <v>583</v>
      </c>
      <c r="B226" s="145"/>
      <c r="C226" s="145"/>
      <c r="D226" s="146" t="s">
        <v>584</v>
      </c>
      <c r="E226" s="146"/>
      <c r="F226" s="147"/>
      <c r="G226" s="148"/>
      <c r="H226" s="148"/>
      <c r="I226" s="148">
        <f>SUM(I227:I228)</f>
        <v>113797.56</v>
      </c>
      <c r="J226" s="149">
        <f t="shared" si="23"/>
        <v>0.02677865568026093</v>
      </c>
      <c r="K226" s="256">
        <f>I226/2</f>
        <v>56898.78</v>
      </c>
      <c r="L226" s="174"/>
    </row>
    <row r="227" spans="1:12" ht="51">
      <c r="A227" s="114" t="s">
        <v>585</v>
      </c>
      <c r="B227" s="114" t="s">
        <v>586</v>
      </c>
      <c r="C227" s="114" t="s">
        <v>19</v>
      </c>
      <c r="D227" s="113" t="s">
        <v>587</v>
      </c>
      <c r="E227" s="114" t="s">
        <v>28</v>
      </c>
      <c r="F227" s="141">
        <v>74.4</v>
      </c>
      <c r="G227" s="143">
        <v>1234.09</v>
      </c>
      <c r="H227" s="143">
        <f>TRUNC(G227*(1+22.88/100),2)</f>
        <v>1516.44</v>
      </c>
      <c r="I227" s="143">
        <f>TRUNC(F227*H227,2)</f>
        <v>112823.13</v>
      </c>
      <c r="J227" s="139">
        <f t="shared" si="23"/>
        <v>0.026549354406538394</v>
      </c>
      <c r="L227" s="174"/>
    </row>
    <row r="228" spans="1:12" ht="20.1" customHeight="1">
      <c r="A228" s="114" t="s">
        <v>588</v>
      </c>
      <c r="B228" s="114" t="s">
        <v>589</v>
      </c>
      <c r="C228" s="114" t="s">
        <v>590</v>
      </c>
      <c r="D228" s="113" t="s">
        <v>591</v>
      </c>
      <c r="E228" s="114" t="s">
        <v>592</v>
      </c>
      <c r="F228" s="141">
        <v>1</v>
      </c>
      <c r="G228" s="143">
        <v>793</v>
      </c>
      <c r="H228" s="143">
        <f>TRUNC(G228*(1+22.88/100),2)</f>
        <v>974.43</v>
      </c>
      <c r="I228" s="143">
        <f>TRUNC(F228*H228,2)</f>
        <v>974.43</v>
      </c>
      <c r="J228" s="139">
        <f t="shared" si="23"/>
        <v>0.00022930127372253547</v>
      </c>
      <c r="L228" s="174"/>
    </row>
    <row r="229" spans="1:12" ht="20.1" customHeight="1">
      <c r="A229" s="145" t="s">
        <v>593</v>
      </c>
      <c r="B229" s="145"/>
      <c r="C229" s="145"/>
      <c r="D229" s="146" t="s">
        <v>594</v>
      </c>
      <c r="E229" s="146"/>
      <c r="F229" s="147"/>
      <c r="G229" s="148"/>
      <c r="H229" s="148"/>
      <c r="I229" s="148">
        <f>SUM(I230:I231)</f>
        <v>66907</v>
      </c>
      <c r="J229" s="149">
        <f t="shared" si="23"/>
        <v>0.01574444580006125</v>
      </c>
      <c r="K229" s="256">
        <f>I229</f>
        <v>66907</v>
      </c>
      <c r="L229" s="174"/>
    </row>
    <row r="230" spans="1:12" ht="20.1" customHeight="1">
      <c r="A230" s="114" t="s">
        <v>595</v>
      </c>
      <c r="B230" s="114" t="s">
        <v>596</v>
      </c>
      <c r="C230" s="114" t="s">
        <v>15</v>
      </c>
      <c r="D230" s="113" t="s">
        <v>597</v>
      </c>
      <c r="E230" s="114" t="s">
        <v>131</v>
      </c>
      <c r="F230" s="141">
        <v>36.5</v>
      </c>
      <c r="G230" s="143">
        <v>161.99</v>
      </c>
      <c r="H230" s="143">
        <f>TRUNC(G230*(1+22.88/100),2)</f>
        <v>199.05</v>
      </c>
      <c r="I230" s="143">
        <f>TRUNC(F230*H230,2)</f>
        <v>7265.32</v>
      </c>
      <c r="J230" s="139">
        <f t="shared" si="23"/>
        <v>0.0017096632184988266</v>
      </c>
      <c r="L230" s="174"/>
    </row>
    <row r="231" spans="1:12" ht="25.5">
      <c r="A231" s="114" t="s">
        <v>598</v>
      </c>
      <c r="B231" s="114" t="s">
        <v>599</v>
      </c>
      <c r="C231" s="114" t="s">
        <v>15</v>
      </c>
      <c r="D231" s="113" t="s">
        <v>600</v>
      </c>
      <c r="E231" s="114" t="s">
        <v>23</v>
      </c>
      <c r="F231" s="141">
        <v>56</v>
      </c>
      <c r="G231" s="143">
        <v>866.73</v>
      </c>
      <c r="H231" s="143">
        <f>TRUNC(G231*(1+22.88/100),2)</f>
        <v>1065.03</v>
      </c>
      <c r="I231" s="143">
        <f>TRUNC(F231*H231,2)</f>
        <v>59641.68</v>
      </c>
      <c r="J231" s="139">
        <f t="shared" si="23"/>
        <v>0.014034782581562422</v>
      </c>
      <c r="L231" s="174"/>
    </row>
    <row r="232" spans="1:12" ht="20.1" customHeight="1">
      <c r="A232" s="145" t="s">
        <v>601</v>
      </c>
      <c r="B232" s="145"/>
      <c r="C232" s="145"/>
      <c r="D232" s="146" t="s">
        <v>602</v>
      </c>
      <c r="E232" s="146"/>
      <c r="F232" s="147"/>
      <c r="G232" s="148"/>
      <c r="H232" s="148"/>
      <c r="I232" s="148">
        <f>SUM(I233)</f>
        <v>30972.3</v>
      </c>
      <c r="J232" s="149">
        <f t="shared" si="23"/>
        <v>0.007288350974535355</v>
      </c>
      <c r="K232" s="256">
        <f>I232</f>
        <v>30972.3</v>
      </c>
      <c r="L232" s="174"/>
    </row>
    <row r="233" spans="1:12" ht="20.1" customHeight="1">
      <c r="A233" s="114" t="s">
        <v>603</v>
      </c>
      <c r="B233" s="114" t="s">
        <v>604</v>
      </c>
      <c r="C233" s="114" t="s">
        <v>15</v>
      </c>
      <c r="D233" s="113" t="s">
        <v>605</v>
      </c>
      <c r="E233" s="114" t="s">
        <v>131</v>
      </c>
      <c r="F233" s="141">
        <v>255</v>
      </c>
      <c r="G233" s="143">
        <v>98.85</v>
      </c>
      <c r="H233" s="143">
        <f>TRUNC(G233*(1+22.88/100),2)</f>
        <v>121.46</v>
      </c>
      <c r="I233" s="143">
        <f>TRUNC(F233*H233,2)</f>
        <v>30972.3</v>
      </c>
      <c r="J233" s="139">
        <f t="shared" si="23"/>
        <v>0.007288350974535355</v>
      </c>
      <c r="L233" s="174"/>
    </row>
    <row r="234" spans="1:12" ht="20.1" customHeight="1">
      <c r="A234" s="145" t="s">
        <v>606</v>
      </c>
      <c r="B234" s="145"/>
      <c r="C234" s="145"/>
      <c r="D234" s="146" t="s">
        <v>607</v>
      </c>
      <c r="E234" s="146"/>
      <c r="F234" s="147"/>
      <c r="G234" s="148"/>
      <c r="H234" s="148"/>
      <c r="I234" s="148">
        <f>SUM(I235:I238)</f>
        <v>75849.79</v>
      </c>
      <c r="J234" s="149">
        <f t="shared" si="23"/>
        <v>0.017848848515118414</v>
      </c>
      <c r="K234" s="256">
        <f>I234*33%</f>
        <v>25030.4307</v>
      </c>
      <c r="L234" s="257">
        <f>I234*34%</f>
        <v>25788.9286</v>
      </c>
    </row>
    <row r="235" spans="1:12" ht="20.1" customHeight="1">
      <c r="A235" s="114" t="s">
        <v>608</v>
      </c>
      <c r="B235" s="114" t="s">
        <v>609</v>
      </c>
      <c r="C235" s="114" t="s">
        <v>15</v>
      </c>
      <c r="D235" s="113" t="s">
        <v>610</v>
      </c>
      <c r="E235" s="114" t="s">
        <v>53</v>
      </c>
      <c r="F235" s="141">
        <v>24</v>
      </c>
      <c r="G235" s="143">
        <v>196.13</v>
      </c>
      <c r="H235" s="143">
        <f>TRUNC(G235*(1+22.88/100),2)</f>
        <v>241</v>
      </c>
      <c r="I235" s="143">
        <f>TRUNC(F235*H235,2)</f>
        <v>5784</v>
      </c>
      <c r="J235" s="139">
        <f t="shared" si="23"/>
        <v>0.0013610814190974675</v>
      </c>
      <c r="L235" s="174"/>
    </row>
    <row r="236" spans="1:12" ht="20.1" customHeight="1">
      <c r="A236" s="114" t="s">
        <v>611</v>
      </c>
      <c r="B236" s="114" t="s">
        <v>612</v>
      </c>
      <c r="C236" s="114" t="s">
        <v>15</v>
      </c>
      <c r="D236" s="113" t="s">
        <v>613</v>
      </c>
      <c r="E236" s="114" t="s">
        <v>53</v>
      </c>
      <c r="F236" s="141">
        <v>6</v>
      </c>
      <c r="G236" s="143">
        <v>805.7</v>
      </c>
      <c r="H236" s="143">
        <f>TRUNC(G236*(1+22.88/100),2)</f>
        <v>990.04</v>
      </c>
      <c r="I236" s="143">
        <f>TRUNC(F236*H236,2)</f>
        <v>5940.24</v>
      </c>
      <c r="J236" s="139">
        <f t="shared" si="23"/>
        <v>0.0013978475603353285</v>
      </c>
      <c r="L236" s="174"/>
    </row>
    <row r="237" spans="1:12" ht="25.5">
      <c r="A237" s="114" t="s">
        <v>614</v>
      </c>
      <c r="B237" s="114" t="s">
        <v>615</v>
      </c>
      <c r="C237" s="114" t="s">
        <v>216</v>
      </c>
      <c r="D237" s="113" t="s">
        <v>616</v>
      </c>
      <c r="E237" s="114" t="s">
        <v>617</v>
      </c>
      <c r="F237" s="141">
        <v>1</v>
      </c>
      <c r="G237" s="143">
        <v>42568.5</v>
      </c>
      <c r="H237" s="143">
        <f>TRUNC(G237*(1+22.88/100),2)</f>
        <v>52308.17</v>
      </c>
      <c r="I237" s="143">
        <f>TRUNC(F237*H237,2)</f>
        <v>52308.17</v>
      </c>
      <c r="J237" s="139">
        <f t="shared" si="23"/>
        <v>0.01230907300380214</v>
      </c>
      <c r="L237" s="174"/>
    </row>
    <row r="238" spans="1:12" ht="20.1" customHeight="1">
      <c r="A238" s="114" t="s">
        <v>618</v>
      </c>
      <c r="B238" s="114" t="s">
        <v>619</v>
      </c>
      <c r="C238" s="114" t="s">
        <v>216</v>
      </c>
      <c r="D238" s="113" t="s">
        <v>620</v>
      </c>
      <c r="E238" s="114" t="s">
        <v>53</v>
      </c>
      <c r="F238" s="141">
        <v>1</v>
      </c>
      <c r="G238" s="143">
        <v>9617.01</v>
      </c>
      <c r="H238" s="143">
        <f>TRUNC(G238*(1+22.88/100),2)</f>
        <v>11817.38</v>
      </c>
      <c r="I238" s="143">
        <f>TRUNC(F238*H238,2)</f>
        <v>11817.38</v>
      </c>
      <c r="J238" s="139">
        <f t="shared" si="23"/>
        <v>0.002780846531883477</v>
      </c>
      <c r="L238" s="174"/>
    </row>
    <row r="239" spans="1:12" ht="20.1" customHeight="1">
      <c r="A239" s="145" t="s">
        <v>621</v>
      </c>
      <c r="B239" s="145"/>
      <c r="C239" s="145"/>
      <c r="D239" s="146" t="s">
        <v>622</v>
      </c>
      <c r="E239" s="146"/>
      <c r="F239" s="147"/>
      <c r="G239" s="148"/>
      <c r="H239" s="148"/>
      <c r="I239" s="148">
        <f>SUM(I240:I241)</f>
        <v>21329.58</v>
      </c>
      <c r="J239" s="149">
        <f t="shared" si="23"/>
        <v>0.005019241876755354</v>
      </c>
      <c r="K239" s="256">
        <f>I239/2</f>
        <v>10664.79</v>
      </c>
      <c r="L239" s="174"/>
    </row>
    <row r="240" spans="1:12" ht="20.1" customHeight="1">
      <c r="A240" s="114" t="s">
        <v>623</v>
      </c>
      <c r="B240" s="114" t="s">
        <v>624</v>
      </c>
      <c r="C240" s="114" t="s">
        <v>15</v>
      </c>
      <c r="D240" s="113" t="s">
        <v>625</v>
      </c>
      <c r="E240" s="114" t="s">
        <v>178</v>
      </c>
      <c r="F240" s="141">
        <v>1</v>
      </c>
      <c r="G240" s="143">
        <v>2471.18</v>
      </c>
      <c r="H240" s="143">
        <f>TRUNC(G240*(1+22.88/100),2)</f>
        <v>3036.58</v>
      </c>
      <c r="I240" s="143">
        <f>TRUNC(F240*H240,2)</f>
        <v>3036.58</v>
      </c>
      <c r="J240" s="139">
        <f t="shared" si="23"/>
        <v>0.0007145630386588845</v>
      </c>
      <c r="L240" s="174"/>
    </row>
    <row r="241" spans="1:12" ht="20.1" customHeight="1">
      <c r="A241" s="114" t="s">
        <v>626</v>
      </c>
      <c r="B241" s="114" t="s">
        <v>627</v>
      </c>
      <c r="C241" s="114" t="s">
        <v>15</v>
      </c>
      <c r="D241" s="113" t="s">
        <v>628</v>
      </c>
      <c r="E241" s="114" t="s">
        <v>23</v>
      </c>
      <c r="F241" s="141">
        <v>550</v>
      </c>
      <c r="G241" s="143">
        <v>27.07</v>
      </c>
      <c r="H241" s="143">
        <f>TRUNC(G241*(1+22.88/100),2)</f>
        <v>33.26</v>
      </c>
      <c r="I241" s="143">
        <f>TRUNC(F241*H241,2)</f>
        <v>18293</v>
      </c>
      <c r="J241" s="139">
        <f t="shared" si="23"/>
        <v>0.004304678838096468</v>
      </c>
      <c r="L241" s="174"/>
    </row>
    <row r="242" spans="1:12" ht="20.1" customHeight="1">
      <c r="A242" s="145" t="s">
        <v>794</v>
      </c>
      <c r="B242" s="145"/>
      <c r="C242" s="145"/>
      <c r="D242" s="146" t="s">
        <v>795</v>
      </c>
      <c r="E242" s="146"/>
      <c r="F242" s="147"/>
      <c r="G242" s="148"/>
      <c r="H242" s="148"/>
      <c r="I242" s="148">
        <f>SUM(I243)</f>
        <v>15966.8</v>
      </c>
      <c r="J242" s="149">
        <f t="shared" si="23"/>
        <v>0.0037572812590673313</v>
      </c>
      <c r="K242" s="256">
        <f>I242</f>
        <v>15966.8</v>
      </c>
      <c r="L242" s="174"/>
    </row>
    <row r="243" spans="1:12" ht="20.1" customHeight="1" thickBot="1">
      <c r="A243" s="114" t="s">
        <v>796</v>
      </c>
      <c r="B243" s="114" t="s">
        <v>797</v>
      </c>
      <c r="C243" s="114" t="s">
        <v>15</v>
      </c>
      <c r="D243" s="113" t="s">
        <v>798</v>
      </c>
      <c r="E243" s="114" t="s">
        <v>23</v>
      </c>
      <c r="F243" s="142">
        <v>1790</v>
      </c>
      <c r="G243" s="144">
        <v>7.26</v>
      </c>
      <c r="H243" s="144">
        <f>TRUNC(G243*(1+22.88/100),2)</f>
        <v>8.92</v>
      </c>
      <c r="I243" s="144">
        <f>TRUNC(F243*H243,2)</f>
        <v>15966.8</v>
      </c>
      <c r="J243" s="140">
        <f t="shared" si="23"/>
        <v>0.0037572812590673313</v>
      </c>
      <c r="L243" s="174"/>
    </row>
    <row r="244" spans="6:10" ht="24.95" customHeight="1">
      <c r="F244" s="175" t="s">
        <v>629</v>
      </c>
      <c r="G244" s="175"/>
      <c r="H244" s="175">
        <f>SUM(I242,I239,I234,I232,I229,I226,I209,I206,I186,I183,I172,I103,I97,I94,I86,I83,I76,I68,I57,I55,I44,I41,I37,I34,I31,I17,I10)</f>
        <v>4241187.499999999</v>
      </c>
      <c r="I244" s="175"/>
      <c r="J244" s="175"/>
    </row>
  </sheetData>
  <mergeCells count="15">
    <mergeCell ref="F244:G244"/>
    <mergeCell ref="H244:J244"/>
    <mergeCell ref="A1:J1"/>
    <mergeCell ref="A2:J2"/>
    <mergeCell ref="A3:J3"/>
    <mergeCell ref="A4:J4"/>
    <mergeCell ref="A8:J8"/>
    <mergeCell ref="A5:F5"/>
    <mergeCell ref="G5:H5"/>
    <mergeCell ref="I5:J5"/>
    <mergeCell ref="A6:F6"/>
    <mergeCell ref="G6:H6"/>
    <mergeCell ref="I6:J6"/>
    <mergeCell ref="A7:B7"/>
    <mergeCell ref="C7:J7"/>
  </mergeCells>
  <printOptions/>
  <pageMargins left="0.5118110236220472" right="0.5118110236220472" top="0.984251968503937" bottom="0.984251968503937" header="0.5118110236220472" footer="0.5118110236220472"/>
  <pageSetup fitToHeight="0" fitToWidth="1" horizontalDpi="600" verticalDpi="600" orientation="portrait" paperSize="9" scale="56" r:id="rId2"/>
  <headerFooter>
    <oddHeader xml:space="preserve">&amp;L &amp;C </oddHeader>
    <oddFooter xml:space="preserve">&amp;L &amp;C </oddFooter>
  </headerFooter>
  <rowBreaks count="4" manualBreakCount="4">
    <brk id="62" max="16383" man="1"/>
    <brk id="113" max="16383" man="1"/>
    <brk id="166" max="16383" man="1"/>
    <brk id="2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tabSelected="1" view="pageBreakPreview" zoomScale="85" zoomScaleSheetLayoutView="85" workbookViewId="0" topLeftCell="B26">
      <selection activeCell="M38" sqref="M38"/>
    </sheetView>
  </sheetViews>
  <sheetFormatPr defaultColWidth="9.00390625" defaultRowHeight="14.25"/>
  <cols>
    <col min="1" max="1" width="6.625" style="3" customWidth="1"/>
    <col min="2" max="2" width="39.375" style="4" bestFit="1" customWidth="1"/>
    <col min="3" max="3" width="20.00390625" style="3" bestFit="1" customWidth="1"/>
    <col min="4" max="5" width="12.375" style="3" bestFit="1" customWidth="1"/>
    <col min="6" max="13" width="13.875" style="3" bestFit="1" customWidth="1"/>
  </cols>
  <sheetData>
    <row r="1" spans="1:13" ht="20.1" customHeight="1" thickTop="1">
      <c r="A1" s="211" t="s">
        <v>630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 ht="20.1" customHeight="1">
      <c r="A2" s="214" t="s">
        <v>631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20.1" customHeight="1">
      <c r="A3" s="217" t="s">
        <v>633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9"/>
    </row>
    <row r="4" spans="1:13" ht="20.1" customHeight="1" thickBot="1">
      <c r="A4" s="214" t="s">
        <v>632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6"/>
    </row>
    <row r="5" spans="1:13" ht="20.1" customHeight="1" thickBot="1">
      <c r="A5" s="220" t="s">
        <v>634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2"/>
    </row>
    <row r="6" spans="1:13" ht="20.1" customHeight="1">
      <c r="A6" s="5" t="s">
        <v>1</v>
      </c>
      <c r="B6" s="6" t="s">
        <v>4</v>
      </c>
      <c r="C6" s="7" t="s">
        <v>635</v>
      </c>
      <c r="D6" s="7" t="s">
        <v>642</v>
      </c>
      <c r="E6" s="7" t="s">
        <v>643</v>
      </c>
      <c r="F6" s="7" t="s">
        <v>644</v>
      </c>
      <c r="G6" s="7" t="s">
        <v>645</v>
      </c>
      <c r="H6" s="7" t="s">
        <v>646</v>
      </c>
      <c r="I6" s="7" t="s">
        <v>647</v>
      </c>
      <c r="J6" s="7" t="s">
        <v>648</v>
      </c>
      <c r="K6" s="7" t="s">
        <v>649</v>
      </c>
      <c r="L6" s="7" t="s">
        <v>650</v>
      </c>
      <c r="M6" s="8" t="s">
        <v>651</v>
      </c>
    </row>
    <row r="7" spans="1:13" ht="26.25" thickBot="1">
      <c r="A7" s="153" t="s">
        <v>11</v>
      </c>
      <c r="B7" s="154" t="s">
        <v>12</v>
      </c>
      <c r="C7" s="258" t="s">
        <v>864</v>
      </c>
      <c r="D7" s="155" t="s">
        <v>864</v>
      </c>
      <c r="E7" s="156" t="s">
        <v>636</v>
      </c>
      <c r="F7" s="156" t="s">
        <v>636</v>
      </c>
      <c r="G7" s="156" t="s">
        <v>636</v>
      </c>
      <c r="H7" s="156" t="s">
        <v>636</v>
      </c>
      <c r="I7" s="156" t="s">
        <v>636</v>
      </c>
      <c r="J7" s="156" t="s">
        <v>636</v>
      </c>
      <c r="K7" s="156" t="s">
        <v>636</v>
      </c>
      <c r="L7" s="156" t="s">
        <v>636</v>
      </c>
      <c r="M7" s="157" t="s">
        <v>636</v>
      </c>
    </row>
    <row r="8" spans="1:13" ht="27" thickBot="1" thickTop="1">
      <c r="A8" s="153" t="s">
        <v>29</v>
      </c>
      <c r="B8" s="154" t="s">
        <v>30</v>
      </c>
      <c r="C8" s="258" t="s">
        <v>865</v>
      </c>
      <c r="D8" s="158" t="s">
        <v>865</v>
      </c>
      <c r="E8" s="159" t="s">
        <v>636</v>
      </c>
      <c r="F8" s="159" t="s">
        <v>636</v>
      </c>
      <c r="G8" s="159" t="s">
        <v>636</v>
      </c>
      <c r="H8" s="159" t="s">
        <v>636</v>
      </c>
      <c r="I8" s="159" t="s">
        <v>636</v>
      </c>
      <c r="J8" s="159" t="s">
        <v>636</v>
      </c>
      <c r="K8" s="159" t="s">
        <v>636</v>
      </c>
      <c r="L8" s="159" t="s">
        <v>636</v>
      </c>
      <c r="M8" s="160" t="s">
        <v>636</v>
      </c>
    </row>
    <row r="9" spans="1:13" ht="27" thickBot="1" thickTop="1">
      <c r="A9" s="153" t="s">
        <v>73</v>
      </c>
      <c r="B9" s="154" t="s">
        <v>74</v>
      </c>
      <c r="C9" s="258" t="s">
        <v>833</v>
      </c>
      <c r="D9" s="158" t="s">
        <v>833</v>
      </c>
      <c r="E9" s="159" t="s">
        <v>636</v>
      </c>
      <c r="F9" s="159" t="s">
        <v>636</v>
      </c>
      <c r="G9" s="159" t="s">
        <v>636</v>
      </c>
      <c r="H9" s="159" t="s">
        <v>636</v>
      </c>
      <c r="I9" s="159" t="s">
        <v>636</v>
      </c>
      <c r="J9" s="159" t="s">
        <v>636</v>
      </c>
      <c r="K9" s="159" t="s">
        <v>636</v>
      </c>
      <c r="L9" s="159" t="s">
        <v>636</v>
      </c>
      <c r="M9" s="160" t="s">
        <v>636</v>
      </c>
    </row>
    <row r="10" spans="1:13" ht="27" thickBot="1" thickTop="1">
      <c r="A10" s="153" t="s">
        <v>81</v>
      </c>
      <c r="B10" s="154" t="s">
        <v>82</v>
      </c>
      <c r="C10" s="258" t="s">
        <v>866</v>
      </c>
      <c r="D10" s="158" t="s">
        <v>867</v>
      </c>
      <c r="E10" s="161" t="s">
        <v>867</v>
      </c>
      <c r="F10" s="159" t="s">
        <v>636</v>
      </c>
      <c r="G10" s="159" t="s">
        <v>636</v>
      </c>
      <c r="H10" s="159" t="s">
        <v>636</v>
      </c>
      <c r="I10" s="159" t="s">
        <v>636</v>
      </c>
      <c r="J10" s="159" t="s">
        <v>636</v>
      </c>
      <c r="K10" s="159" t="s">
        <v>636</v>
      </c>
      <c r="L10" s="159" t="s">
        <v>636</v>
      </c>
      <c r="M10" s="160" t="s">
        <v>636</v>
      </c>
    </row>
    <row r="11" spans="1:13" ht="27" thickBot="1" thickTop="1">
      <c r="A11" s="153" t="s">
        <v>89</v>
      </c>
      <c r="B11" s="154" t="s">
        <v>90</v>
      </c>
      <c r="C11" s="258" t="s">
        <v>892</v>
      </c>
      <c r="D11" s="162" t="s">
        <v>636</v>
      </c>
      <c r="E11" s="161" t="s">
        <v>893</v>
      </c>
      <c r="F11" s="161" t="s">
        <v>894</v>
      </c>
      <c r="G11" s="161" t="s">
        <v>894</v>
      </c>
      <c r="H11" s="159" t="s">
        <v>636</v>
      </c>
      <c r="I11" s="159" t="s">
        <v>636</v>
      </c>
      <c r="J11" s="159" t="s">
        <v>636</v>
      </c>
      <c r="K11" s="159" t="s">
        <v>636</v>
      </c>
      <c r="L11" s="159" t="s">
        <v>636</v>
      </c>
      <c r="M11" s="160" t="s">
        <v>636</v>
      </c>
    </row>
    <row r="12" spans="1:13" ht="27" thickBot="1" thickTop="1">
      <c r="A12" s="153" t="s">
        <v>100</v>
      </c>
      <c r="B12" s="154" t="s">
        <v>101</v>
      </c>
      <c r="C12" s="258" t="s">
        <v>834</v>
      </c>
      <c r="D12" s="162" t="s">
        <v>636</v>
      </c>
      <c r="E12" s="159" t="s">
        <v>636</v>
      </c>
      <c r="F12" s="161" t="s">
        <v>835</v>
      </c>
      <c r="G12" s="161" t="s">
        <v>836</v>
      </c>
      <c r="H12" s="161" t="s">
        <v>837</v>
      </c>
      <c r="I12" s="159" t="s">
        <v>636</v>
      </c>
      <c r="J12" s="159" t="s">
        <v>636</v>
      </c>
      <c r="K12" s="159" t="s">
        <v>636</v>
      </c>
      <c r="L12" s="159" t="s">
        <v>636</v>
      </c>
      <c r="M12" s="160" t="s">
        <v>636</v>
      </c>
    </row>
    <row r="13" spans="1:13" ht="27" thickBot="1" thickTop="1">
      <c r="A13" s="153" t="s">
        <v>108</v>
      </c>
      <c r="B13" s="154" t="s">
        <v>109</v>
      </c>
      <c r="C13" s="258" t="s">
        <v>838</v>
      </c>
      <c r="D13" s="162" t="s">
        <v>636</v>
      </c>
      <c r="E13" s="159" t="s">
        <v>636</v>
      </c>
      <c r="F13" s="159" t="s">
        <v>636</v>
      </c>
      <c r="G13" s="159" t="s">
        <v>636</v>
      </c>
      <c r="H13" s="161" t="s">
        <v>839</v>
      </c>
      <c r="I13" s="161" t="s">
        <v>839</v>
      </c>
      <c r="J13" s="159" t="s">
        <v>636</v>
      </c>
      <c r="K13" s="159" t="s">
        <v>636</v>
      </c>
      <c r="L13" s="159" t="s">
        <v>636</v>
      </c>
      <c r="M13" s="160" t="s">
        <v>636</v>
      </c>
    </row>
    <row r="14" spans="1:13" ht="27" thickBot="1" thickTop="1">
      <c r="A14" s="153" t="s">
        <v>135</v>
      </c>
      <c r="B14" s="154" t="s">
        <v>136</v>
      </c>
      <c r="C14" s="258" t="s">
        <v>840</v>
      </c>
      <c r="D14" s="162" t="s">
        <v>636</v>
      </c>
      <c r="E14" s="159" t="s">
        <v>636</v>
      </c>
      <c r="F14" s="161" t="s">
        <v>841</v>
      </c>
      <c r="G14" s="159" t="s">
        <v>636</v>
      </c>
      <c r="H14" s="159" t="s">
        <v>636</v>
      </c>
      <c r="I14" s="161" t="s">
        <v>841</v>
      </c>
      <c r="J14" s="159" t="s">
        <v>636</v>
      </c>
      <c r="K14" s="159" t="s">
        <v>636</v>
      </c>
      <c r="L14" s="159" t="s">
        <v>636</v>
      </c>
      <c r="M14" s="160" t="s">
        <v>636</v>
      </c>
    </row>
    <row r="15" spans="1:13" ht="27" thickBot="1" thickTop="1">
      <c r="A15" s="153" t="s">
        <v>140</v>
      </c>
      <c r="B15" s="154" t="s">
        <v>141</v>
      </c>
      <c r="C15" s="258" t="s">
        <v>895</v>
      </c>
      <c r="D15" s="162" t="s">
        <v>636</v>
      </c>
      <c r="E15" s="159" t="s">
        <v>636</v>
      </c>
      <c r="F15" s="159" t="s">
        <v>636</v>
      </c>
      <c r="G15" s="159" t="s">
        <v>636</v>
      </c>
      <c r="H15" s="161" t="s">
        <v>896</v>
      </c>
      <c r="I15" s="161" t="s">
        <v>896</v>
      </c>
      <c r="J15" s="159" t="s">
        <v>636</v>
      </c>
      <c r="K15" s="159" t="s">
        <v>636</v>
      </c>
      <c r="L15" s="159" t="s">
        <v>636</v>
      </c>
      <c r="M15" s="160" t="s">
        <v>636</v>
      </c>
    </row>
    <row r="16" spans="1:13" ht="27" thickBot="1" thickTop="1">
      <c r="A16" s="153" t="s">
        <v>165</v>
      </c>
      <c r="B16" s="154" t="s">
        <v>166</v>
      </c>
      <c r="C16" s="258" t="s">
        <v>897</v>
      </c>
      <c r="D16" s="162" t="s">
        <v>636</v>
      </c>
      <c r="E16" s="159" t="s">
        <v>636</v>
      </c>
      <c r="F16" s="159" t="s">
        <v>636</v>
      </c>
      <c r="G16" s="159" t="s">
        <v>636</v>
      </c>
      <c r="H16" s="159" t="s">
        <v>636</v>
      </c>
      <c r="I16" s="161" t="s">
        <v>897</v>
      </c>
      <c r="J16" s="159" t="s">
        <v>636</v>
      </c>
      <c r="K16" s="159" t="s">
        <v>636</v>
      </c>
      <c r="L16" s="159" t="s">
        <v>636</v>
      </c>
      <c r="M16" s="160" t="s">
        <v>636</v>
      </c>
    </row>
    <row r="17" spans="1:13" ht="27" thickBot="1" thickTop="1">
      <c r="A17" s="153" t="s">
        <v>181</v>
      </c>
      <c r="B17" s="154" t="s">
        <v>182</v>
      </c>
      <c r="C17" s="258" t="s">
        <v>868</v>
      </c>
      <c r="D17" s="162" t="s">
        <v>636</v>
      </c>
      <c r="E17" s="159" t="s">
        <v>636</v>
      </c>
      <c r="F17" s="159" t="s">
        <v>636</v>
      </c>
      <c r="G17" s="159" t="s">
        <v>636</v>
      </c>
      <c r="H17" s="161" t="s">
        <v>869</v>
      </c>
      <c r="I17" s="161" t="s">
        <v>869</v>
      </c>
      <c r="J17" s="161" t="s">
        <v>869</v>
      </c>
      <c r="K17" s="161" t="s">
        <v>869</v>
      </c>
      <c r="L17" s="159" t="s">
        <v>636</v>
      </c>
      <c r="M17" s="160" t="s">
        <v>636</v>
      </c>
    </row>
    <row r="18" spans="1:13" ht="27" thickBot="1" thickTop="1">
      <c r="A18" s="153" t="s">
        <v>198</v>
      </c>
      <c r="B18" s="154" t="s">
        <v>199</v>
      </c>
      <c r="C18" s="258" t="s">
        <v>842</v>
      </c>
      <c r="D18" s="162" t="s">
        <v>636</v>
      </c>
      <c r="E18" s="159" t="s">
        <v>636</v>
      </c>
      <c r="F18" s="159" t="s">
        <v>636</v>
      </c>
      <c r="G18" s="159" t="s">
        <v>636</v>
      </c>
      <c r="H18" s="159" t="s">
        <v>636</v>
      </c>
      <c r="I18" s="159" t="s">
        <v>636</v>
      </c>
      <c r="J18" s="159" t="s">
        <v>636</v>
      </c>
      <c r="K18" s="161" t="s">
        <v>842</v>
      </c>
      <c r="L18" s="159" t="s">
        <v>636</v>
      </c>
      <c r="M18" s="160" t="s">
        <v>636</v>
      </c>
    </row>
    <row r="19" spans="1:13" ht="27" thickBot="1" thickTop="1">
      <c r="A19" s="153" t="s">
        <v>206</v>
      </c>
      <c r="B19" s="154" t="s">
        <v>207</v>
      </c>
      <c r="C19" s="258" t="s">
        <v>870</v>
      </c>
      <c r="D19" s="162" t="s">
        <v>636</v>
      </c>
      <c r="E19" s="159" t="s">
        <v>636</v>
      </c>
      <c r="F19" s="159" t="s">
        <v>636</v>
      </c>
      <c r="G19" s="161" t="s">
        <v>871</v>
      </c>
      <c r="H19" s="161" t="s">
        <v>871</v>
      </c>
      <c r="I19" s="161" t="s">
        <v>871</v>
      </c>
      <c r="J19" s="161" t="s">
        <v>871</v>
      </c>
      <c r="K19" s="161" t="s">
        <v>871</v>
      </c>
      <c r="L19" s="159" t="s">
        <v>636</v>
      </c>
      <c r="M19" s="160" t="s">
        <v>636</v>
      </c>
    </row>
    <row r="20" spans="1:13" ht="27" thickBot="1" thickTop="1">
      <c r="A20" s="153" t="s">
        <v>230</v>
      </c>
      <c r="B20" s="154" t="s">
        <v>231</v>
      </c>
      <c r="C20" s="258" t="s">
        <v>843</v>
      </c>
      <c r="D20" s="162" t="s">
        <v>636</v>
      </c>
      <c r="E20" s="159" t="s">
        <v>636</v>
      </c>
      <c r="F20" s="159" t="s">
        <v>636</v>
      </c>
      <c r="G20" s="159" t="s">
        <v>636</v>
      </c>
      <c r="H20" s="159" t="s">
        <v>636</v>
      </c>
      <c r="I20" s="159" t="s">
        <v>636</v>
      </c>
      <c r="J20" s="161" t="s">
        <v>844</v>
      </c>
      <c r="K20" s="161" t="s">
        <v>844</v>
      </c>
      <c r="L20" s="161" t="s">
        <v>845</v>
      </c>
      <c r="M20" s="160" t="s">
        <v>636</v>
      </c>
    </row>
    <row r="21" spans="1:13" ht="27" thickBot="1" thickTop="1">
      <c r="A21" s="153" t="s">
        <v>238</v>
      </c>
      <c r="B21" s="154" t="s">
        <v>239</v>
      </c>
      <c r="C21" s="258" t="s">
        <v>898</v>
      </c>
      <c r="D21" s="162" t="s">
        <v>636</v>
      </c>
      <c r="E21" s="159" t="s">
        <v>636</v>
      </c>
      <c r="F21" s="159" t="s">
        <v>636</v>
      </c>
      <c r="G21" s="159" t="s">
        <v>636</v>
      </c>
      <c r="H21" s="159" t="s">
        <v>636</v>
      </c>
      <c r="I21" s="159" t="s">
        <v>636</v>
      </c>
      <c r="J21" s="159" t="s">
        <v>636</v>
      </c>
      <c r="K21" s="161" t="s">
        <v>899</v>
      </c>
      <c r="L21" s="161" t="s">
        <v>900</v>
      </c>
      <c r="M21" s="163" t="s">
        <v>901</v>
      </c>
    </row>
    <row r="22" spans="1:13" ht="27" thickBot="1" thickTop="1">
      <c r="A22" s="153" t="s">
        <v>251</v>
      </c>
      <c r="B22" s="154" t="s">
        <v>252</v>
      </c>
      <c r="C22" s="258" t="s">
        <v>902</v>
      </c>
      <c r="D22" s="162" t="s">
        <v>636</v>
      </c>
      <c r="E22" s="159" t="s">
        <v>636</v>
      </c>
      <c r="F22" s="159" t="s">
        <v>636</v>
      </c>
      <c r="G22" s="159" t="s">
        <v>636</v>
      </c>
      <c r="H22" s="161" t="s">
        <v>903</v>
      </c>
      <c r="I22" s="161" t="s">
        <v>904</v>
      </c>
      <c r="J22" s="161" t="s">
        <v>905</v>
      </c>
      <c r="K22" s="161" t="s">
        <v>906</v>
      </c>
      <c r="L22" s="161" t="s">
        <v>907</v>
      </c>
      <c r="M22" s="161" t="s">
        <v>907</v>
      </c>
    </row>
    <row r="23" spans="1:13" ht="27" thickBot="1" thickTop="1">
      <c r="A23" s="153" t="s">
        <v>443</v>
      </c>
      <c r="B23" s="154" t="s">
        <v>444</v>
      </c>
      <c r="C23" s="258" t="s">
        <v>846</v>
      </c>
      <c r="D23" s="162" t="s">
        <v>636</v>
      </c>
      <c r="E23" s="159" t="s">
        <v>636</v>
      </c>
      <c r="F23" s="159" t="s">
        <v>636</v>
      </c>
      <c r="G23" s="159" t="s">
        <v>636</v>
      </c>
      <c r="H23" s="159" t="s">
        <v>636</v>
      </c>
      <c r="I23" s="159" t="s">
        <v>636</v>
      </c>
      <c r="J23" s="161" t="s">
        <v>847</v>
      </c>
      <c r="K23" s="161" t="s">
        <v>847</v>
      </c>
      <c r="L23" s="159" t="s">
        <v>636</v>
      </c>
      <c r="M23" s="160" t="s">
        <v>636</v>
      </c>
    </row>
    <row r="24" spans="1:13" ht="27" thickBot="1" thickTop="1">
      <c r="A24" s="153" t="s">
        <v>470</v>
      </c>
      <c r="B24" s="154" t="s">
        <v>471</v>
      </c>
      <c r="C24" s="258" t="s">
        <v>848</v>
      </c>
      <c r="D24" s="162" t="s">
        <v>636</v>
      </c>
      <c r="E24" s="159" t="s">
        <v>636</v>
      </c>
      <c r="F24" s="159" t="s">
        <v>636</v>
      </c>
      <c r="G24" s="159" t="s">
        <v>636</v>
      </c>
      <c r="H24" s="159" t="s">
        <v>636</v>
      </c>
      <c r="I24" s="159" t="s">
        <v>636</v>
      </c>
      <c r="J24" s="159" t="s">
        <v>636</v>
      </c>
      <c r="K24" s="159" t="s">
        <v>636</v>
      </c>
      <c r="L24" s="161" t="s">
        <v>849</v>
      </c>
      <c r="M24" s="163" t="s">
        <v>849</v>
      </c>
    </row>
    <row r="25" spans="1:13" ht="27" thickBot="1" thickTop="1">
      <c r="A25" s="153" t="s">
        <v>477</v>
      </c>
      <c r="B25" s="154" t="s">
        <v>478</v>
      </c>
      <c r="C25" s="258" t="s">
        <v>908</v>
      </c>
      <c r="D25" s="162" t="s">
        <v>636</v>
      </c>
      <c r="E25" s="159" t="s">
        <v>636</v>
      </c>
      <c r="F25" s="159" t="s">
        <v>636</v>
      </c>
      <c r="G25" s="161" t="s">
        <v>909</v>
      </c>
      <c r="H25" s="161" t="s">
        <v>910</v>
      </c>
      <c r="I25" s="161" t="s">
        <v>911</v>
      </c>
      <c r="J25" s="161" t="s">
        <v>912</v>
      </c>
      <c r="K25" s="161" t="s">
        <v>913</v>
      </c>
      <c r="L25" s="161" t="s">
        <v>914</v>
      </c>
      <c r="M25" s="161" t="s">
        <v>915</v>
      </c>
    </row>
    <row r="26" spans="1:13" ht="27" thickBot="1" thickTop="1">
      <c r="A26" s="153" t="s">
        <v>528</v>
      </c>
      <c r="B26" s="154" t="s">
        <v>529</v>
      </c>
      <c r="C26" s="258" t="s">
        <v>916</v>
      </c>
      <c r="D26" s="162" t="s">
        <v>636</v>
      </c>
      <c r="E26" s="159" t="s">
        <v>636</v>
      </c>
      <c r="F26" s="159" t="s">
        <v>636</v>
      </c>
      <c r="G26" s="159" t="s">
        <v>636</v>
      </c>
      <c r="H26" s="159" t="s">
        <v>636</v>
      </c>
      <c r="I26" s="159" t="s">
        <v>636</v>
      </c>
      <c r="J26" s="159" t="s">
        <v>636</v>
      </c>
      <c r="K26" s="159" t="s">
        <v>636</v>
      </c>
      <c r="L26" s="159" t="s">
        <v>636</v>
      </c>
      <c r="M26" s="163" t="s">
        <v>916</v>
      </c>
    </row>
    <row r="27" spans="1:13" ht="27" thickBot="1" thickTop="1">
      <c r="A27" s="153" t="s">
        <v>533</v>
      </c>
      <c r="B27" s="154" t="s">
        <v>534</v>
      </c>
      <c r="C27" s="258" t="s">
        <v>850</v>
      </c>
      <c r="D27" s="162" t="s">
        <v>636</v>
      </c>
      <c r="E27" s="159" t="s">
        <v>636</v>
      </c>
      <c r="F27" s="159" t="s">
        <v>636</v>
      </c>
      <c r="G27" s="159" t="s">
        <v>636</v>
      </c>
      <c r="H27" s="159" t="s">
        <v>636</v>
      </c>
      <c r="I27" s="159" t="s">
        <v>636</v>
      </c>
      <c r="J27" s="159" t="s">
        <v>636</v>
      </c>
      <c r="K27" s="161" t="s">
        <v>851</v>
      </c>
      <c r="L27" s="161" t="s">
        <v>851</v>
      </c>
      <c r="M27" s="163" t="s">
        <v>852</v>
      </c>
    </row>
    <row r="28" spans="1:13" ht="27" thickBot="1" thickTop="1">
      <c r="A28" s="153" t="s">
        <v>583</v>
      </c>
      <c r="B28" s="154" t="s">
        <v>584</v>
      </c>
      <c r="C28" s="258" t="s">
        <v>917</v>
      </c>
      <c r="D28" s="162" t="s">
        <v>636</v>
      </c>
      <c r="E28" s="159" t="s">
        <v>636</v>
      </c>
      <c r="F28" s="159" t="s">
        <v>636</v>
      </c>
      <c r="G28" s="159" t="s">
        <v>636</v>
      </c>
      <c r="H28" s="159" t="s">
        <v>636</v>
      </c>
      <c r="I28" s="159" t="s">
        <v>636</v>
      </c>
      <c r="J28" s="159" t="s">
        <v>636</v>
      </c>
      <c r="K28" s="159" t="s">
        <v>636</v>
      </c>
      <c r="L28" s="161" t="s">
        <v>918</v>
      </c>
      <c r="M28" s="161" t="s">
        <v>918</v>
      </c>
    </row>
    <row r="29" spans="1:13" ht="27" thickBot="1" thickTop="1">
      <c r="A29" s="153" t="s">
        <v>593</v>
      </c>
      <c r="B29" s="154" t="s">
        <v>594</v>
      </c>
      <c r="C29" s="258" t="s">
        <v>853</v>
      </c>
      <c r="D29" s="162" t="s">
        <v>636</v>
      </c>
      <c r="E29" s="159" t="s">
        <v>636</v>
      </c>
      <c r="F29" s="159" t="s">
        <v>636</v>
      </c>
      <c r="G29" s="159" t="s">
        <v>636</v>
      </c>
      <c r="H29" s="159" t="s">
        <v>636</v>
      </c>
      <c r="I29" s="159" t="s">
        <v>636</v>
      </c>
      <c r="J29" s="159" t="s">
        <v>636</v>
      </c>
      <c r="K29" s="159" t="s">
        <v>636</v>
      </c>
      <c r="L29" s="159" t="s">
        <v>636</v>
      </c>
      <c r="M29" s="163" t="s">
        <v>853</v>
      </c>
    </row>
    <row r="30" spans="1:13" ht="27" thickBot="1" thickTop="1">
      <c r="A30" s="153" t="s">
        <v>601</v>
      </c>
      <c r="B30" s="154" t="s">
        <v>602</v>
      </c>
      <c r="C30" s="258" t="s">
        <v>854</v>
      </c>
      <c r="D30" s="162" t="s">
        <v>636</v>
      </c>
      <c r="E30" s="159" t="s">
        <v>636</v>
      </c>
      <c r="F30" s="159" t="s">
        <v>636</v>
      </c>
      <c r="G30" s="159" t="s">
        <v>636</v>
      </c>
      <c r="H30" s="159" t="s">
        <v>636</v>
      </c>
      <c r="I30" s="159" t="s">
        <v>636</v>
      </c>
      <c r="J30" s="161" t="s">
        <v>854</v>
      </c>
      <c r="K30" s="159" t="s">
        <v>636</v>
      </c>
      <c r="L30" s="159" t="s">
        <v>636</v>
      </c>
      <c r="M30" s="160" t="s">
        <v>636</v>
      </c>
    </row>
    <row r="31" spans="1:13" ht="27" thickBot="1" thickTop="1">
      <c r="A31" s="153" t="s">
        <v>606</v>
      </c>
      <c r="B31" s="154" t="s">
        <v>607</v>
      </c>
      <c r="C31" s="258" t="s">
        <v>919</v>
      </c>
      <c r="D31" s="162" t="s">
        <v>636</v>
      </c>
      <c r="E31" s="159" t="s">
        <v>636</v>
      </c>
      <c r="F31" s="159" t="s">
        <v>636</v>
      </c>
      <c r="G31" s="159" t="s">
        <v>636</v>
      </c>
      <c r="H31" s="159" t="s">
        <v>636</v>
      </c>
      <c r="I31" s="159" t="s">
        <v>636</v>
      </c>
      <c r="J31" s="159" t="s">
        <v>636</v>
      </c>
      <c r="K31" s="161" t="s">
        <v>920</v>
      </c>
      <c r="L31" s="161" t="s">
        <v>921</v>
      </c>
      <c r="M31" s="163" t="s">
        <v>922</v>
      </c>
    </row>
    <row r="32" spans="1:13" ht="27" thickBot="1" thickTop="1">
      <c r="A32" s="153" t="s">
        <v>621</v>
      </c>
      <c r="B32" s="154" t="s">
        <v>622</v>
      </c>
      <c r="C32" s="258" t="s">
        <v>872</v>
      </c>
      <c r="D32" s="162" t="s">
        <v>636</v>
      </c>
      <c r="E32" s="159" t="s">
        <v>636</v>
      </c>
      <c r="F32" s="159" t="s">
        <v>636</v>
      </c>
      <c r="G32" s="159" t="s">
        <v>636</v>
      </c>
      <c r="H32" s="159" t="s">
        <v>636</v>
      </c>
      <c r="I32" s="159" t="s">
        <v>636</v>
      </c>
      <c r="J32" s="161" t="s">
        <v>873</v>
      </c>
      <c r="K32" s="159" t="s">
        <v>636</v>
      </c>
      <c r="L32" s="159" t="s">
        <v>636</v>
      </c>
      <c r="M32" s="163" t="s">
        <v>873</v>
      </c>
    </row>
    <row r="33" spans="1:13" ht="27" customHeight="1" thickBot="1" thickTop="1">
      <c r="A33" s="164" t="s">
        <v>794</v>
      </c>
      <c r="B33" s="165" t="s">
        <v>795</v>
      </c>
      <c r="C33" s="259" t="s">
        <v>855</v>
      </c>
      <c r="D33" s="166" t="s">
        <v>636</v>
      </c>
      <c r="E33" s="167" t="s">
        <v>636</v>
      </c>
      <c r="F33" s="167" t="s">
        <v>636</v>
      </c>
      <c r="G33" s="167" t="s">
        <v>636</v>
      </c>
      <c r="H33" s="167" t="s">
        <v>636</v>
      </c>
      <c r="I33" s="167" t="s">
        <v>636</v>
      </c>
      <c r="J33" s="168" t="s">
        <v>636</v>
      </c>
      <c r="K33" s="167" t="s">
        <v>636</v>
      </c>
      <c r="L33" s="167" t="s">
        <v>636</v>
      </c>
      <c r="M33" s="169" t="s">
        <v>855</v>
      </c>
    </row>
    <row r="34" spans="1:13" ht="20.1" customHeight="1" thickTop="1">
      <c r="A34" s="203" t="s">
        <v>637</v>
      </c>
      <c r="B34" s="204"/>
      <c r="C34" s="204"/>
      <c r="D34" s="150" t="s">
        <v>874</v>
      </c>
      <c r="E34" s="150" t="s">
        <v>875</v>
      </c>
      <c r="F34" s="150" t="s">
        <v>876</v>
      </c>
      <c r="G34" s="150" t="s">
        <v>877</v>
      </c>
      <c r="H34" s="150" t="s">
        <v>878</v>
      </c>
      <c r="I34" s="150" t="s">
        <v>879</v>
      </c>
      <c r="J34" s="150" t="s">
        <v>880</v>
      </c>
      <c r="K34" s="150" t="s">
        <v>881</v>
      </c>
      <c r="L34" s="150" t="s">
        <v>882</v>
      </c>
      <c r="M34" s="151" t="s">
        <v>883</v>
      </c>
    </row>
    <row r="35" spans="1:13" s="172" customFormat="1" ht="20.1" customHeight="1">
      <c r="A35" s="205" t="s">
        <v>638</v>
      </c>
      <c r="B35" s="206"/>
      <c r="C35" s="206"/>
      <c r="D35" s="170">
        <f>162301.7+140110.19+40443.52+274909.46</f>
        <v>617764.8700000001</v>
      </c>
      <c r="E35" s="170">
        <f>274909.46+38435.23</f>
        <v>313344.69</v>
      </c>
      <c r="F35" s="170">
        <f>76870.45+26316.75+4597.63</f>
        <v>107784.83</v>
      </c>
      <c r="G35" s="170">
        <f>76870.45+65791.87+109483.52+48742.72</f>
        <v>300888.56000000006</v>
      </c>
      <c r="H35" s="170">
        <f>39475.12+228956.05+155496.12+77208.52+109483.52+76654.13+48742.73</f>
        <v>736016.19</v>
      </c>
      <c r="I35" s="170">
        <f>228956.05+4597.63+155496.12+8833.82+77208.52+109483.52+76654.14+45493.2</f>
        <v>706723</v>
      </c>
      <c r="J35" s="170">
        <f>77208.52+109483.52+26528.88+76654.15+3148.93+45493.21+30972.3+10664.79</f>
        <v>380154.3</v>
      </c>
      <c r="K35" s="170">
        <f>77208.52+24297.39+109483.52+26528.88+34043.51+76654.16+3148.93+45493.22+17692.84+25030.43</f>
        <v>439581.4</v>
      </c>
      <c r="L35" s="170">
        <f>27332.79+34043.52+72145.06+3738.72+45493.23+17692.84+56898.78+25030.44</f>
        <v>282375.38</v>
      </c>
      <c r="M35" s="171">
        <f>35075.13+72145.06+3738.72+45493.24+5647.03+18228.98+56898.78+66907+25788.93+10664.79+15966.8</f>
        <v>356554.45999999996</v>
      </c>
    </row>
    <row r="36" spans="1:13" ht="20.1" customHeight="1">
      <c r="A36" s="207" t="s">
        <v>639</v>
      </c>
      <c r="B36" s="208"/>
      <c r="C36" s="208"/>
      <c r="D36" s="152" t="s">
        <v>874</v>
      </c>
      <c r="E36" s="152" t="s">
        <v>884</v>
      </c>
      <c r="F36" s="152" t="s">
        <v>885</v>
      </c>
      <c r="G36" s="152" t="s">
        <v>886</v>
      </c>
      <c r="H36" s="152" t="s">
        <v>887</v>
      </c>
      <c r="I36" s="152" t="s">
        <v>888</v>
      </c>
      <c r="J36" s="152" t="s">
        <v>889</v>
      </c>
      <c r="K36" s="152" t="s">
        <v>890</v>
      </c>
      <c r="L36" s="152" t="s">
        <v>891</v>
      </c>
      <c r="M36" s="152" t="s">
        <v>640</v>
      </c>
    </row>
    <row r="37" spans="1:13" s="172" customFormat="1" ht="20.1" customHeight="1" thickBot="1">
      <c r="A37" s="209" t="s">
        <v>641</v>
      </c>
      <c r="B37" s="210"/>
      <c r="C37" s="210"/>
      <c r="D37" s="173">
        <f>D35</f>
        <v>617764.8700000001</v>
      </c>
      <c r="E37" s="173">
        <f>D37+E35</f>
        <v>931109.56</v>
      </c>
      <c r="F37" s="173">
        <f>E37+F35</f>
        <v>1038894.39</v>
      </c>
      <c r="G37" s="173">
        <f>F37+G35</f>
        <v>1339782.9500000002</v>
      </c>
      <c r="H37" s="173">
        <f>G37+H35</f>
        <v>2075799.1400000001</v>
      </c>
      <c r="I37" s="173">
        <f>H37+I35</f>
        <v>2782522.14</v>
      </c>
      <c r="J37" s="173">
        <f>I37+J35</f>
        <v>3162676.44</v>
      </c>
      <c r="K37" s="173">
        <f>J37+K35</f>
        <v>3602257.84</v>
      </c>
      <c r="L37" s="173">
        <f>K37+L35</f>
        <v>3884633.2199999997</v>
      </c>
      <c r="M37" s="173">
        <v>4241187.5</v>
      </c>
    </row>
    <row r="38" ht="15.75" thickBot="1" thickTop="1">
      <c r="M38" s="173">
        <v>4241187.5</v>
      </c>
    </row>
    <row r="39" ht="15" thickTop="1"/>
  </sheetData>
  <mergeCells count="9">
    <mergeCell ref="A34:C34"/>
    <mergeCell ref="A35:C35"/>
    <mergeCell ref="A36:C36"/>
    <mergeCell ref="A37:C37"/>
    <mergeCell ref="A1:M1"/>
    <mergeCell ref="A2:M2"/>
    <mergeCell ref="A3:M3"/>
    <mergeCell ref="A4:M4"/>
    <mergeCell ref="A5:M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view="pageBreakPreview" zoomScale="85" zoomScaleSheetLayoutView="85" workbookViewId="0" topLeftCell="A1">
      <selection activeCell="H17" sqref="H17"/>
    </sheetView>
  </sheetViews>
  <sheetFormatPr defaultColWidth="9.00390625" defaultRowHeight="14.25"/>
  <cols>
    <col min="1" max="1" width="10.00390625" style="3" bestFit="1" customWidth="1"/>
    <col min="2" max="2" width="12.00390625" style="3" bestFit="1" customWidth="1"/>
    <col min="3" max="3" width="10.00390625" style="3" bestFit="1" customWidth="1"/>
    <col min="4" max="4" width="45.625" style="0" customWidth="1"/>
    <col min="5" max="5" width="15.00390625" style="0" bestFit="1" customWidth="1"/>
    <col min="6" max="9" width="12.00390625" style="0" bestFit="1" customWidth="1"/>
    <col min="10" max="10" width="14.00390625" style="0" bestFit="1" customWidth="1"/>
  </cols>
  <sheetData>
    <row r="1" spans="1:10" ht="20.1" customHeight="1">
      <c r="A1" s="231" t="s">
        <v>630</v>
      </c>
      <c r="B1" s="232"/>
      <c r="C1" s="232"/>
      <c r="D1" s="232"/>
      <c r="E1" s="232"/>
      <c r="F1" s="232"/>
      <c r="G1" s="232"/>
      <c r="H1" s="232"/>
      <c r="I1" s="232"/>
      <c r="J1" s="233"/>
    </row>
    <row r="2" spans="1:10" ht="20.1" customHeight="1">
      <c r="A2" s="234" t="s">
        <v>631</v>
      </c>
      <c r="B2" s="180"/>
      <c r="C2" s="180"/>
      <c r="D2" s="180"/>
      <c r="E2" s="180"/>
      <c r="F2" s="180"/>
      <c r="G2" s="180"/>
      <c r="H2" s="180"/>
      <c r="I2" s="180"/>
      <c r="J2" s="235"/>
    </row>
    <row r="3" spans="1:10" ht="20.1" customHeight="1">
      <c r="A3" s="236" t="s">
        <v>633</v>
      </c>
      <c r="B3" s="183"/>
      <c r="C3" s="183"/>
      <c r="D3" s="183"/>
      <c r="E3" s="183"/>
      <c r="F3" s="183"/>
      <c r="G3" s="183"/>
      <c r="H3" s="183"/>
      <c r="I3" s="183"/>
      <c r="J3" s="237"/>
    </row>
    <row r="4" spans="1:10" ht="20.1" customHeight="1" thickBot="1">
      <c r="A4" s="238" t="s">
        <v>632</v>
      </c>
      <c r="B4" s="186"/>
      <c r="C4" s="186"/>
      <c r="D4" s="186"/>
      <c r="E4" s="186"/>
      <c r="F4" s="186"/>
      <c r="G4" s="186"/>
      <c r="H4" s="186"/>
      <c r="I4" s="186"/>
      <c r="J4" s="239"/>
    </row>
    <row r="5" spans="1:10" ht="20.1" customHeight="1">
      <c r="A5" s="228" t="s">
        <v>652</v>
      </c>
      <c r="B5" s="229"/>
      <c r="C5" s="229"/>
      <c r="D5" s="229"/>
      <c r="E5" s="229"/>
      <c r="F5" s="229"/>
      <c r="G5" s="229"/>
      <c r="H5" s="229"/>
      <c r="I5" s="229"/>
      <c r="J5" s="230"/>
    </row>
    <row r="6" spans="1:10" ht="20.1" customHeight="1" thickBot="1">
      <c r="A6" s="228" t="s">
        <v>653</v>
      </c>
      <c r="B6" s="229"/>
      <c r="C6" s="229"/>
      <c r="D6" s="229"/>
      <c r="E6" s="229"/>
      <c r="F6" s="229"/>
      <c r="G6" s="229"/>
      <c r="H6" s="229"/>
      <c r="I6" s="229"/>
      <c r="J6" s="230"/>
    </row>
    <row r="7" spans="1:10" ht="15" thickTop="1">
      <c r="A7" s="9"/>
      <c r="B7" s="10"/>
      <c r="C7" s="10"/>
      <c r="D7" s="11"/>
      <c r="E7" s="11"/>
      <c r="F7" s="11"/>
      <c r="G7" s="11"/>
      <c r="H7" s="11"/>
      <c r="I7" s="11"/>
      <c r="J7" s="12"/>
    </row>
    <row r="8" spans="1:10" ht="15">
      <c r="A8" s="132" t="s">
        <v>808</v>
      </c>
      <c r="B8" s="116" t="s">
        <v>2</v>
      </c>
      <c r="C8" s="132" t="s">
        <v>3</v>
      </c>
      <c r="D8" s="132" t="s">
        <v>4</v>
      </c>
      <c r="E8" s="223" t="s">
        <v>654</v>
      </c>
      <c r="F8" s="223"/>
      <c r="G8" s="115" t="s">
        <v>5</v>
      </c>
      <c r="H8" s="116" t="s">
        <v>6</v>
      </c>
      <c r="I8" s="116" t="s">
        <v>7</v>
      </c>
      <c r="J8" s="116" t="s">
        <v>9</v>
      </c>
    </row>
    <row r="9" spans="1:10" ht="14.25" customHeight="1">
      <c r="A9" s="133" t="s">
        <v>655</v>
      </c>
      <c r="B9" s="118" t="s">
        <v>809</v>
      </c>
      <c r="C9" s="133" t="s">
        <v>590</v>
      </c>
      <c r="D9" s="133" t="s">
        <v>810</v>
      </c>
      <c r="E9" s="224" t="s">
        <v>828</v>
      </c>
      <c r="F9" s="224"/>
      <c r="G9" s="117" t="s">
        <v>811</v>
      </c>
      <c r="H9" s="120">
        <v>1</v>
      </c>
      <c r="I9" s="119">
        <v>25000</v>
      </c>
      <c r="J9" s="119">
        <v>25000</v>
      </c>
    </row>
    <row r="10" spans="1:10" ht="30" customHeight="1">
      <c r="A10" s="135" t="s">
        <v>829</v>
      </c>
      <c r="B10" s="127" t="s">
        <v>830</v>
      </c>
      <c r="C10" s="135" t="s">
        <v>590</v>
      </c>
      <c r="D10" s="135" t="s">
        <v>831</v>
      </c>
      <c r="E10" s="227" t="s">
        <v>832</v>
      </c>
      <c r="F10" s="227"/>
      <c r="G10" s="126" t="s">
        <v>811</v>
      </c>
      <c r="H10" s="129">
        <v>1.136364</v>
      </c>
      <c r="I10" s="128">
        <v>22000</v>
      </c>
      <c r="J10" s="128">
        <v>25000</v>
      </c>
    </row>
    <row r="11" spans="1:10" ht="25.5">
      <c r="A11" s="131"/>
      <c r="B11" s="131"/>
      <c r="C11" s="131"/>
      <c r="D11" s="131"/>
      <c r="E11" s="131" t="s">
        <v>656</v>
      </c>
      <c r="F11" s="130">
        <v>0</v>
      </c>
      <c r="G11" s="131" t="s">
        <v>657</v>
      </c>
      <c r="H11" s="130">
        <v>0</v>
      </c>
      <c r="I11" s="131" t="s">
        <v>658</v>
      </c>
      <c r="J11" s="130">
        <v>0</v>
      </c>
    </row>
    <row r="12" spans="1:10" ht="15" customHeight="1" thickBot="1">
      <c r="A12" s="131"/>
      <c r="B12" s="131"/>
      <c r="C12" s="131"/>
      <c r="D12" s="131"/>
      <c r="E12" s="131" t="s">
        <v>659</v>
      </c>
      <c r="F12" s="130">
        <v>5720</v>
      </c>
      <c r="G12" s="131"/>
      <c r="H12" s="226" t="s">
        <v>660</v>
      </c>
      <c r="I12" s="226"/>
      <c r="J12" s="130">
        <v>30720</v>
      </c>
    </row>
    <row r="13" spans="1:10" ht="15" thickTop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ht="15">
      <c r="A14" s="132" t="s">
        <v>588</v>
      </c>
      <c r="B14" s="116" t="s">
        <v>2</v>
      </c>
      <c r="C14" s="132" t="s">
        <v>3</v>
      </c>
      <c r="D14" s="132" t="s">
        <v>4</v>
      </c>
      <c r="E14" s="223" t="s">
        <v>654</v>
      </c>
      <c r="F14" s="223"/>
      <c r="G14" s="115" t="s">
        <v>5</v>
      </c>
      <c r="H14" s="116" t="s">
        <v>6</v>
      </c>
      <c r="I14" s="116" t="s">
        <v>7</v>
      </c>
      <c r="J14" s="116" t="s">
        <v>9</v>
      </c>
    </row>
    <row r="15" spans="1:10" ht="14.25" customHeight="1">
      <c r="A15" s="133" t="s">
        <v>655</v>
      </c>
      <c r="B15" s="118" t="s">
        <v>589</v>
      </c>
      <c r="C15" s="133" t="s">
        <v>590</v>
      </c>
      <c r="D15" s="133" t="s">
        <v>591</v>
      </c>
      <c r="E15" s="224" t="s">
        <v>661</v>
      </c>
      <c r="F15" s="224"/>
      <c r="G15" s="117" t="s">
        <v>592</v>
      </c>
      <c r="H15" s="120">
        <v>1</v>
      </c>
      <c r="I15" s="119">
        <v>793</v>
      </c>
      <c r="J15" s="119">
        <v>793</v>
      </c>
    </row>
    <row r="16" spans="1:10" ht="25.5">
      <c r="A16" s="134" t="s">
        <v>662</v>
      </c>
      <c r="B16" s="123" t="s">
        <v>663</v>
      </c>
      <c r="C16" s="134" t="s">
        <v>15</v>
      </c>
      <c r="D16" s="134" t="s">
        <v>664</v>
      </c>
      <c r="E16" s="225" t="s">
        <v>636</v>
      </c>
      <c r="F16" s="225"/>
      <c r="G16" s="122" t="s">
        <v>53</v>
      </c>
      <c r="H16" s="125">
        <v>1</v>
      </c>
      <c r="I16" s="124">
        <v>793</v>
      </c>
      <c r="J16" s="124">
        <v>793</v>
      </c>
    </row>
    <row r="17" spans="1:10" ht="25.5">
      <c r="A17" s="131"/>
      <c r="B17" s="131"/>
      <c r="C17" s="131"/>
      <c r="D17" s="131"/>
      <c r="E17" s="131" t="s">
        <v>656</v>
      </c>
      <c r="F17" s="130">
        <v>6.4996302</v>
      </c>
      <c r="G17" s="131" t="s">
        <v>657</v>
      </c>
      <c r="H17" s="130">
        <v>7.56</v>
      </c>
      <c r="I17" s="131" t="s">
        <v>658</v>
      </c>
      <c r="J17" s="130">
        <v>14.06</v>
      </c>
    </row>
    <row r="18" spans="1:10" ht="14.25" customHeight="1">
      <c r="A18" s="131"/>
      <c r="B18" s="131"/>
      <c r="C18" s="131"/>
      <c r="D18" s="131"/>
      <c r="E18" s="131" t="s">
        <v>659</v>
      </c>
      <c r="F18" s="130">
        <v>181.43</v>
      </c>
      <c r="G18" s="131"/>
      <c r="H18" s="226" t="s">
        <v>660</v>
      </c>
      <c r="I18" s="226"/>
      <c r="J18" s="130">
        <v>974.43</v>
      </c>
    </row>
  </sheetData>
  <mergeCells count="14">
    <mergeCell ref="A6:J6"/>
    <mergeCell ref="H12:I12"/>
    <mergeCell ref="A1:J1"/>
    <mergeCell ref="A2:J2"/>
    <mergeCell ref="A3:J3"/>
    <mergeCell ref="A4:J4"/>
    <mergeCell ref="A5:J5"/>
    <mergeCell ref="E14:F14"/>
    <mergeCell ref="E15:F15"/>
    <mergeCell ref="E16:F16"/>
    <mergeCell ref="H18:I18"/>
    <mergeCell ref="E8:F8"/>
    <mergeCell ref="E9:F9"/>
    <mergeCell ref="E10:F10"/>
  </mergeCells>
  <printOptions/>
  <pageMargins left="0.511811024" right="0.511811024" top="0.787401575" bottom="0.787401575" header="0.31496062" footer="0.31496062"/>
  <pageSetup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view="pageBreakPreview" zoomScale="85" zoomScaleSheetLayoutView="85" workbookViewId="0" topLeftCell="A1">
      <selection activeCell="H31" sqref="H31"/>
    </sheetView>
  </sheetViews>
  <sheetFormatPr defaultColWidth="9.00390625" defaultRowHeight="14.25"/>
  <cols>
    <col min="1" max="1" width="20.625" style="0" customWidth="1"/>
    <col min="2" max="7" width="12.625" style="0" customWidth="1"/>
    <col min="8" max="8" width="23.875" style="0" customWidth="1"/>
  </cols>
  <sheetData>
    <row r="1" spans="1:8" ht="20.1" customHeight="1">
      <c r="A1" s="244" t="s">
        <v>665</v>
      </c>
      <c r="B1" s="215"/>
      <c r="C1" s="215"/>
      <c r="D1" s="215"/>
      <c r="E1" s="215"/>
      <c r="F1" s="215"/>
      <c r="G1" s="215"/>
      <c r="H1" s="245"/>
    </row>
    <row r="2" spans="1:8" ht="20.1" customHeight="1">
      <c r="A2" s="244" t="s">
        <v>666</v>
      </c>
      <c r="B2" s="215"/>
      <c r="C2" s="215"/>
      <c r="D2" s="215"/>
      <c r="E2" s="215"/>
      <c r="F2" s="215"/>
      <c r="G2" s="215"/>
      <c r="H2" s="245"/>
    </row>
    <row r="3" spans="1:8" ht="20.1" customHeight="1">
      <c r="A3" s="244" t="s">
        <v>633</v>
      </c>
      <c r="B3" s="215"/>
      <c r="C3" s="215"/>
      <c r="D3" s="215"/>
      <c r="E3" s="215"/>
      <c r="F3" s="215"/>
      <c r="G3" s="215"/>
      <c r="H3" s="245"/>
    </row>
    <row r="4" spans="1:8" ht="20.1" customHeight="1">
      <c r="A4" s="244" t="s">
        <v>632</v>
      </c>
      <c r="B4" s="215"/>
      <c r="C4" s="215"/>
      <c r="D4" s="215"/>
      <c r="E4" s="215"/>
      <c r="F4" s="215"/>
      <c r="G4" s="215"/>
      <c r="H4" s="245"/>
    </row>
    <row r="5" spans="1:8" ht="16.5" thickBot="1">
      <c r="A5" s="246" t="s">
        <v>667</v>
      </c>
      <c r="B5" s="247"/>
      <c r="C5" s="247"/>
      <c r="D5" s="247"/>
      <c r="E5" s="247"/>
      <c r="F5" s="247"/>
      <c r="G5" s="247"/>
      <c r="H5" s="248"/>
    </row>
    <row r="6" spans="1:8" ht="24.75" thickBot="1">
      <c r="A6" s="13"/>
      <c r="B6" s="14"/>
      <c r="C6" s="14"/>
      <c r="D6" s="14"/>
      <c r="E6" s="14"/>
      <c r="F6" s="14"/>
      <c r="G6" s="15"/>
      <c r="H6" s="16" t="s">
        <v>668</v>
      </c>
    </row>
    <row r="7" spans="1:8" ht="14.25">
      <c r="A7" s="17"/>
      <c r="B7" s="18" t="s">
        <v>669</v>
      </c>
      <c r="C7" s="19"/>
      <c r="D7" s="19"/>
      <c r="E7" s="19"/>
      <c r="F7" s="19"/>
      <c r="G7" s="20"/>
      <c r="H7" s="21">
        <v>4</v>
      </c>
    </row>
    <row r="8" spans="1:8" ht="14.25">
      <c r="A8" s="22"/>
      <c r="B8" s="23" t="s">
        <v>670</v>
      </c>
      <c r="C8" s="24"/>
      <c r="D8" s="24"/>
      <c r="E8" s="24"/>
      <c r="F8" s="24"/>
      <c r="G8" s="25"/>
      <c r="H8" s="26">
        <v>1.23</v>
      </c>
    </row>
    <row r="9" spans="1:8" ht="16.5" thickBot="1">
      <c r="A9" s="27" t="s">
        <v>671</v>
      </c>
      <c r="B9" s="28"/>
      <c r="C9" s="28"/>
      <c r="D9" s="28"/>
      <c r="E9" s="28"/>
      <c r="F9" s="28"/>
      <c r="G9" s="29"/>
      <c r="H9" s="30">
        <f>H7+H8</f>
        <v>5.23</v>
      </c>
    </row>
    <row r="10" spans="1:8" ht="14.25">
      <c r="A10" s="31" t="s">
        <v>672</v>
      </c>
      <c r="B10" s="19"/>
      <c r="C10" s="19"/>
      <c r="D10" s="19"/>
      <c r="E10" s="19"/>
      <c r="F10" s="19"/>
      <c r="G10" s="20"/>
      <c r="H10" s="21"/>
    </row>
    <row r="11" spans="1:8" ht="14.25">
      <c r="A11" s="32" t="s">
        <v>673</v>
      </c>
      <c r="B11" s="33" t="s">
        <v>674</v>
      </c>
      <c r="C11" s="34"/>
      <c r="D11" s="34"/>
      <c r="E11" s="34"/>
      <c r="F11" s="34"/>
      <c r="G11" s="35"/>
      <c r="H11" s="26">
        <v>1.27</v>
      </c>
    </row>
    <row r="12" spans="1:8" ht="14.25">
      <c r="A12" s="32" t="s">
        <v>675</v>
      </c>
      <c r="B12" s="33" t="s">
        <v>676</v>
      </c>
      <c r="C12" s="34"/>
      <c r="D12" s="34"/>
      <c r="E12" s="34"/>
      <c r="F12" s="34"/>
      <c r="G12" s="35"/>
      <c r="H12" s="26">
        <v>0.8</v>
      </c>
    </row>
    <row r="13" spans="1:8" ht="15.75">
      <c r="A13" s="36" t="s">
        <v>671</v>
      </c>
      <c r="B13" s="37"/>
      <c r="C13" s="37"/>
      <c r="D13" s="37"/>
      <c r="E13" s="37"/>
      <c r="F13" s="37"/>
      <c r="G13" s="38"/>
      <c r="H13" s="39">
        <f>H11+H12</f>
        <v>2.0700000000000003</v>
      </c>
    </row>
    <row r="14" spans="1:8" ht="14.25">
      <c r="A14" s="40" t="s">
        <v>677</v>
      </c>
      <c r="B14" s="34"/>
      <c r="C14" s="34"/>
      <c r="D14" s="34"/>
      <c r="E14" s="34"/>
      <c r="F14" s="34"/>
      <c r="G14" s="35"/>
      <c r="H14" s="41" t="s">
        <v>678</v>
      </c>
    </row>
    <row r="15" spans="1:8" ht="15.75">
      <c r="A15" s="42" t="s">
        <v>679</v>
      </c>
      <c r="B15" s="43" t="s">
        <v>680</v>
      </c>
      <c r="C15" s="37"/>
      <c r="D15" s="37"/>
      <c r="E15" s="37"/>
      <c r="F15" s="37"/>
      <c r="G15" s="38"/>
      <c r="H15" s="39">
        <f>H16+H17</f>
        <v>6.15</v>
      </c>
    </row>
    <row r="16" spans="1:8" ht="14.25">
      <c r="A16" s="22" t="s">
        <v>681</v>
      </c>
      <c r="B16" s="33" t="s">
        <v>682</v>
      </c>
      <c r="C16" s="34"/>
      <c r="D16" s="34"/>
      <c r="E16" s="34"/>
      <c r="F16" s="34"/>
      <c r="G16" s="35"/>
      <c r="H16" s="26">
        <f>H25</f>
        <v>3.65</v>
      </c>
    </row>
    <row r="17" spans="1:8" ht="14.25">
      <c r="A17" s="22" t="s">
        <v>683</v>
      </c>
      <c r="B17" s="33" t="s">
        <v>684</v>
      </c>
      <c r="C17" s="34"/>
      <c r="D17" s="34"/>
      <c r="E17" s="34"/>
      <c r="F17" s="34"/>
      <c r="G17" s="35"/>
      <c r="H17" s="26">
        <f>H30</f>
        <v>2.5</v>
      </c>
    </row>
    <row r="18" spans="1:8" ht="14.25">
      <c r="A18" s="44" t="s">
        <v>685</v>
      </c>
      <c r="B18" s="45" t="s">
        <v>686</v>
      </c>
      <c r="C18" s="46"/>
      <c r="D18" s="46"/>
      <c r="E18" s="46"/>
      <c r="F18" s="46"/>
      <c r="G18" s="47"/>
      <c r="H18" s="48">
        <v>7.4</v>
      </c>
    </row>
    <row r="19" spans="1:8" ht="14.25">
      <c r="A19" s="49"/>
      <c r="B19" s="50"/>
      <c r="C19" s="50"/>
      <c r="D19" s="50"/>
      <c r="E19" s="50"/>
      <c r="F19" s="50"/>
      <c r="G19" s="50"/>
      <c r="H19" s="51"/>
    </row>
    <row r="20" spans="1:8" ht="18.75">
      <c r="A20" s="52"/>
      <c r="B20" s="53"/>
      <c r="C20" s="53"/>
      <c r="D20" s="53"/>
      <c r="E20" s="53"/>
      <c r="F20" s="53"/>
      <c r="G20" s="53"/>
      <c r="H20" s="54"/>
    </row>
    <row r="21" spans="1:8" ht="18.75">
      <c r="A21" s="52"/>
      <c r="B21" s="53"/>
      <c r="C21" s="53"/>
      <c r="D21" s="53"/>
      <c r="E21" s="53"/>
      <c r="F21" s="53"/>
      <c r="G21" s="53"/>
      <c r="H21" s="55"/>
    </row>
    <row r="22" spans="1:8" ht="18.75">
      <c r="A22" s="56"/>
      <c r="B22" s="57"/>
      <c r="C22" s="57"/>
      <c r="D22" s="58"/>
      <c r="E22" s="58"/>
      <c r="F22" s="58"/>
      <c r="G22" s="58"/>
      <c r="H22" s="59"/>
    </row>
    <row r="23" spans="1:8" ht="14.25">
      <c r="A23" s="52"/>
      <c r="B23" s="53"/>
      <c r="C23" s="53"/>
      <c r="D23" s="53"/>
      <c r="E23" s="53"/>
      <c r="F23" s="53"/>
      <c r="G23" s="53"/>
      <c r="H23" s="60"/>
    </row>
    <row r="24" spans="1:8" ht="16.5" thickBot="1">
      <c r="A24" s="61" t="s">
        <v>687</v>
      </c>
      <c r="B24" s="62"/>
      <c r="C24" s="62"/>
      <c r="D24" s="62"/>
      <c r="E24" s="62"/>
      <c r="F24" s="62"/>
      <c r="G24" s="62"/>
      <c r="H24" s="63"/>
    </row>
    <row r="25" spans="1:8" ht="14.25">
      <c r="A25" s="17" t="s">
        <v>681</v>
      </c>
      <c r="B25" s="18" t="s">
        <v>682</v>
      </c>
      <c r="C25" s="19"/>
      <c r="D25" s="19"/>
      <c r="E25" s="19"/>
      <c r="F25" s="19"/>
      <c r="G25" s="20"/>
      <c r="H25" s="64">
        <f>H26+H27+H28</f>
        <v>3.65</v>
      </c>
    </row>
    <row r="26" spans="1:8" ht="14.25">
      <c r="A26" s="65" t="s">
        <v>688</v>
      </c>
      <c r="B26" s="33" t="s">
        <v>689</v>
      </c>
      <c r="C26" s="34"/>
      <c r="D26" s="34"/>
      <c r="E26" s="34"/>
      <c r="F26" s="34"/>
      <c r="G26" s="35"/>
      <c r="H26" s="66">
        <v>0.65</v>
      </c>
    </row>
    <row r="27" spans="1:8" ht="14.25">
      <c r="A27" s="22" t="s">
        <v>690</v>
      </c>
      <c r="B27" s="33" t="s">
        <v>691</v>
      </c>
      <c r="C27" s="34"/>
      <c r="D27" s="34"/>
      <c r="E27" s="34"/>
      <c r="F27" s="34"/>
      <c r="G27" s="35"/>
      <c r="H27" s="66">
        <v>3</v>
      </c>
    </row>
    <row r="28" spans="1:8" ht="15" thickBot="1">
      <c r="A28" s="67" t="s">
        <v>692</v>
      </c>
      <c r="B28" s="68" t="s">
        <v>693</v>
      </c>
      <c r="C28" s="69"/>
      <c r="D28" s="69"/>
      <c r="E28" s="69"/>
      <c r="F28" s="69"/>
      <c r="G28" s="70"/>
      <c r="H28" s="71">
        <v>0</v>
      </c>
    </row>
    <row r="29" spans="1:8" ht="16.5" thickBot="1">
      <c r="A29" s="72" t="s">
        <v>694</v>
      </c>
      <c r="B29" s="73"/>
      <c r="C29" s="73"/>
      <c r="D29" s="73"/>
      <c r="E29" s="73"/>
      <c r="F29" s="73"/>
      <c r="G29" s="73"/>
      <c r="H29" s="74"/>
    </row>
    <row r="30" spans="1:8" ht="14.25">
      <c r="A30" s="17" t="s">
        <v>683</v>
      </c>
      <c r="B30" s="18" t="s">
        <v>695</v>
      </c>
      <c r="C30" s="19"/>
      <c r="D30" s="19"/>
      <c r="E30" s="19"/>
      <c r="F30" s="19"/>
      <c r="G30" s="20"/>
      <c r="H30" s="64">
        <f>H31</f>
        <v>2.5</v>
      </c>
    </row>
    <row r="31" spans="1:8" ht="15" thickBot="1">
      <c r="A31" s="75" t="s">
        <v>696</v>
      </c>
      <c r="B31" s="68" t="s">
        <v>689</v>
      </c>
      <c r="C31" s="69"/>
      <c r="D31" s="69"/>
      <c r="E31" s="69"/>
      <c r="F31" s="69"/>
      <c r="G31" s="70"/>
      <c r="H31" s="76">
        <v>2.5</v>
      </c>
    </row>
    <row r="32" spans="1:8" ht="14.25">
      <c r="A32" s="52"/>
      <c r="B32" s="53"/>
      <c r="C32" s="53"/>
      <c r="D32" s="53"/>
      <c r="E32" s="53"/>
      <c r="F32" s="53"/>
      <c r="G32" s="53"/>
      <c r="H32" s="60"/>
    </row>
    <row r="33" spans="1:8" ht="14.25">
      <c r="A33" s="52"/>
      <c r="B33" s="53"/>
      <c r="C33" s="53"/>
      <c r="D33" s="53"/>
      <c r="E33" s="53"/>
      <c r="F33" s="53"/>
      <c r="G33" s="53"/>
      <c r="H33" s="60"/>
    </row>
    <row r="34" spans="1:8" ht="63">
      <c r="A34" s="77" t="s">
        <v>697</v>
      </c>
      <c r="B34" s="78"/>
      <c r="C34" s="78"/>
      <c r="D34" s="78"/>
      <c r="E34" s="78"/>
      <c r="F34" s="78"/>
      <c r="G34" s="78"/>
      <c r="H34" s="79"/>
    </row>
    <row r="35" spans="1:8" ht="17.25">
      <c r="A35" s="80" t="s">
        <v>698</v>
      </c>
      <c r="B35" s="81"/>
      <c r="C35" s="82">
        <f>H7/100</f>
        <v>0.04</v>
      </c>
      <c r="D35" s="81"/>
      <c r="E35" s="53"/>
      <c r="F35" s="83" t="s">
        <v>698</v>
      </c>
      <c r="G35" s="83"/>
      <c r="H35" s="84">
        <f>C35</f>
        <v>0.04</v>
      </c>
    </row>
    <row r="36" spans="1:8" ht="17.25">
      <c r="A36" s="80" t="s">
        <v>699</v>
      </c>
      <c r="B36" s="81"/>
      <c r="C36" s="82">
        <f>H12/100</f>
        <v>0.008</v>
      </c>
      <c r="D36" s="81"/>
      <c r="E36" s="53"/>
      <c r="F36" s="83" t="s">
        <v>699</v>
      </c>
      <c r="G36" s="83"/>
      <c r="H36" s="84">
        <f>C36</f>
        <v>0.008</v>
      </c>
    </row>
    <row r="37" spans="1:8" ht="17.25">
      <c r="A37" s="80" t="s">
        <v>700</v>
      </c>
      <c r="B37" s="81"/>
      <c r="C37" s="82">
        <f>H11/100</f>
        <v>0.0127</v>
      </c>
      <c r="D37" s="81"/>
      <c r="E37" s="53"/>
      <c r="F37" s="83" t="s">
        <v>700</v>
      </c>
      <c r="G37" s="83"/>
      <c r="H37" s="84">
        <f>C37</f>
        <v>0.0127</v>
      </c>
    </row>
    <row r="38" spans="1:8" ht="17.25">
      <c r="A38" s="80" t="s">
        <v>701</v>
      </c>
      <c r="B38" s="81"/>
      <c r="C38" s="85">
        <f>1+C35+C36+C37</f>
        <v>1.0607</v>
      </c>
      <c r="D38" s="81"/>
      <c r="E38" s="53"/>
      <c r="F38" s="83" t="s">
        <v>701</v>
      </c>
      <c r="G38" s="83"/>
      <c r="H38" s="86">
        <f>1+H35+H36+H37</f>
        <v>1.0607</v>
      </c>
    </row>
    <row r="39" spans="1:8" ht="17.25">
      <c r="A39" s="80" t="s">
        <v>702</v>
      </c>
      <c r="B39" s="81"/>
      <c r="C39" s="82">
        <f>H8/100</f>
        <v>0.0123</v>
      </c>
      <c r="D39" s="81"/>
      <c r="E39" s="53"/>
      <c r="F39" s="83" t="s">
        <v>702</v>
      </c>
      <c r="G39" s="83"/>
      <c r="H39" s="84">
        <f>C39</f>
        <v>0.0123</v>
      </c>
    </row>
    <row r="40" spans="1:8" ht="17.25">
      <c r="A40" s="80" t="s">
        <v>703</v>
      </c>
      <c r="B40" s="81"/>
      <c r="C40" s="85">
        <f>1+C39</f>
        <v>1.0123</v>
      </c>
      <c r="D40" s="81"/>
      <c r="E40" s="53"/>
      <c r="F40" s="83" t="s">
        <v>703</v>
      </c>
      <c r="G40" s="83"/>
      <c r="H40" s="86">
        <f>1+H39</f>
        <v>1.0123</v>
      </c>
    </row>
    <row r="41" spans="1:8" ht="17.25">
      <c r="A41" s="80" t="s">
        <v>704</v>
      </c>
      <c r="B41" s="81"/>
      <c r="C41" s="82">
        <f>H18/100</f>
        <v>0.07400000000000001</v>
      </c>
      <c r="D41" s="81"/>
      <c r="E41" s="53"/>
      <c r="F41" s="83" t="s">
        <v>704</v>
      </c>
      <c r="G41" s="83"/>
      <c r="H41" s="84">
        <f>C41</f>
        <v>0.07400000000000001</v>
      </c>
    </row>
    <row r="42" spans="1:8" ht="17.25">
      <c r="A42" s="80" t="s">
        <v>705</v>
      </c>
      <c r="B42" s="81"/>
      <c r="C42" s="85">
        <f>1+C41</f>
        <v>1.074</v>
      </c>
      <c r="D42" s="81"/>
      <c r="E42" s="53"/>
      <c r="F42" s="83" t="s">
        <v>705</v>
      </c>
      <c r="G42" s="83"/>
      <c r="H42" s="86">
        <f>1+H41</f>
        <v>1.074</v>
      </c>
    </row>
    <row r="43" spans="1:8" ht="17.25">
      <c r="A43" s="80"/>
      <c r="B43" s="81"/>
      <c r="C43" s="81"/>
      <c r="D43" s="81"/>
      <c r="E43" s="53"/>
      <c r="F43" s="83"/>
      <c r="G43" s="83"/>
      <c r="H43" s="87"/>
    </row>
    <row r="44" spans="1:8" ht="17.25">
      <c r="A44" s="80" t="s">
        <v>706</v>
      </c>
      <c r="B44" s="81"/>
      <c r="C44" s="82">
        <f>H15/100</f>
        <v>0.061500000000000006</v>
      </c>
      <c r="D44" s="81"/>
      <c r="E44" s="53"/>
      <c r="F44" s="83" t="s">
        <v>706</v>
      </c>
      <c r="G44" s="83"/>
      <c r="H44" s="84">
        <f>C44-(H28/100)</f>
        <v>0.061500000000000006</v>
      </c>
    </row>
    <row r="45" spans="1:8" ht="17.25">
      <c r="A45" s="80" t="s">
        <v>707</v>
      </c>
      <c r="B45" s="81"/>
      <c r="C45" s="85">
        <f>1-C44</f>
        <v>0.9385</v>
      </c>
      <c r="D45" s="81"/>
      <c r="E45" s="53"/>
      <c r="F45" s="83" t="s">
        <v>707</v>
      </c>
      <c r="G45" s="83"/>
      <c r="H45" s="86">
        <f>1-H44</f>
        <v>0.9385</v>
      </c>
    </row>
    <row r="46" spans="1:8" ht="17.25">
      <c r="A46" s="80"/>
      <c r="B46" s="81"/>
      <c r="C46" s="81"/>
      <c r="D46" s="81"/>
      <c r="E46" s="53"/>
      <c r="F46" s="83"/>
      <c r="G46" s="83"/>
      <c r="H46" s="87"/>
    </row>
    <row r="47" spans="1:8" ht="17.25">
      <c r="A47" s="88" t="s">
        <v>708</v>
      </c>
      <c r="B47" s="89"/>
      <c r="C47" s="90">
        <f>(C38*C40*C42)/C45-1</f>
        <v>0.22877342476291962</v>
      </c>
      <c r="D47" s="81"/>
      <c r="E47" s="53"/>
      <c r="F47" s="91" t="s">
        <v>709</v>
      </c>
      <c r="G47" s="92"/>
      <c r="H47" s="93">
        <f>(H38*H40*H42)/H45-1</f>
        <v>0.22877342476291962</v>
      </c>
    </row>
    <row r="48" spans="1:8" ht="15">
      <c r="A48" s="94"/>
      <c r="B48" s="83"/>
      <c r="C48" s="83"/>
      <c r="D48" s="83"/>
      <c r="E48" s="53"/>
      <c r="F48" s="83"/>
      <c r="G48" s="83"/>
      <c r="H48" s="95" t="s">
        <v>710</v>
      </c>
    </row>
    <row r="49" spans="1:8" ht="15">
      <c r="A49" s="94"/>
      <c r="B49" s="83"/>
      <c r="C49" s="83"/>
      <c r="D49" s="83"/>
      <c r="E49" s="83"/>
      <c r="F49" s="240" t="s">
        <v>711</v>
      </c>
      <c r="G49" s="240"/>
      <c r="H49" s="241"/>
    </row>
    <row r="50" spans="1:8" ht="15" thickBot="1">
      <c r="A50" s="96"/>
      <c r="B50" s="97"/>
      <c r="C50" s="97"/>
      <c r="D50" s="97"/>
      <c r="E50" s="97"/>
      <c r="F50" s="242"/>
      <c r="G50" s="242"/>
      <c r="H50" s="243"/>
    </row>
  </sheetData>
  <mergeCells count="6">
    <mergeCell ref="F49:H50"/>
    <mergeCell ref="A1:H1"/>
    <mergeCell ref="A2:H2"/>
    <mergeCell ref="A3:H3"/>
    <mergeCell ref="A4:H4"/>
    <mergeCell ref="A5:H5"/>
  </mergeCells>
  <printOptions/>
  <pageMargins left="0.511811024" right="0.511811024" top="0.787401575" bottom="0.787401575" header="0.31496062" footer="0.3149606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3"/>
  <sheetViews>
    <sheetView view="pageBreakPreview" zoomScale="60" workbookViewId="0" topLeftCell="A1">
      <selection activeCell="A4" sqref="A4:D4"/>
    </sheetView>
  </sheetViews>
  <sheetFormatPr defaultColWidth="9.00390625" defaultRowHeight="14.25"/>
  <cols>
    <col min="1" max="1" width="14.375" style="0" customWidth="1"/>
    <col min="2" max="2" width="67.875" style="0" customWidth="1"/>
    <col min="3" max="3" width="14.75390625" style="0" customWidth="1"/>
    <col min="4" max="4" width="16.25390625" style="0" customWidth="1"/>
  </cols>
  <sheetData>
    <row r="1" spans="1:4" ht="20.1" customHeight="1">
      <c r="A1" s="244" t="s">
        <v>665</v>
      </c>
      <c r="B1" s="215"/>
      <c r="C1" s="215"/>
      <c r="D1" s="245"/>
    </row>
    <row r="2" spans="1:4" ht="20.1" customHeight="1">
      <c r="A2" s="244" t="s">
        <v>666</v>
      </c>
      <c r="B2" s="215"/>
      <c r="C2" s="215"/>
      <c r="D2" s="245"/>
    </row>
    <row r="3" spans="1:4" ht="20.1" customHeight="1">
      <c r="A3" s="244" t="s">
        <v>633</v>
      </c>
      <c r="B3" s="215"/>
      <c r="C3" s="215"/>
      <c r="D3" s="245"/>
    </row>
    <row r="4" spans="1:4" ht="20.1" customHeight="1">
      <c r="A4" s="244" t="s">
        <v>632</v>
      </c>
      <c r="B4" s="215"/>
      <c r="C4" s="215"/>
      <c r="D4" s="245"/>
    </row>
    <row r="5" spans="1:4" ht="15">
      <c r="A5" s="253" t="s">
        <v>712</v>
      </c>
      <c r="B5" s="254"/>
      <c r="C5" s="254"/>
      <c r="D5" s="255"/>
    </row>
    <row r="6" spans="1:4" ht="15">
      <c r="A6" s="98" t="s">
        <v>713</v>
      </c>
      <c r="B6" s="98" t="s">
        <v>714</v>
      </c>
      <c r="C6" s="98" t="s">
        <v>715</v>
      </c>
      <c r="D6" s="98" t="s">
        <v>716</v>
      </c>
    </row>
    <row r="7" spans="1:4" ht="15">
      <c r="A7" s="249" t="s">
        <v>717</v>
      </c>
      <c r="B7" s="250"/>
      <c r="C7" s="250"/>
      <c r="D7" s="251"/>
    </row>
    <row r="8" spans="1:4" ht="14.25">
      <c r="A8" s="99" t="s">
        <v>718</v>
      </c>
      <c r="B8" s="100" t="s">
        <v>719</v>
      </c>
      <c r="C8" s="101">
        <v>20</v>
      </c>
      <c r="D8" s="101">
        <v>20</v>
      </c>
    </row>
    <row r="9" spans="1:4" ht="14.25">
      <c r="A9" s="99" t="s">
        <v>720</v>
      </c>
      <c r="B9" s="100" t="s">
        <v>721</v>
      </c>
      <c r="C9" s="101">
        <v>1.5</v>
      </c>
      <c r="D9" s="101">
        <v>1.5</v>
      </c>
    </row>
    <row r="10" spans="1:4" ht="14.25">
      <c r="A10" s="99" t="s">
        <v>722</v>
      </c>
      <c r="B10" s="100" t="s">
        <v>723</v>
      </c>
      <c r="C10" s="101">
        <v>1</v>
      </c>
      <c r="D10" s="101">
        <v>1</v>
      </c>
    </row>
    <row r="11" spans="1:4" ht="14.25">
      <c r="A11" s="99" t="s">
        <v>724</v>
      </c>
      <c r="B11" s="100" t="s">
        <v>725</v>
      </c>
      <c r="C11" s="101">
        <v>0.2</v>
      </c>
      <c r="D11" s="101">
        <v>0.2</v>
      </c>
    </row>
    <row r="12" spans="1:4" ht="14.25">
      <c r="A12" s="99" t="s">
        <v>726</v>
      </c>
      <c r="B12" s="100" t="s">
        <v>727</v>
      </c>
      <c r="C12" s="101">
        <v>0.6</v>
      </c>
      <c r="D12" s="101">
        <v>0.6</v>
      </c>
    </row>
    <row r="13" spans="1:4" ht="14.25">
      <c r="A13" s="99" t="s">
        <v>728</v>
      </c>
      <c r="B13" s="100" t="s">
        <v>729</v>
      </c>
      <c r="C13" s="101">
        <v>2.5</v>
      </c>
      <c r="D13" s="101">
        <v>2.5</v>
      </c>
    </row>
    <row r="14" spans="1:4" ht="14.25">
      <c r="A14" s="99" t="s">
        <v>730</v>
      </c>
      <c r="B14" s="100" t="s">
        <v>731</v>
      </c>
      <c r="C14" s="101">
        <v>3</v>
      </c>
      <c r="D14" s="101">
        <v>3</v>
      </c>
    </row>
    <row r="15" spans="1:4" ht="14.25">
      <c r="A15" s="99" t="s">
        <v>732</v>
      </c>
      <c r="B15" s="100" t="s">
        <v>733</v>
      </c>
      <c r="C15" s="101">
        <v>8</v>
      </c>
      <c r="D15" s="101">
        <v>8</v>
      </c>
    </row>
    <row r="16" spans="1:4" ht="14.25">
      <c r="A16" s="99" t="s">
        <v>734</v>
      </c>
      <c r="B16" s="100" t="s">
        <v>735</v>
      </c>
      <c r="C16" s="101">
        <v>0</v>
      </c>
      <c r="D16" s="101">
        <v>0</v>
      </c>
    </row>
    <row r="17" spans="1:4" ht="15">
      <c r="A17" s="98" t="s">
        <v>736</v>
      </c>
      <c r="B17" s="102" t="s">
        <v>737</v>
      </c>
      <c r="C17" s="103">
        <f>SUM(C8:C16)</f>
        <v>36.8</v>
      </c>
      <c r="D17" s="103">
        <f>SUM(D8:D16)</f>
        <v>36.8</v>
      </c>
    </row>
    <row r="18" spans="1:4" ht="15">
      <c r="A18" s="249" t="s">
        <v>738</v>
      </c>
      <c r="B18" s="250"/>
      <c r="C18" s="250"/>
      <c r="D18" s="251"/>
    </row>
    <row r="19" spans="1:4" ht="14.25">
      <c r="A19" s="99" t="s">
        <v>739</v>
      </c>
      <c r="B19" s="100" t="s">
        <v>740</v>
      </c>
      <c r="C19" s="101">
        <v>18.11</v>
      </c>
      <c r="D19" s="101">
        <v>0</v>
      </c>
    </row>
    <row r="20" spans="1:4" ht="14.25">
      <c r="A20" s="99" t="s">
        <v>741</v>
      </c>
      <c r="B20" s="100" t="s">
        <v>742</v>
      </c>
      <c r="C20" s="101">
        <v>4.15</v>
      </c>
      <c r="D20" s="101">
        <v>0</v>
      </c>
    </row>
    <row r="21" spans="1:4" ht="14.25">
      <c r="A21" s="99" t="s">
        <v>743</v>
      </c>
      <c r="B21" s="100" t="s">
        <v>744</v>
      </c>
      <c r="C21" s="101">
        <v>0.89</v>
      </c>
      <c r="D21" s="101">
        <v>0.67</v>
      </c>
    </row>
    <row r="22" spans="1:4" ht="14.25">
      <c r="A22" s="99" t="s">
        <v>745</v>
      </c>
      <c r="B22" s="100" t="s">
        <v>746</v>
      </c>
      <c r="C22" s="101">
        <v>10.98</v>
      </c>
      <c r="D22" s="101">
        <v>8.33</v>
      </c>
    </row>
    <row r="23" spans="1:4" ht="14.25">
      <c r="A23" s="99" t="s">
        <v>747</v>
      </c>
      <c r="B23" s="100" t="s">
        <v>748</v>
      </c>
      <c r="C23" s="101">
        <v>0.07</v>
      </c>
      <c r="D23" s="101">
        <v>0.06</v>
      </c>
    </row>
    <row r="24" spans="1:4" ht="14.25">
      <c r="A24" s="99" t="s">
        <v>749</v>
      </c>
      <c r="B24" s="100" t="s">
        <v>750</v>
      </c>
      <c r="C24" s="101">
        <v>0.73</v>
      </c>
      <c r="D24" s="101">
        <v>0.56</v>
      </c>
    </row>
    <row r="25" spans="1:4" ht="14.25">
      <c r="A25" s="99" t="s">
        <v>751</v>
      </c>
      <c r="B25" s="100" t="s">
        <v>752</v>
      </c>
      <c r="C25" s="101">
        <v>2.68</v>
      </c>
      <c r="D25" s="101">
        <v>0</v>
      </c>
    </row>
    <row r="26" spans="1:4" ht="14.25">
      <c r="A26" s="99" t="s">
        <v>753</v>
      </c>
      <c r="B26" s="100" t="s">
        <v>754</v>
      </c>
      <c r="C26" s="101">
        <v>0.11</v>
      </c>
      <c r="D26" s="101">
        <v>0.08</v>
      </c>
    </row>
    <row r="27" spans="1:4" ht="14.25">
      <c r="A27" s="99" t="s">
        <v>755</v>
      </c>
      <c r="B27" s="100" t="s">
        <v>756</v>
      </c>
      <c r="C27" s="101">
        <v>9.27</v>
      </c>
      <c r="D27" s="101">
        <v>7.03</v>
      </c>
    </row>
    <row r="28" spans="1:4" ht="14.25">
      <c r="A28" s="99" t="s">
        <v>757</v>
      </c>
      <c r="B28" s="100" t="s">
        <v>758</v>
      </c>
      <c r="C28" s="101">
        <v>0.03</v>
      </c>
      <c r="D28" s="101">
        <v>0.03</v>
      </c>
    </row>
    <row r="29" spans="1:4" ht="15">
      <c r="A29" s="98" t="s">
        <v>759</v>
      </c>
      <c r="B29" s="102" t="s">
        <v>760</v>
      </c>
      <c r="C29" s="103">
        <f>SUM(C19:C28)</f>
        <v>47.019999999999996</v>
      </c>
      <c r="D29" s="103">
        <f>SUM(D19:D28)</f>
        <v>16.76</v>
      </c>
    </row>
    <row r="30" spans="1:4" ht="15">
      <c r="A30" s="249" t="s">
        <v>761</v>
      </c>
      <c r="B30" s="250"/>
      <c r="C30" s="250"/>
      <c r="D30" s="251"/>
    </row>
    <row r="31" spans="1:4" ht="14.25">
      <c r="A31" s="99" t="s">
        <v>762</v>
      </c>
      <c r="B31" s="100" t="s">
        <v>763</v>
      </c>
      <c r="C31" s="101">
        <v>5.69</v>
      </c>
      <c r="D31" s="101">
        <v>4.32</v>
      </c>
    </row>
    <row r="32" spans="1:4" ht="14.25">
      <c r="A32" s="99" t="s">
        <v>764</v>
      </c>
      <c r="B32" s="100" t="s">
        <v>765</v>
      </c>
      <c r="C32" s="101">
        <v>0.13</v>
      </c>
      <c r="D32" s="101">
        <v>0.1</v>
      </c>
    </row>
    <row r="33" spans="1:4" ht="14.25">
      <c r="A33" s="99" t="s">
        <v>766</v>
      </c>
      <c r="B33" s="100" t="s">
        <v>767</v>
      </c>
      <c r="C33" s="101">
        <v>4.47</v>
      </c>
      <c r="D33" s="101">
        <v>3.39</v>
      </c>
    </row>
    <row r="34" spans="1:4" ht="14.25">
      <c r="A34" s="99" t="s">
        <v>768</v>
      </c>
      <c r="B34" s="100" t="s">
        <v>769</v>
      </c>
      <c r="C34" s="101">
        <v>3.93</v>
      </c>
      <c r="D34" s="101">
        <v>2.98</v>
      </c>
    </row>
    <row r="35" spans="1:4" ht="14.25">
      <c r="A35" s="99" t="s">
        <v>770</v>
      </c>
      <c r="B35" s="100" t="s">
        <v>771</v>
      </c>
      <c r="C35" s="101">
        <v>0.48</v>
      </c>
      <c r="D35" s="101">
        <v>0.36</v>
      </c>
    </row>
    <row r="36" spans="1:4" ht="15">
      <c r="A36" s="98" t="s">
        <v>772</v>
      </c>
      <c r="B36" s="102" t="s">
        <v>773</v>
      </c>
      <c r="C36" s="103">
        <f>SUM(C31:C35)</f>
        <v>14.7</v>
      </c>
      <c r="D36" s="103">
        <f>SUM(D31:D35)</f>
        <v>11.15</v>
      </c>
    </row>
    <row r="37" spans="1:4" ht="15">
      <c r="A37" s="249" t="s">
        <v>774</v>
      </c>
      <c r="B37" s="250"/>
      <c r="C37" s="250"/>
      <c r="D37" s="251"/>
    </row>
    <row r="38" spans="1:4" ht="14.25">
      <c r="A38" s="99" t="s">
        <v>775</v>
      </c>
      <c r="B38" s="100" t="s">
        <v>776</v>
      </c>
      <c r="C38" s="101">
        <v>17.3</v>
      </c>
      <c r="D38" s="101">
        <v>6.17</v>
      </c>
    </row>
    <row r="39" spans="1:4" ht="25.5">
      <c r="A39" s="99" t="s">
        <v>777</v>
      </c>
      <c r="B39" s="104" t="s">
        <v>778</v>
      </c>
      <c r="C39" s="105">
        <v>0.5</v>
      </c>
      <c r="D39" s="105">
        <v>0.38</v>
      </c>
    </row>
    <row r="40" spans="1:4" ht="15">
      <c r="A40" s="98" t="s">
        <v>779</v>
      </c>
      <c r="B40" s="102" t="s">
        <v>780</v>
      </c>
      <c r="C40" s="103">
        <f>SUM(C38:C39)</f>
        <v>17.8</v>
      </c>
      <c r="D40" s="103">
        <f>SUM(D38:D39)</f>
        <v>6.55</v>
      </c>
    </row>
    <row r="41" spans="1:4" ht="15">
      <c r="A41" s="252" t="s">
        <v>781</v>
      </c>
      <c r="B41" s="252"/>
      <c r="C41" s="106">
        <f>(C17+C29+C36+C40)</f>
        <v>116.32</v>
      </c>
      <c r="D41" s="106">
        <f>D17+D29+D36+D40</f>
        <v>71.26</v>
      </c>
    </row>
    <row r="42" spans="1:4" ht="14.25">
      <c r="A42" s="107"/>
      <c r="B42" s="107"/>
      <c r="C42" s="108"/>
      <c r="D42" s="108"/>
    </row>
    <row r="43" spans="1:4" ht="14.25">
      <c r="A43" s="107" t="s">
        <v>782</v>
      </c>
      <c r="B43" s="107"/>
      <c r="C43" s="108"/>
      <c r="D43" s="108"/>
    </row>
  </sheetData>
  <mergeCells count="10">
    <mergeCell ref="A18:D18"/>
    <mergeCell ref="A30:D30"/>
    <mergeCell ref="A37:D37"/>
    <mergeCell ref="A41:B41"/>
    <mergeCell ref="A1:D1"/>
    <mergeCell ref="A2:D2"/>
    <mergeCell ref="A3:D3"/>
    <mergeCell ref="A4:D4"/>
    <mergeCell ref="A5:D5"/>
    <mergeCell ref="A7:D7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SEMED</cp:lastModifiedBy>
  <cp:lastPrinted>2023-02-03T00:39:37Z</cp:lastPrinted>
  <dcterms:created xsi:type="dcterms:W3CDTF">2022-11-13T23:32:56Z</dcterms:created>
  <dcterms:modified xsi:type="dcterms:W3CDTF">2023-03-07T17:53:07Z</dcterms:modified>
  <cp:category/>
  <cp:version/>
  <cp:contentType/>
  <cp:contentStatus/>
</cp:coreProperties>
</file>