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barbosa\Desktop\MARITUBA-BEM VIVER\"/>
    </mc:Choice>
  </mc:AlternateContent>
  <bookViews>
    <workbookView xWindow="-120" yWindow="-120" windowWidth="15480" windowHeight="11640" tabRatio="930" activeTab="9"/>
  </bookViews>
  <sheets>
    <sheet name="Planilha Final" sheetId="38" r:id="rId1"/>
    <sheet name="Dados da obra" sheetId="1" r:id="rId2"/>
    <sheet name="1.Adm. Local" sheetId="2" r:id="rId3"/>
    <sheet name="2.Ser.Prel." sheetId="4" r:id="rId4"/>
    <sheet name="Mobilização" sheetId="14" r:id="rId5"/>
    <sheet name="4.Memória " sheetId="39" r:id="rId6"/>
    <sheet name="Composições" sheetId="26" r:id="rId7"/>
    <sheet name="COTAÇÃO" sheetId="36" r:id="rId8"/>
    <sheet name="Cronograma" sheetId="40" r:id="rId9"/>
    <sheet name="Percentual" sheetId="41" r:id="rId10"/>
  </sheets>
  <externalReferences>
    <externalReference r:id="rId11"/>
    <externalReference r:id="rId12"/>
  </externalReferences>
  <definedNames>
    <definedName name="_xlnm.Print_Area" localSheetId="2">'1.Adm. Local'!$A$1:$I$21</definedName>
    <definedName name="_xlnm.Print_Area" localSheetId="3">'2.Ser.Prel.'!$A$1:$K$38</definedName>
    <definedName name="_xlnm.Print_Area" localSheetId="5">'4.Memória '!$A$1:$I$478</definedName>
    <definedName name="_xlnm.Print_Area" localSheetId="6">Composições!$A$1:$F$20</definedName>
    <definedName name="_xlnm.Print_Area" localSheetId="7">COTAÇÃO!$A$1:$L$30</definedName>
    <definedName name="_xlnm.Print_Area" localSheetId="1">'Dados da obra'!$A$1:$J$21</definedName>
    <definedName name="_xlnm.Print_Area" localSheetId="4">Mobilização!$A$1:$M$15</definedName>
    <definedName name="_xlnm.Print_Area" localSheetId="0">'Planilha Final'!$A$1:$I$104</definedName>
    <definedName name="ORÇAMENTO.BancoRef" localSheetId="5" hidden="1">#REF!</definedName>
    <definedName name="ORÇAMENTO.BancoRef" localSheetId="6" hidden="1">#REF!</definedName>
    <definedName name="ORÇAMENTO.BancoRef" localSheetId="0" hidden="1">#REF!</definedName>
    <definedName name="ORÇAMENTO.BancoRef" hidden="1">#REF!</definedName>
    <definedName name="ORÇAMENTO.CustoUnitario" localSheetId="5" hidden="1">ROUND(#REF!,15-13*#REF!)</definedName>
    <definedName name="ORÇAMENTO.CustoUnitario" localSheetId="6" hidden="1">ROUND(#REF!,15-13*#REF!)</definedName>
    <definedName name="ORÇAMENTO.PrecoUnitarioLicitado" localSheetId="5" hidden="1">#REF!</definedName>
    <definedName name="ORÇAMENTO.PrecoUnitarioLicitado" localSheetId="6" hidden="1">#REF!</definedName>
    <definedName name="REFERENCIA.Descricao" localSheetId="5" hidden="1">IF(ISNUMBER(#REF!),OFFSET(INDIRECT('4.Memória '!ORÇAMENTO.BancoRef),#REF!-1,3,1),#REF!)</definedName>
    <definedName name="REFERENCIA.Descricao" localSheetId="6" hidden="1">IF(ISNUMBER(#REF!),OFFSET(INDIRECT(Composições!ORÇAMENTO.BancoRef),#REF!-1,3,1),#REF!)</definedName>
    <definedName name="REFERENCIA.Unidade" localSheetId="5" hidden="1">IF(ISNUMBER(#REF!),OFFSET(INDIRECT('4.Memória '!ORÇAMENTO.BancoRef),#REF!-1,4,1),"-")</definedName>
    <definedName name="REFERENCIA.Unidade" localSheetId="6" hidden="1">IF(ISNUMBER(#REF!),OFFSET(INDIRECT(Composições!ORÇAMENTO.BancoRef),#REF!-1,4,1),"-")</definedName>
    <definedName name="SomaAgrup" localSheetId="5" hidden="1">SUMIF(OFFSET(#REF!,1,0,#REF!),"S",OFFSET(#REF!,1,0,#REF!))</definedName>
    <definedName name="SomaAgrup" localSheetId="6" hidden="1">SUMIF(OFFSET(#REF!,1,0,#REF!),"S",OFFSET(#REF!,1,0,#REF!))</definedName>
    <definedName name="TIPOORCAMENTO" hidden="1">IF(VALUE([1]MENU!$O$3)=2,"Licitado","Proposto")</definedName>
    <definedName name="_xlnm.Print_Titles" localSheetId="5">'4.Memória '!$7:$8</definedName>
    <definedName name="VTOTAL1" localSheetId="5" hidden="1">ROUND(#REF!*#REF!,15-13*#REF!)</definedName>
    <definedName name="VTOTAL1" localSheetId="6" hidden="1">ROUND(#REF!*#REF!,15-13*#REF!)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0" l="1"/>
  <c r="I99" i="38"/>
  <c r="F102" i="38"/>
  <c r="F97" i="38"/>
  <c r="F96" i="38"/>
  <c r="F93" i="38"/>
  <c r="F92" i="38"/>
  <c r="F91" i="38"/>
  <c r="F90" i="38"/>
  <c r="F87" i="38"/>
  <c r="F86" i="38"/>
  <c r="F85" i="38"/>
  <c r="F84" i="38"/>
  <c r="F81" i="38"/>
  <c r="F80" i="38"/>
  <c r="F79" i="38"/>
  <c r="F69" i="38"/>
  <c r="F68" i="38"/>
  <c r="F67" i="38"/>
  <c r="F66" i="38"/>
  <c r="F64" i="38"/>
  <c r="F63" i="38"/>
  <c r="F55" i="38"/>
  <c r="F54" i="38"/>
  <c r="F52" i="38"/>
  <c r="F51" i="38"/>
  <c r="F50" i="38"/>
  <c r="F48" i="38"/>
  <c r="F46" i="38"/>
  <c r="F45" i="38"/>
  <c r="F42" i="38"/>
  <c r="F41" i="38"/>
  <c r="F40" i="38"/>
  <c r="F39" i="38"/>
  <c r="F38" i="38"/>
  <c r="F36" i="38"/>
  <c r="F35" i="38"/>
  <c r="F34" i="38"/>
  <c r="F33" i="38"/>
  <c r="F32" i="38"/>
  <c r="F30" i="38"/>
  <c r="F28" i="38"/>
  <c r="F27" i="38"/>
  <c r="F26" i="38"/>
  <c r="B474" i="39"/>
  <c r="C459" i="39"/>
  <c r="D432" i="39"/>
  <c r="D440" i="39" s="1"/>
  <c r="D474" i="39" s="1"/>
  <c r="D398" i="39"/>
  <c r="D414" i="39" s="1"/>
  <c r="E459" i="39" s="1"/>
  <c r="B398" i="39"/>
  <c r="B414" i="39" s="1"/>
  <c r="B424" i="39" s="1"/>
  <c r="B432" i="39" s="1"/>
  <c r="B440" i="39" s="1"/>
  <c r="B459" i="39" s="1"/>
  <c r="C390" i="39"/>
  <c r="C398" i="39" s="1"/>
  <c r="C414" i="39" s="1"/>
  <c r="C364" i="39"/>
  <c r="A372" i="39"/>
  <c r="B317" i="39"/>
  <c r="C353" i="39"/>
  <c r="B355" i="39" s="1"/>
  <c r="C345" i="39"/>
  <c r="C337" i="39"/>
  <c r="B350" i="39"/>
  <c r="C320" i="39"/>
  <c r="C312" i="39"/>
  <c r="B14" i="39"/>
  <c r="C305" i="39"/>
  <c r="C298" i="39"/>
  <c r="B300" i="39" s="1"/>
  <c r="C329" i="39" s="1"/>
  <c r="B175" i="39" l="1"/>
  <c r="B174" i="39"/>
  <c r="A175" i="39"/>
  <c r="A174" i="39"/>
  <c r="B163" i="39"/>
  <c r="B162" i="39"/>
  <c r="B161" i="39"/>
  <c r="B160" i="39"/>
  <c r="A163" i="39"/>
  <c r="A162" i="39"/>
  <c r="A161" i="39"/>
  <c r="A160" i="39"/>
  <c r="B156" i="39"/>
  <c r="A156" i="39"/>
  <c r="B155" i="39"/>
  <c r="A155" i="39"/>
  <c r="B139" i="39"/>
  <c r="A139" i="39"/>
  <c r="B140" i="39"/>
  <c r="A140" i="39"/>
  <c r="B138" i="39"/>
  <c r="B137" i="39"/>
  <c r="B136" i="39"/>
  <c r="D112" i="39"/>
  <c r="B112" i="39"/>
  <c r="B38" i="39"/>
  <c r="B176" i="39" l="1"/>
  <c r="B164" i="39"/>
  <c r="B141" i="39"/>
  <c r="C44" i="39"/>
  <c r="C43" i="39"/>
  <c r="C42" i="39"/>
  <c r="C41" i="39"/>
  <c r="C37" i="39"/>
  <c r="C36" i="39"/>
  <c r="B20" i="39" l="1"/>
  <c r="B56" i="39"/>
  <c r="C100" i="39" s="1"/>
  <c r="G55" i="39"/>
  <c r="C45" i="39"/>
  <c r="B45" i="39"/>
  <c r="C101" i="39" s="1"/>
  <c r="C38" i="39"/>
  <c r="D100" i="39" s="1"/>
  <c r="C33" i="39"/>
  <c r="B33" i="39"/>
  <c r="C99" i="39" s="1"/>
  <c r="G44" i="39"/>
  <c r="G43" i="39"/>
  <c r="G37" i="39"/>
  <c r="G42" i="39"/>
  <c r="G41" i="39"/>
  <c r="C14" i="39"/>
  <c r="G21" i="38"/>
  <c r="H55" i="39" l="1"/>
  <c r="C175" i="39"/>
  <c r="H42" i="39"/>
  <c r="C161" i="39"/>
  <c r="D161" i="39" s="1"/>
  <c r="H43" i="39"/>
  <c r="C162" i="39"/>
  <c r="D162" i="39" s="1"/>
  <c r="H41" i="39"/>
  <c r="C160" i="39"/>
  <c r="H44" i="39"/>
  <c r="C163" i="39"/>
  <c r="D163" i="39" s="1"/>
  <c r="H37" i="39"/>
  <c r="C156" i="39"/>
  <c r="C112" i="39"/>
  <c r="F112" i="39" s="1"/>
  <c r="E101" i="39"/>
  <c r="A4" i="1"/>
  <c r="A4" i="2" s="1"/>
  <c r="H33" i="38"/>
  <c r="H26" i="38"/>
  <c r="H15" i="38"/>
  <c r="H28" i="38"/>
  <c r="H45" i="39" l="1"/>
  <c r="C164" i="39"/>
  <c r="C25" i="4"/>
  <c r="C17" i="4"/>
  <c r="C9" i="4"/>
  <c r="A4" i="4"/>
  <c r="B6" i="2"/>
  <c r="B107" i="39" l="1"/>
  <c r="B96" i="39"/>
  <c r="B286" i="39"/>
  <c r="G41" i="40"/>
  <c r="H41" i="40" s="1"/>
  <c r="I41" i="40" s="1"/>
  <c r="J41" i="40" s="1"/>
  <c r="K41" i="40" s="1"/>
  <c r="G36" i="40"/>
  <c r="H36" i="40" s="1"/>
  <c r="I36" i="40" s="1"/>
  <c r="J36" i="40" s="1"/>
  <c r="K36" i="40" s="1"/>
  <c r="F36" i="40"/>
  <c r="G30" i="40"/>
  <c r="H30" i="40" s="1"/>
  <c r="I30" i="40" s="1"/>
  <c r="J30" i="40" s="1"/>
  <c r="K30" i="40" s="1"/>
  <c r="G25" i="40"/>
  <c r="H25" i="40" s="1"/>
  <c r="I25" i="40" s="1"/>
  <c r="J25" i="40" s="1"/>
  <c r="K25" i="40" s="1"/>
  <c r="G20" i="40"/>
  <c r="H20" i="40" s="1"/>
  <c r="I20" i="40" s="1"/>
  <c r="J20" i="40" s="1"/>
  <c r="K20" i="40" s="1"/>
  <c r="F20" i="40"/>
  <c r="G15" i="40"/>
  <c r="H15" i="40" s="1"/>
  <c r="I15" i="40" s="1"/>
  <c r="J15" i="40" s="1"/>
  <c r="K15" i="40" s="1"/>
  <c r="F15" i="40"/>
  <c r="E273" i="39"/>
  <c r="H74" i="38"/>
  <c r="H69" i="38"/>
  <c r="F74" i="38" l="1"/>
  <c r="I74" i="38" s="1"/>
  <c r="I69" i="38"/>
  <c r="E474" i="39" l="1"/>
  <c r="C476" i="39" s="1"/>
  <c r="C469" i="39"/>
  <c r="B464" i="39"/>
  <c r="G459" i="39"/>
  <c r="C461" i="39" s="1"/>
  <c r="B456" i="39"/>
  <c r="B446" i="39"/>
  <c r="I440" i="39"/>
  <c r="A449" i="39" s="1"/>
  <c r="E449" i="39" s="1"/>
  <c r="B451" i="39" s="1"/>
  <c r="B437" i="39"/>
  <c r="E432" i="39"/>
  <c r="C434" i="39" s="1"/>
  <c r="B429" i="39"/>
  <c r="E424" i="39"/>
  <c r="C426" i="39" s="1"/>
  <c r="B421" i="39"/>
  <c r="G414" i="39"/>
  <c r="C416" i="39" s="1"/>
  <c r="B411" i="39"/>
  <c r="B403" i="39"/>
  <c r="G398" i="39"/>
  <c r="B406" i="39" s="1"/>
  <c r="E406" i="39" s="1"/>
  <c r="C408" i="39" s="1"/>
  <c r="B395" i="39"/>
  <c r="G390" i="39"/>
  <c r="C392" i="39" s="1"/>
  <c r="B387" i="39"/>
  <c r="B377" i="39"/>
  <c r="G372" i="39"/>
  <c r="A380" i="39" s="1"/>
  <c r="D380" i="39" s="1"/>
  <c r="C382" i="39" s="1"/>
  <c r="B369" i="39"/>
  <c r="G364" i="39"/>
  <c r="C366" i="39" s="1"/>
  <c r="B361" i="39"/>
  <c r="B347" i="39"/>
  <c r="B342" i="39"/>
  <c r="B339" i="39"/>
  <c r="B334" i="39"/>
  <c r="B326" i="39"/>
  <c r="B309" i="39"/>
  <c r="B302" i="39"/>
  <c r="B295" i="39"/>
  <c r="B291" i="39"/>
  <c r="B284" i="39"/>
  <c r="C275" i="39"/>
  <c r="F58" i="38" s="1"/>
  <c r="B217" i="39"/>
  <c r="F210" i="39"/>
  <c r="F209" i="39"/>
  <c r="F208" i="39"/>
  <c r="F207" i="39"/>
  <c r="B204" i="39"/>
  <c r="F198" i="39"/>
  <c r="F197" i="39"/>
  <c r="F196" i="39"/>
  <c r="F195" i="39"/>
  <c r="F194" i="39"/>
  <c r="F193" i="39"/>
  <c r="F192" i="39"/>
  <c r="F191" i="39"/>
  <c r="F190" i="39"/>
  <c r="F189" i="39"/>
  <c r="B186" i="39"/>
  <c r="B171" i="39"/>
  <c r="B157" i="39"/>
  <c r="B152" i="39"/>
  <c r="B145" i="39"/>
  <c r="C144" i="39"/>
  <c r="C145" i="39" s="1"/>
  <c r="B133" i="39"/>
  <c r="E114" i="39"/>
  <c r="B111" i="39"/>
  <c r="B110" i="39"/>
  <c r="C103" i="39"/>
  <c r="C114" i="39" s="1"/>
  <c r="B103" i="39"/>
  <c r="B113" i="39" s="1"/>
  <c r="C111" i="39"/>
  <c r="C110" i="39"/>
  <c r="G54" i="39"/>
  <c r="B51" i="39"/>
  <c r="D111" i="39"/>
  <c r="D160" i="39"/>
  <c r="D164" i="39" s="1"/>
  <c r="G36" i="39"/>
  <c r="G32" i="39"/>
  <c r="G31" i="39"/>
  <c r="G30" i="39"/>
  <c r="G29" i="39"/>
  <c r="B26" i="39"/>
  <c r="C20" i="39"/>
  <c r="D103" i="39" s="1"/>
  <c r="D114" i="39" s="1"/>
  <c r="D99" i="39"/>
  <c r="G13" i="39"/>
  <c r="C136" i="39" s="1"/>
  <c r="B10" i="39"/>
  <c r="H42" i="38"/>
  <c r="H41" i="38"/>
  <c r="H102" i="38"/>
  <c r="H97" i="38"/>
  <c r="H96" i="38"/>
  <c r="H93" i="38"/>
  <c r="H92" i="38"/>
  <c r="H91" i="38"/>
  <c r="H90" i="38"/>
  <c r="H87" i="38"/>
  <c r="H86" i="38"/>
  <c r="H85" i="38"/>
  <c r="H84" i="38"/>
  <c r="H81" i="38"/>
  <c r="H80" i="38"/>
  <c r="H79" i="38"/>
  <c r="H73" i="38"/>
  <c r="H72" i="38"/>
  <c r="H71" i="38"/>
  <c r="H68" i="38"/>
  <c r="H67" i="38"/>
  <c r="H66" i="38"/>
  <c r="H64" i="38"/>
  <c r="H63" i="38"/>
  <c r="H58" i="38"/>
  <c r="H55" i="38"/>
  <c r="H54" i="38"/>
  <c r="H52" i="38"/>
  <c r="H51" i="38"/>
  <c r="H50" i="38"/>
  <c r="H48" i="38"/>
  <c r="H46" i="38"/>
  <c r="H45" i="38"/>
  <c r="H40" i="38"/>
  <c r="H39" i="38"/>
  <c r="H38" i="38"/>
  <c r="H36" i="38"/>
  <c r="H35" i="38"/>
  <c r="H34" i="38"/>
  <c r="H32" i="38"/>
  <c r="H30" i="38"/>
  <c r="H27" i="38"/>
  <c r="H21" i="38"/>
  <c r="H17" i="38"/>
  <c r="H16" i="38"/>
  <c r="G56" i="39" l="1"/>
  <c r="C174" i="39"/>
  <c r="C176" i="39" s="1"/>
  <c r="C155" i="39"/>
  <c r="C139" i="39"/>
  <c r="D139" i="39" s="1"/>
  <c r="C137" i="39"/>
  <c r="D137" i="39" s="1"/>
  <c r="C140" i="39"/>
  <c r="D140" i="39" s="1"/>
  <c r="D156" i="39"/>
  <c r="C138" i="39"/>
  <c r="D138" i="39" s="1"/>
  <c r="F199" i="39"/>
  <c r="B201" i="39" s="1"/>
  <c r="D144" i="39"/>
  <c r="D145" i="39" s="1"/>
  <c r="F20" i="39"/>
  <c r="B22" i="39" s="1"/>
  <c r="D175" i="39"/>
  <c r="C374" i="39"/>
  <c r="E12" i="1"/>
  <c r="H30" i="39"/>
  <c r="H32" i="39"/>
  <c r="H54" i="39"/>
  <c r="H56" i="39" s="1"/>
  <c r="B59" i="39" s="1"/>
  <c r="C66" i="39" s="1"/>
  <c r="C400" i="39"/>
  <c r="H13" i="39"/>
  <c r="H14" i="39" s="1"/>
  <c r="D136" i="39"/>
  <c r="H29" i="39"/>
  <c r="H31" i="39"/>
  <c r="H36" i="39"/>
  <c r="H38" i="39" s="1"/>
  <c r="D174" i="39"/>
  <c r="F211" i="39"/>
  <c r="B213" i="39" s="1"/>
  <c r="F114" i="39"/>
  <c r="D110" i="39"/>
  <c r="F110" i="39" s="1"/>
  <c r="E99" i="39"/>
  <c r="F111" i="39"/>
  <c r="B442" i="39"/>
  <c r="E100" i="39"/>
  <c r="E103" i="39"/>
  <c r="D155" i="39" l="1"/>
  <c r="D157" i="39" s="1"/>
  <c r="C157" i="39"/>
  <c r="D141" i="39"/>
  <c r="B147" i="39" s="1"/>
  <c r="B149" i="39" s="1"/>
  <c r="H33" i="39"/>
  <c r="B48" i="39" s="1"/>
  <c r="I28" i="38"/>
  <c r="D176" i="39"/>
  <c r="B178" i="39" s="1"/>
  <c r="B16" i="39"/>
  <c r="B24" i="39" s="1"/>
  <c r="A66" i="39" s="1"/>
  <c r="B220" i="39"/>
  <c r="B229" i="39" s="1"/>
  <c r="B255" i="39" s="1"/>
  <c r="A220" i="39"/>
  <c r="A229" i="39" s="1"/>
  <c r="A255" i="39" s="1"/>
  <c r="B116" i="39"/>
  <c r="B105" i="39"/>
  <c r="B166" i="39" l="1"/>
  <c r="B168" i="39" s="1"/>
  <c r="B75" i="39"/>
  <c r="B122" i="39" s="1"/>
  <c r="B66" i="39"/>
  <c r="C75" i="39"/>
  <c r="C122" i="39" s="1"/>
  <c r="B180" i="39"/>
  <c r="I42" i="38" s="1"/>
  <c r="C255" i="39"/>
  <c r="B257" i="39" s="1"/>
  <c r="A263" i="39" s="1"/>
  <c r="D263" i="39" s="1"/>
  <c r="B265" i="39" s="1"/>
  <c r="C229" i="39"/>
  <c r="A245" i="39" s="1"/>
  <c r="B245" i="39" s="1"/>
  <c r="B247" i="39" s="1"/>
  <c r="A75" i="39"/>
  <c r="C220" i="39"/>
  <c r="B222" i="39" s="1"/>
  <c r="A122" i="39"/>
  <c r="D66" i="39" l="1"/>
  <c r="E66" i="39" s="1"/>
  <c r="B68" i="39" s="1"/>
  <c r="E75" i="39"/>
  <c r="B77" i="39" s="1"/>
  <c r="D122" i="39"/>
  <c r="B124" i="39" s="1"/>
  <c r="A129" i="39" s="1"/>
  <c r="D129" i="39" s="1"/>
  <c r="B131" i="39" s="1"/>
  <c r="D75" i="39"/>
  <c r="B231" i="39"/>
  <c r="A237" i="39" s="1"/>
  <c r="D237" i="39" s="1"/>
  <c r="B239" i="39" s="1"/>
  <c r="A91" i="39" l="1"/>
  <c r="B91" i="39" s="1"/>
  <c r="B93" i="39" s="1"/>
  <c r="A83" i="39"/>
  <c r="D83" i="39" s="1"/>
  <c r="B85" i="39" s="1"/>
  <c r="I46" i="38" l="1"/>
  <c r="I27" i="38" l="1"/>
  <c r="I41" i="38"/>
  <c r="M13" i="14" l="1"/>
  <c r="M12" i="14"/>
  <c r="M11" i="14"/>
  <c r="M10" i="14"/>
  <c r="M9" i="14"/>
  <c r="M8" i="14"/>
  <c r="I21" i="38"/>
  <c r="I22" i="38" s="1"/>
  <c r="I17" i="38"/>
  <c r="I54" i="38"/>
  <c r="I50" i="38"/>
  <c r="I102" i="38"/>
  <c r="I103" i="38" s="1"/>
  <c r="I97" i="38"/>
  <c r="I91" i="38"/>
  <c r="I85" i="38"/>
  <c r="I58" i="38"/>
  <c r="I59" i="38" s="1"/>
  <c r="F10" i="26"/>
  <c r="F11" i="26"/>
  <c r="F12" i="26"/>
  <c r="F13" i="26"/>
  <c r="F14" i="26"/>
  <c r="F15" i="26"/>
  <c r="F16" i="26"/>
  <c r="E17" i="26"/>
  <c r="F17" i="26" s="1"/>
  <c r="H11" i="1"/>
  <c r="H12" i="1" s="1"/>
  <c r="H12" i="4"/>
  <c r="H13" i="4"/>
  <c r="D23" i="4"/>
  <c r="G18" i="2"/>
  <c r="G11" i="2" s="1"/>
  <c r="I11" i="2" s="1"/>
  <c r="G19" i="2"/>
  <c r="G12" i="2" s="1"/>
  <c r="I12" i="2" s="1"/>
  <c r="G20" i="2"/>
  <c r="G13" i="2" s="1"/>
  <c r="I13" i="2" s="1"/>
  <c r="A1" i="14"/>
  <c r="I21" i="36"/>
  <c r="C28" i="4"/>
  <c r="F28" i="4"/>
  <c r="F29" i="4" s="1"/>
  <c r="U15" i="14"/>
  <c r="Y9" i="14"/>
  <c r="V9" i="14"/>
  <c r="T9" i="14"/>
  <c r="Q10" i="14"/>
  <c r="P11" i="14"/>
  <c r="Q11" i="14" s="1"/>
  <c r="F11" i="1"/>
  <c r="F12" i="1" s="1"/>
  <c r="H20" i="14"/>
  <c r="H21" i="14" s="1"/>
  <c r="H23" i="14" s="1"/>
  <c r="J33" i="1"/>
  <c r="Q2" i="14"/>
  <c r="Q4" i="14" s="1"/>
  <c r="M38" i="40" l="1"/>
  <c r="H38" i="40" s="1"/>
  <c r="D13" i="41"/>
  <c r="M27" i="40"/>
  <c r="D11" i="41"/>
  <c r="D15" i="4"/>
  <c r="I28" i="4"/>
  <c r="I29" i="4" s="1"/>
  <c r="G28" i="4"/>
  <c r="G29" i="4" s="1"/>
  <c r="K38" i="40"/>
  <c r="F16" i="38"/>
  <c r="I16" i="38" s="1"/>
  <c r="F15" i="38"/>
  <c r="I15" i="38" s="1"/>
  <c r="D19" i="26"/>
  <c r="M14" i="14"/>
  <c r="M20" i="14" s="1"/>
  <c r="I64" i="38"/>
  <c r="I14" i="2"/>
  <c r="I63" i="38"/>
  <c r="I86" i="38"/>
  <c r="I92" i="38"/>
  <c r="I51" i="38"/>
  <c r="I55" i="38"/>
  <c r="I80" i="38"/>
  <c r="I84" i="38"/>
  <c r="I90" i="38"/>
  <c r="I96" i="38"/>
  <c r="I98" i="38" s="1"/>
  <c r="I48" i="38"/>
  <c r="I40" i="38"/>
  <c r="I81" i="38"/>
  <c r="I87" i="38"/>
  <c r="I93" i="38"/>
  <c r="I45" i="38"/>
  <c r="I52" i="38"/>
  <c r="I79" i="38"/>
  <c r="I18" i="38"/>
  <c r="M17" i="40" s="1"/>
  <c r="D31" i="4"/>
  <c r="A4" i="26"/>
  <c r="A4" i="36" s="1"/>
  <c r="D9" i="41" l="1"/>
  <c r="J38" i="40"/>
  <c r="I38" i="40"/>
  <c r="G38" i="40"/>
  <c r="G42" i="40" s="1"/>
  <c r="H42" i="40" s="1"/>
  <c r="I17" i="40"/>
  <c r="H17" i="40"/>
  <c r="G17" i="40"/>
  <c r="K17" i="40"/>
  <c r="F17" i="40"/>
  <c r="F21" i="40" s="1"/>
  <c r="J17" i="40"/>
  <c r="G11" i="38"/>
  <c r="H11" i="38" s="1"/>
  <c r="I11" i="38" s="1"/>
  <c r="I12" i="38" s="1"/>
  <c r="I56" i="38"/>
  <c r="I62" i="38"/>
  <c r="I94" i="38"/>
  <c r="I88" i="38"/>
  <c r="I82" i="38"/>
  <c r="M12" i="40" l="1"/>
  <c r="K12" i="40" s="1"/>
  <c r="D8" i="41"/>
  <c r="I42" i="40"/>
  <c r="J42" i="40" s="1"/>
  <c r="K42" i="40" s="1"/>
  <c r="H33" i="40"/>
  <c r="G21" i="40"/>
  <c r="H21" i="40" s="1"/>
  <c r="I21" i="40" s="1"/>
  <c r="J21" i="40" s="1"/>
  <c r="K21" i="40" s="1"/>
  <c r="I35" i="38"/>
  <c r="I67" i="38"/>
  <c r="F72" i="38"/>
  <c r="I72" i="38" s="1"/>
  <c r="I66" i="38"/>
  <c r="F71" i="38"/>
  <c r="I71" i="38" s="1"/>
  <c r="D12" i="41"/>
  <c r="J12" i="40" l="1"/>
  <c r="H12" i="40"/>
  <c r="G12" i="40"/>
  <c r="F12" i="40"/>
  <c r="F16" i="40" s="1"/>
  <c r="G16" i="40" s="1"/>
  <c r="H16" i="40" s="1"/>
  <c r="I16" i="40" s="1"/>
  <c r="J16" i="40" s="1"/>
  <c r="K16" i="40" s="1"/>
  <c r="I12" i="40"/>
  <c r="K33" i="40"/>
  <c r="G33" i="40"/>
  <c r="I33" i="40"/>
  <c r="F33" i="40"/>
  <c r="F37" i="40" s="1"/>
  <c r="J33" i="40"/>
  <c r="I26" i="38"/>
  <c r="I36" i="38"/>
  <c r="G37" i="40" l="1"/>
  <c r="H37" i="40" s="1"/>
  <c r="I37" i="40" s="1"/>
  <c r="J37" i="40" s="1"/>
  <c r="K37" i="40" s="1"/>
  <c r="F43" i="40"/>
  <c r="F44" i="40" s="1"/>
  <c r="I68" i="38"/>
  <c r="I65" i="38" s="1"/>
  <c r="F73" i="38"/>
  <c r="I73" i="38" s="1"/>
  <c r="I70" i="38" s="1"/>
  <c r="I30" i="38"/>
  <c r="I34" i="38" l="1"/>
  <c r="I32" i="38"/>
  <c r="I75" i="38"/>
  <c r="I38" i="38" l="1"/>
  <c r="P2" i="14"/>
  <c r="I33" i="38" l="1"/>
  <c r="K27" i="40"/>
  <c r="I27" i="40"/>
  <c r="H27" i="40"/>
  <c r="G27" i="40"/>
  <c r="G31" i="40" s="1"/>
  <c r="J27" i="40"/>
  <c r="H31" i="40" l="1"/>
  <c r="I31" i="40" s="1"/>
  <c r="J31" i="40" s="1"/>
  <c r="K31" i="40" s="1"/>
  <c r="I39" i="38"/>
  <c r="I43" i="38" s="1"/>
  <c r="D10" i="41" l="1"/>
  <c r="I104" i="38"/>
  <c r="M22" i="40"/>
  <c r="H22" i="40" l="1"/>
  <c r="H43" i="40" s="1"/>
  <c r="J22" i="40"/>
  <c r="J43" i="40" s="1"/>
  <c r="M43" i="40"/>
  <c r="L22" i="40" s="1"/>
  <c r="G22" i="40"/>
  <c r="I22" i="40"/>
  <c r="I43" i="40" s="1"/>
  <c r="K22" i="40"/>
  <c r="K43" i="40" s="1"/>
  <c r="K45" i="40" l="1"/>
  <c r="J45" i="40"/>
  <c r="I45" i="40"/>
  <c r="H45" i="40"/>
  <c r="L27" i="40"/>
  <c r="L33" i="40"/>
  <c r="M48" i="40"/>
  <c r="L12" i="40"/>
  <c r="L17" i="40"/>
  <c r="F45" i="40"/>
  <c r="F46" i="40" s="1"/>
  <c r="L38" i="40"/>
  <c r="G26" i="40"/>
  <c r="H26" i="40" s="1"/>
  <c r="I26" i="40" s="1"/>
  <c r="J26" i="40" s="1"/>
  <c r="K26" i="40" s="1"/>
  <c r="G43" i="40"/>
  <c r="D14" i="41"/>
  <c r="L43" i="40" l="1"/>
  <c r="E11" i="41"/>
  <c r="E13" i="41"/>
  <c r="E9" i="41"/>
  <c r="E12" i="41"/>
  <c r="E8" i="41"/>
  <c r="E10" i="41"/>
  <c r="G45" i="40"/>
  <c r="G46" i="40" s="1"/>
  <c r="H46" i="40" s="1"/>
  <c r="I46" i="40" s="1"/>
  <c r="J46" i="40" s="1"/>
  <c r="K46" i="40" s="1"/>
  <c r="G44" i="40"/>
  <c r="H44" i="40" s="1"/>
  <c r="I44" i="40" s="1"/>
  <c r="J44" i="40" s="1"/>
  <c r="K44" i="40" s="1"/>
  <c r="E14" i="41" l="1"/>
  <c r="B331" i="39" l="1"/>
</calcChain>
</file>

<file path=xl/sharedStrings.xml><?xml version="1.0" encoding="utf-8"?>
<sst xmlns="http://schemas.openxmlformats.org/spreadsheetml/2006/main" count="1057" uniqueCount="512">
  <si>
    <t>DADOS DE ENTRADA</t>
  </si>
  <si>
    <t>Dimensões</t>
  </si>
  <si>
    <t>Rua</t>
  </si>
  <si>
    <t>Comprimento</t>
  </si>
  <si>
    <t>Largura</t>
  </si>
  <si>
    <t>Área</t>
  </si>
  <si>
    <t>m</t>
  </si>
  <si>
    <t>km</t>
  </si>
  <si>
    <t>m²</t>
  </si>
  <si>
    <t>TOTAL</t>
  </si>
  <si>
    <t>Distância Média de Transporte (DMT)</t>
  </si>
  <si>
    <t>h/dia</t>
  </si>
  <si>
    <t>dias/mês</t>
  </si>
  <si>
    <t>quant. Meses</t>
  </si>
  <si>
    <t>x</t>
  </si>
  <si>
    <t>L=</t>
  </si>
  <si>
    <t>H</t>
  </si>
  <si>
    <t>ENGENHEIRO CIVIL DE OBRA PLENO COM ENCARGOS COMPLEMENTARES</t>
  </si>
  <si>
    <t>ENCARREGADO GERAL COM ENCARGOS COMPLEMENTARES</t>
  </si>
  <si>
    <t>SINAPI</t>
  </si>
  <si>
    <t>SERVIÇOS PRELIMINARES</t>
  </si>
  <si>
    <t>SICRO</t>
  </si>
  <si>
    <t>001</t>
  </si>
  <si>
    <t>Quantidade</t>
  </si>
  <si>
    <t>M2</t>
  </si>
  <si>
    <t>UND</t>
  </si>
  <si>
    <t>M3</t>
  </si>
  <si>
    <t>M3XKM</t>
  </si>
  <si>
    <t>Comp.</t>
  </si>
  <si>
    <t>Lagura</t>
  </si>
  <si>
    <t>=</t>
  </si>
  <si>
    <t>comp.</t>
  </si>
  <si>
    <t>Espessura</t>
  </si>
  <si>
    <t>Total</t>
  </si>
  <si>
    <t>Empolamento (25%)</t>
  </si>
  <si>
    <t>ITEM</t>
  </si>
  <si>
    <t>2.1</t>
  </si>
  <si>
    <t>2.2</t>
  </si>
  <si>
    <t>2.3</t>
  </si>
  <si>
    <t>3.1</t>
  </si>
  <si>
    <t>4.1</t>
  </si>
  <si>
    <t>4.2</t>
  </si>
  <si>
    <t>4.3</t>
  </si>
  <si>
    <t>5.1</t>
  </si>
  <si>
    <t>5.2</t>
  </si>
  <si>
    <t>5.3</t>
  </si>
  <si>
    <t>6.1</t>
  </si>
  <si>
    <t>7.2</t>
  </si>
  <si>
    <t>OBS:</t>
  </si>
  <si>
    <t>7.1</t>
  </si>
  <si>
    <t>Total (m)</t>
  </si>
  <si>
    <t>Item</t>
  </si>
  <si>
    <t>TOTAL GERAL</t>
  </si>
  <si>
    <t>Largura (m)</t>
  </si>
  <si>
    <t>FONTE</t>
  </si>
  <si>
    <t>CÓDIGO</t>
  </si>
  <si>
    <t>EQUIPAMENTOS TRANSPORTADORES</t>
  </si>
  <si>
    <t>ORIGEM</t>
  </si>
  <si>
    <t>DESTINO</t>
  </si>
  <si>
    <t>K 
(Nº VIAGENS)</t>
  </si>
  <si>
    <t>DIST.</t>
  </si>
  <si>
    <t>VELOCIDADE  (KM/H)</t>
  </si>
  <si>
    <t>PREÇO UNIT.</t>
  </si>
  <si>
    <t>PREÇO TOTAL</t>
  </si>
  <si>
    <t>E9665</t>
  </si>
  <si>
    <t>CAVALO MECÂNICO COM SEMI-REBOQUE E CAPACIDADE DE 35 T - 210 KW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</si>
  <si>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</si>
  <si>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CAMINHÃO BASCULANTE 6 M3, PESO BRUTO TOTAL 16.000 KG, CARGA ÚTIL MÁXIMA 13.071 KG, DISTÂNCIA ENTRE EIXOS 4,80 M, POTÊNCIA 230 CV INCLUSIVE CAÇAMBA METÁLICA - CHP DIURNO. AF_06/2014</t>
  </si>
  <si>
    <t>CAMINHÃO BASCULANTE 10 M3, TRUCADO CABINE SIMPLES, PESO BRUTO TOTAL 23.000 KG, CARGA ÚTIL MÁXIMA 15.935 KG, DISTÂNCIA ENTRE EIXOS 4,80 M, POTÊNCIA 230 CV INCLUSIVE CAÇAMBA METÁLICA - CHP DIURNO. AF_06/2014</t>
  </si>
  <si>
    <t>CAMINHÃO PIPA 10.000 L TRUCADO, PESO BRUTO TOTAL 23.000 KG, CARGA ÚTIL MÁXIMA 15.935 KG, DISTÂNCIA ENTRE EIXOS 4,8 M, POTÊNCIA 230 CV, INCLUSIVE TANQUE DE AÇO PARA TRANSPORTE DE ÁGUA - CHP DIURNO. AF_06/2014</t>
  </si>
  <si>
    <t>ESPARGIDOR DE ASFALTO PRESSURIZADO, TANQUE 6 M3 COM ISOLAÇÃO TÉRMICA, AQUECIDO COM 2 MAÇARICOS, COM BARRA ESPARGIDORA 3,60 M, MONTADO SOBRE CAMINHÃO TOCO, PBT 14.300 KG, POTÊNCIA 185 CV - CHP DIURNO. AF_08/2015</t>
  </si>
  <si>
    <t>DESCRIÇÃO</t>
  </si>
  <si>
    <t>QUANT.</t>
  </si>
  <si>
    <t>VIAS</t>
  </si>
  <si>
    <t>Jazida aterro</t>
  </si>
  <si>
    <t>volume</t>
  </si>
  <si>
    <t>DMT</t>
  </si>
  <si>
    <t>RUA</t>
  </si>
  <si>
    <t>Comp. (m)</t>
  </si>
  <si>
    <t>COMP. TOTAL MEIO-FIO E SARJETA =</t>
  </si>
  <si>
    <t>CPU</t>
  </si>
  <si>
    <t>003</t>
  </si>
  <si>
    <t>BELEM</t>
  </si>
  <si>
    <t>REGIONAL</t>
  </si>
  <si>
    <t>X</t>
  </si>
  <si>
    <t>JAZIDA</t>
  </si>
  <si>
    <t>COMPOSIÇÃO</t>
  </si>
  <si>
    <t>UND.</t>
  </si>
  <si>
    <t>PREÇO (R$)</t>
  </si>
  <si>
    <t>UNITÁRIO</t>
  </si>
  <si>
    <t>VIGIA NOTURNO COM ENCARGOS COMPLEMENTARES</t>
  </si>
  <si>
    <t>MEMÓRIA DE CÁLCULO</t>
  </si>
  <si>
    <t>Ref.</t>
  </si>
  <si>
    <t>Engenheiro Civil</t>
  </si>
  <si>
    <t>Encarregado Geral</t>
  </si>
  <si>
    <t>Vigia noturno</t>
  </si>
  <si>
    <t>TOTAL=</t>
  </si>
  <si>
    <t>BOTA FORA</t>
  </si>
  <si>
    <t>USINA DE ASFALTO</t>
  </si>
  <si>
    <t>M</t>
  </si>
  <si>
    <t>SEDOP</t>
  </si>
  <si>
    <t>COMPOSIÇÃO DE PREÇO UNITÁRIO -  DESONERADA</t>
  </si>
  <si>
    <t>COEF.</t>
  </si>
  <si>
    <t>CUSTO UNIT.</t>
  </si>
  <si>
    <t>CUSTO TOTAL</t>
  </si>
  <si>
    <t>MOBILIZAÇÃO    -     DESONERADA</t>
  </si>
  <si>
    <t>CHP</t>
  </si>
  <si>
    <t>CHI</t>
  </si>
  <si>
    <t>acrescimo</t>
  </si>
  <si>
    <t>+</t>
  </si>
  <si>
    <t>4.4</t>
  </si>
  <si>
    <t>100323</t>
  </si>
  <si>
    <t>4.5</t>
  </si>
  <si>
    <t>4.6</t>
  </si>
  <si>
    <t>5.3.1</t>
  </si>
  <si>
    <t>Declividade (%)</t>
  </si>
  <si>
    <t>Comprimento (m)</t>
  </si>
  <si>
    <t>Profundidade (m)</t>
  </si>
  <si>
    <t>Total (m³)</t>
  </si>
  <si>
    <t>Rede principal</t>
  </si>
  <si>
    <t>Total (m²)</t>
  </si>
  <si>
    <t>Rede coletora</t>
  </si>
  <si>
    <t>99267</t>
  </si>
  <si>
    <t>8.1</t>
  </si>
  <si>
    <t>CONSIDERAR 5 CM DE CADA LADO, POIS SERÁ PAVIMENTADO EM CIMA DA SARJETA JÁ EXISTENTE</t>
  </si>
  <si>
    <t>7.3</t>
  </si>
  <si>
    <t>und</t>
  </si>
  <si>
    <t>COMPOSIÇÃO 008</t>
  </si>
  <si>
    <t>008</t>
  </si>
  <si>
    <t>EXECUÇÃO DE IMPRIMAÇÃO DE BASE DE PAVIMENTAÇÃO</t>
  </si>
  <si>
    <t>VASSOURA MECÂNICA REBOCÁVEL COM ESCOVA CILÍNDRICA, LARGURA ÚTIL DE VARRIMENTO DE 2,44 M - CHP DIURNO. AF_06/2014</t>
  </si>
  <si>
    <t xml:space="preserve"> 0,002</t>
  </si>
  <si>
    <t xml:space="preserve"> 5841 </t>
  </si>
  <si>
    <t>VASSOURA MECÂNICA REBOCÁVEL COM ESCOVA CILÍNDRICA, LARGURA ÚTIL DE VARRIMENTO DE 2,44 M - CHI DIURNO. AF_06/2014</t>
  </si>
  <si>
    <t xml:space="preserve"> 0,004</t>
  </si>
  <si>
    <t>ESPARGIDOR DE ASFALTO PRESSURIZADO, TANQUE 6 M3 COM ISOLAÇÃO TÉRMICA, AQUECIDO COM 2 MAÇARICOS, COM BARRA ESPARGIDORA 3,60 M, MONTADO SOBRE CAMINHÃO  TOCO, PBT 14.300 KG, POTÊNCIA 185 CV - CHP DIURNO. AF_08/2015</t>
  </si>
  <si>
    <t xml:space="preserve"> 0,001</t>
  </si>
  <si>
    <t>SERVENTE COM ENCARGOS COMPLEMENTARES</t>
  </si>
  <si>
    <t xml:space="preserve"> 0,0058</t>
  </si>
  <si>
    <t xml:space="preserve"> 89035 </t>
  </si>
  <si>
    <t>TRATOR DE PNEUS, POTÊNCIA 85 CV, TRAÇÃO 4X4, PESO COM LASTRO DE 4.675 KG - CHP DIURNO. AF_06/2014</t>
  </si>
  <si>
    <t xml:space="preserve"> 0,0017</t>
  </si>
  <si>
    <t xml:space="preserve"> 89036 </t>
  </si>
  <si>
    <t>TRATOR DE PNEUS, POTÊNCIA 85 CV, TRAÇÃO 4X4, PESO COM LASTRO DE 4.675 KG - CHI DIURNO. AF_06/2014</t>
  </si>
  <si>
    <t xml:space="preserve"> 0,0041</t>
  </si>
  <si>
    <t>ESPARGIDOR DE ASFALTO PRESSURIZADO, TANQUE 6 M3 COM ISOLAÇÃO TÉRMICA, AQUECIDO COM 2 MAÇARICOS, COM BARRA ESPARGIDORA 3,60 M, MONTADO SOBRE CAMINHÃO  TOCO, PBT 14.300 KG, POTÊNCIA 185 CV - CHI DIURNO. AF_08/2015</t>
  </si>
  <si>
    <t xml:space="preserve"> 0,0049</t>
  </si>
  <si>
    <t>Nome da via</t>
  </si>
  <si>
    <t xml:space="preserve">PAVIMENTAÇÃO ASFALTICA EM C.B.U.Q NA REGIÃO DO LAGO TUCURUI </t>
  </si>
  <si>
    <t>COTAÇÃO DE PREÇOS - 001</t>
  </si>
  <si>
    <t>CAP - VISCOSIDADE ABSOLUTA À 60ºC</t>
  </si>
  <si>
    <t>ESPECIFICAÇÕES 
(DIMENÇÕES/PESO)</t>
  </si>
  <si>
    <t>PREÇO POR KG</t>
  </si>
  <si>
    <t>CAP - 7</t>
  </si>
  <si>
    <t>CAP - 20</t>
  </si>
  <si>
    <t>CAP - 40</t>
  </si>
  <si>
    <t xml:space="preserve">CAP - Segundo ensaio de Penetração, 
realizado a 25ºC </t>
  </si>
  <si>
    <t>CAP - 30/45</t>
  </si>
  <si>
    <t>CAP - 50/70</t>
  </si>
  <si>
    <t>30 TON</t>
  </si>
  <si>
    <t>CAP - 85/100</t>
  </si>
  <si>
    <t>CAP - 55/75</t>
  </si>
  <si>
    <t>CAP - 150/200</t>
  </si>
  <si>
    <t>Asfalto Diluído</t>
  </si>
  <si>
    <t>CM ECOPRIME</t>
  </si>
  <si>
    <t>CR-70</t>
  </si>
  <si>
    <t>EAI CM ECOIMPRIMA</t>
  </si>
  <si>
    <t>CR-3000</t>
  </si>
  <si>
    <t>CM-30</t>
  </si>
  <si>
    <t>CM-70</t>
  </si>
  <si>
    <t>CM-250</t>
  </si>
  <si>
    <t>CM-800</t>
  </si>
  <si>
    <t>Emulsão Asfáltica</t>
  </si>
  <si>
    <t>RR-1C</t>
  </si>
  <si>
    <t>RR-2C</t>
  </si>
  <si>
    <t>RL-1C</t>
  </si>
  <si>
    <t>COTAÇÃO</t>
  </si>
  <si>
    <t>KG</t>
  </si>
  <si>
    <t>LARGURA</t>
  </si>
  <si>
    <t>COMPRIMENTO</t>
  </si>
  <si>
    <t>TUBO Ø</t>
  </si>
  <si>
    <t>POÇO DE VISITA (UND)</t>
  </si>
  <si>
    <t>UNID.</t>
  </si>
  <si>
    <t>P. TOTAL</t>
  </si>
  <si>
    <t>Execução de depósito em canteiro de obra em chapa de madeira compensada, não incluso mobiliário. AF 04/2016.</t>
  </si>
  <si>
    <t>Locação de pavimentação</t>
  </si>
  <si>
    <t>Escavação mecanizada de vala com profundidade maior que 1,5m até 3,0 m (média entremontante e jusante/uma composição por trecho) com retro escavadeira (capacidade da caçamba da retro: 0,26m³/potência:88HP), largura menor que 0,8m, em solo de 1º categoria, locais com baixo nível de interferência. AF_02/2021.</t>
  </si>
  <si>
    <t>m³</t>
  </si>
  <si>
    <t>Material de reaterro/reaproveitamento 30%.</t>
  </si>
  <si>
    <t>Reaterro mecanizado de vala com retroescavadeira (capacidade da caçamba da retro: 0,26 m³ / potência: 88 HP), largura de 0,8 A 1,5 m, profundidade até 1,5 m, com solo (sem substituição) de 1ª categoria em locais  com baixo  nível de interferência. AF_04/2016.</t>
  </si>
  <si>
    <t>Reposição de material de jazida, 70%.</t>
  </si>
  <si>
    <t>Carga, manobra e descarga de solos e materiais granulares em caminhão basculante 10 m³ - carga com pá carregadeira (caçamba de 1,7 a 2,8 m³ /128 HP) e descarga livre (unidade: m³). AF_07/2020</t>
  </si>
  <si>
    <t>Transporte com caminhão basculante de 10 m³, em via urbana pavimentada, adicional para DMT execente a 30 km (unidade: m³XKM). AF_07/2020 (DMT=20KM)</t>
  </si>
  <si>
    <t>00006079.</t>
  </si>
  <si>
    <t>Argila, argila vermelha ou argila arenosa (retirada na jazida, sem transporte).</t>
  </si>
  <si>
    <t>Bota Fora</t>
  </si>
  <si>
    <t>Transporte com caminhão basculante de 10 m³, em via urbana pavimentada, adicional para DMT execente a 30 km (unidade: m³XKM). AF_07/2020 (DMT=10KM)</t>
  </si>
  <si>
    <t>Guia (meio-fio) e sarjeta conjugados de concreto, moldada in loco trecho reto extrusora, 45 cm base (15 cm base da guia + 30 cm da sarjeta) X 22 cm altura. AF_06/2016.</t>
  </si>
  <si>
    <t>m.</t>
  </si>
  <si>
    <t>Execução de boca de lobo em concreto conforme em projeto</t>
  </si>
  <si>
    <t>Caixa para boca de lobo simples retangular, em concreto pré-moldado, dimensões internas: 0,6x1,0x1,2m.</t>
  </si>
  <si>
    <t>Un.</t>
  </si>
  <si>
    <t xml:space="preserve">Fornecimento </t>
  </si>
  <si>
    <t>00007745.</t>
  </si>
  <si>
    <t>Tubo de concreto armado para águas pluviais, classe PA-1, com encaixe ponta e bolsa, diâmetro nominal de 400mm.</t>
  </si>
  <si>
    <t>00007725.</t>
  </si>
  <si>
    <t>Tubo de concreto armado para águas pluviais, classe PA-1, com encaixe ponta e bolsa, diâmetro nominal de 600mm.</t>
  </si>
  <si>
    <t>00007750.</t>
  </si>
  <si>
    <t>Tubo de concreto armado para águas pluviais, classe PA-1, com encaixe ponta e bolsa, diâmetro nominal de 800mm.</t>
  </si>
  <si>
    <t>Assentamento</t>
  </si>
  <si>
    <t>Assentamento de tubo de concreto para redes coletoras de águas pluviais, diâmetro de 400mm, junta rígida, instalado em local com baixo nível de interferência (não inclui fornecimento). AF_ 12/2015.</t>
  </si>
  <si>
    <t>Assentamento de tubo de concreto para redes coletoras de águas pluviais, diâmetro de 600mm, junta rígida, instalado em local com baixo nível de interferência (não inclui fornecimento). AF_ 12/2015.</t>
  </si>
  <si>
    <t>Assentamento de tubo de concreto para redes coletoras de águas pluviais, diâmetro de 800mm, junta rígida, instalado em local com baixo nível de interferência (não inclui fornecimento). AF_ 12/2015.</t>
  </si>
  <si>
    <t xml:space="preserve">SERVIÇOS DE TERRAPLENAGEM </t>
  </si>
  <si>
    <t>06.01</t>
  </si>
  <si>
    <t>Escavação horizontal em solo de  1a  categoria com trator de esteiras ( 100HP/Lâmina: 2,19M3). AF_07/2020</t>
  </si>
  <si>
    <t>Carga , manobra e descarga de solos e materiais granulados em caminhão basculante 6 m³ -  carga com pá carregadeira caçamba  1,7 A 2,8 m³ / 128 HP)e descarga livre (Unidade: m³). AF_07/2020</t>
  </si>
  <si>
    <t>Transporte com caminhão basculante  de 10 m³, em via pavimentada, DMT até 30 KM (DMT=10KM).</t>
  </si>
  <si>
    <t>Execução e compactação de base e ou sub base para pavimentação de solos de comportamento laterelítico (arenoso) - exclusive solo, carga, descarga e transporte. AF_11/2019</t>
  </si>
  <si>
    <t>Transporte com caminhão basculante  de 10 m³, em via pavimentada, DMT até 30 KM (DMT=20KM).</t>
  </si>
  <si>
    <t>08.01.01</t>
  </si>
  <si>
    <t>08.01.02</t>
  </si>
  <si>
    <t>08.01.03</t>
  </si>
  <si>
    <t>SERVIÇOS DE REVESTIMENTOS EM CBUQ</t>
  </si>
  <si>
    <t>Execução de imprimação com asfalto diluído CM-30, AF_09/2017.</t>
  </si>
  <si>
    <t>Pintura de ligação com emulsão RR-2C.</t>
  </si>
  <si>
    <t>Execução de Pavimento com aplicação de concreto betuminoso usinado a quente (CBUQ), camada de rolamento, com espessura de 3,0 cm exclusive transporte. AF_03/2017.</t>
  </si>
  <si>
    <t>Transporte com caminhão basculante de 10 m³, em rodovia pavimentada. (DMT= 25Km).</t>
  </si>
  <si>
    <t xml:space="preserve">CONTROLE TECNOLÓGICO </t>
  </si>
  <si>
    <t>Ensaios de base estabilizada granulometricamente</t>
  </si>
  <si>
    <t>Ensaio de índice de suporte california - amostras não trabalhadas - energia normal - solos.</t>
  </si>
  <si>
    <t>LIMPEZA FINAL</t>
  </si>
  <si>
    <t>Limpeza Final de alta pressão.AF_04/2019</t>
  </si>
  <si>
    <t>Transporte com caminhão basculante de 10 m³, em via urbana pavimentada, adicional para DMT execente a 30 km (unidade: m³XKM). AF_07/2020 (DMT=20KM).</t>
  </si>
  <si>
    <t>m³xkm</t>
  </si>
  <si>
    <t>Unid.</t>
  </si>
  <si>
    <t>Adminstração da obra para regional.</t>
  </si>
  <si>
    <t xml:space="preserve">                                   1                  ADMINISTRAÇÃO DA OBRA</t>
  </si>
  <si>
    <t>Placa de obra  em lona com plotagem de gráfica.</t>
  </si>
  <si>
    <t>C. UNIT. (sem BDI) (R$)</t>
  </si>
  <si>
    <t>PREÇO UNIT (com BDI ) (R$)</t>
  </si>
  <si>
    <t xml:space="preserve">PLANILHA ORÇAMENTÁRIA DESONERADA - BDI 27,46 % </t>
  </si>
  <si>
    <t>SINAPI :NOV/2021</t>
  </si>
  <si>
    <t>SEDOP: SET/2021</t>
  </si>
  <si>
    <t>TOTAL  ITEM 01</t>
  </si>
  <si>
    <t>TOTAL ITEM 02</t>
  </si>
  <si>
    <t xml:space="preserve">                               3                      MOBILIZAÇÃO E DESMOBILIZAÇÃO</t>
  </si>
  <si>
    <t>Mobilização e desmobilização da obra.</t>
  </si>
  <si>
    <t>SICRO JUL/2021</t>
  </si>
  <si>
    <t>TOTAL ITEM 03</t>
  </si>
  <si>
    <t>Escavação mecanizada de vala com prof. até 1,50m (média montante e jusante/uma composição por trecho), escavadeira (0,8 m³), larg. de 1,5 m a 2,5 m, em solo de 1ª categoria, em locais locais com alto nível de interferência. AF_02/2021.</t>
  </si>
  <si>
    <t>FATOR DE UTILIZAÇÃO</t>
  </si>
  <si>
    <t>Escavação mecanizada de vala com profundidade 3,0 m até 4,50m (média entremontante e jusante/uma composição por trecho) escavadeira (1,2 m3), larg. de
 1,5 m a 2,5 m, em solo de 1ª categoria, em locais com alto nível de interferência. AF_02/2021</t>
  </si>
  <si>
    <t>4.4.1</t>
  </si>
  <si>
    <t>4.6.1</t>
  </si>
  <si>
    <t>4.6.2</t>
  </si>
  <si>
    <t>4.6.3</t>
  </si>
  <si>
    <t>05.01</t>
  </si>
  <si>
    <t>05.02</t>
  </si>
  <si>
    <t>05.03</t>
  </si>
  <si>
    <t>05.05</t>
  </si>
  <si>
    <t>TOTAL DO ITEM 4</t>
  </si>
  <si>
    <t>TOTAL DO ITEM 5</t>
  </si>
  <si>
    <t>TOTAL DO ITEM 6</t>
  </si>
  <si>
    <t>7.1.1</t>
  </si>
  <si>
    <t>7.1.2</t>
  </si>
  <si>
    <t>SINAPI (DEZ/2017)</t>
  </si>
  <si>
    <t xml:space="preserve">                                 2                  SERVIÇOS PRELIMINARES </t>
  </si>
  <si>
    <t>7.2.1</t>
  </si>
  <si>
    <t>7.2.2</t>
  </si>
  <si>
    <t>7.2.3</t>
  </si>
  <si>
    <t>7.3.1</t>
  </si>
  <si>
    <t>7.3.2</t>
  </si>
  <si>
    <t>7.3.3</t>
  </si>
  <si>
    <t>TOTAL DO ITEM 7</t>
  </si>
  <si>
    <t>08.01</t>
  </si>
  <si>
    <t>05.03.1</t>
  </si>
  <si>
    <t>TOTAL DO ITEM 8.1</t>
  </si>
  <si>
    <t>08.02.01</t>
  </si>
  <si>
    <t>08.02.02</t>
  </si>
  <si>
    <t>08.02.03</t>
  </si>
  <si>
    <t>08.02.04</t>
  </si>
  <si>
    <t>TOTAL DO ITEM 8.2</t>
  </si>
  <si>
    <t>08.02</t>
  </si>
  <si>
    <t>08.04</t>
  </si>
  <si>
    <t>08.04.01</t>
  </si>
  <si>
    <t>08.04.02</t>
  </si>
  <si>
    <t>08.04.03</t>
  </si>
  <si>
    <t>08.04.04</t>
  </si>
  <si>
    <t xml:space="preserve">74021/006 </t>
  </si>
  <si>
    <t xml:space="preserve">74022/019 </t>
  </si>
  <si>
    <t>08.05</t>
  </si>
  <si>
    <t>08.05.01</t>
  </si>
  <si>
    <t>08.05.02</t>
  </si>
  <si>
    <t>TOTAL DO ITEM 9</t>
  </si>
  <si>
    <t>TOTAL DO ITEM 8.4</t>
  </si>
  <si>
    <t>TOTAL DO ITEM 8.5</t>
  </si>
  <si>
    <t>TOTAL DO ITEM 8</t>
  </si>
  <si>
    <t>09.01</t>
  </si>
  <si>
    <t xml:space="preserve">                              06                             SERVIÇOS DE DRENAGEM SUPERFICIAL</t>
  </si>
  <si>
    <t xml:space="preserve">                               08                            IMPLANTAÇÃO DE AÇÃO DA PAVIMENTAÇÃO ASFÁLTICA</t>
  </si>
  <si>
    <t xml:space="preserve">                               09                             SERVIÇOS DE LIMPEZA GERAL</t>
  </si>
  <si>
    <t>4.5.1</t>
  </si>
  <si>
    <t>4.5.2</t>
  </si>
  <si>
    <t>4.5.3</t>
  </si>
  <si>
    <t>4.5.4</t>
  </si>
  <si>
    <t>Profundidade (m) Inicial</t>
  </si>
  <si>
    <t>Profundidade (m) Final</t>
  </si>
  <si>
    <t>Profundidade (m) Média</t>
  </si>
  <si>
    <t>600 (PV1 - PV2)</t>
  </si>
  <si>
    <t>Largura da vala (m)</t>
  </si>
  <si>
    <t>600 (PV2-PV3)</t>
  </si>
  <si>
    <t>600 (PV3-PV4)</t>
  </si>
  <si>
    <t>600 (PV4-PV5)</t>
  </si>
  <si>
    <t>600 (PV5-PV6)</t>
  </si>
  <si>
    <t>(INCLUSO NA EXTENSÃO)</t>
  </si>
  <si>
    <t>Material de reaterro /reaproveitamento 30%.</t>
  </si>
  <si>
    <t>REAPROV. (30%)</t>
  </si>
  <si>
    <t>ESCAVAÇÃO ATÉ 1,50 m (m³)</t>
  </si>
  <si>
    <t>ESCAVAÇÃO DE 1,50 m A 3,0 m (m³)</t>
  </si>
  <si>
    <t>ESCAVAÇÃO 3,0 ATÉ 4,50M (m³)</t>
  </si>
  <si>
    <t>Material de reaterro /reaproveitamento 70%.</t>
  </si>
  <si>
    <t>Carga, manobra e descarga de solos e materiais granulares em caminhão basculante 10 m³ - carga com pá carregadeira (caçamba de 1,7 a 2,8 m³/128HP) e descarga livre (unidade:m³).AF_07/2020.</t>
  </si>
  <si>
    <t>M³</t>
  </si>
  <si>
    <t>REAPROV. (70%)</t>
  </si>
  <si>
    <t>REAPROVEITAMENTO (70%)</t>
  </si>
  <si>
    <t>DMT (KM)</t>
  </si>
  <si>
    <t>TRANSPORTE (m³ x KM)</t>
  </si>
  <si>
    <t>CARGA, MANOBRA E DESCARGA.</t>
  </si>
  <si>
    <t>ARGILA (m³)</t>
  </si>
  <si>
    <t>Preparo de fundo de vala com largura maior ou igual a 1,5m e menor que 2,5m (acerto de solo natural). AF_08/2020.</t>
  </si>
  <si>
    <t>4.5.5</t>
  </si>
  <si>
    <t>Lastro com material granular (areia média), aplicado em pisos ou lajes sobre solo, espessura de *10 cm*. AF_07/2019</t>
  </si>
  <si>
    <t>CARGA, MANOBRA E DESCARGA DE SOLOS E MATERAIS GRANULARES EM CAMINHÃO BASCULANTE 10 m³ - CARGA COM PÁ CARREGADEIRA (CAÇAMBA DE 1,7 a 2,8 m³ /128 HP) E DESCARGA LIVRE (UNIDADE: m³). AF_07/2020</t>
  </si>
  <si>
    <t>TRANSPORTE COM CAMINHÃO BASCULANTE DE 10 m³, EM VIA URBANA PAVIMENTADA, ADICIONAL PARA DMT EXCEDENTE A 30 km (unidade: m³XKM). AF_07/2020 (DMT=10KM)</t>
  </si>
  <si>
    <t>CARGA, MANOBRA E DESCARGA DE SOLOS E MATERIAIS... (m³)</t>
  </si>
  <si>
    <t>MEMÓRIA DO POÇO DE VISITA</t>
  </si>
  <si>
    <t>5.0</t>
  </si>
  <si>
    <t>LARGURA (m)</t>
  </si>
  <si>
    <t>TOTAL (M³)</t>
  </si>
  <si>
    <t>PV 1 - 600</t>
  </si>
  <si>
    <t xml:space="preserve"> PV Ø (MM)</t>
  </si>
  <si>
    <t>PV 2 - 600</t>
  </si>
  <si>
    <t>PV 3 - 600</t>
  </si>
  <si>
    <t>PV 4 - 600</t>
  </si>
  <si>
    <t>PV 5- 600</t>
  </si>
  <si>
    <t>PV 6- 600</t>
  </si>
  <si>
    <t>PROFUNDIDADE  CONSIDERADA (M)</t>
  </si>
  <si>
    <t>ESCAVAÇÃO DE 3,0 m a 4,5 (m³)</t>
  </si>
  <si>
    <t>5.4</t>
  </si>
  <si>
    <t>Reposição de material de jazida - 70%.</t>
  </si>
  <si>
    <t>5.4.1</t>
  </si>
  <si>
    <t>05.04</t>
  </si>
  <si>
    <t>05.04.1</t>
  </si>
  <si>
    <t>05.04.2</t>
  </si>
  <si>
    <t>05.04.3</t>
  </si>
  <si>
    <t>05.05.1</t>
  </si>
  <si>
    <t>05.05.2</t>
  </si>
  <si>
    <t>5.4.2</t>
  </si>
  <si>
    <t>5.4.3</t>
  </si>
  <si>
    <t>5.5</t>
  </si>
  <si>
    <t>5.5.1</t>
  </si>
  <si>
    <t>5.5.2</t>
  </si>
  <si>
    <t>EMPOLAMENTO (25%)</t>
  </si>
  <si>
    <t>6.0</t>
  </si>
  <si>
    <t>SERVIÇO DE DRENAGEM SUPERFICIAL</t>
  </si>
  <si>
    <t>ESTRADA DO GUAJARÁ</t>
  </si>
  <si>
    <t>7.0</t>
  </si>
  <si>
    <t>DISPOSITIVOS DE DRENAGEM PROFUNDA</t>
  </si>
  <si>
    <t>Base para poço de visita retangular para drenagem, em alvenaria com blocos de concreto, dimensões internas = 1X2,5 M, profundidade = 1,45 M, excluindo tampão. AF_12/2020</t>
  </si>
  <si>
    <t>CAIXA PARA BOCA DE LOBO SIMPLES RETANGULAR, EM CONCRETO PRÉ-MOLDADO, DIMENSÕES INTERNAS:0,60x1,0x1,20m.</t>
  </si>
  <si>
    <t>Fornecimento</t>
  </si>
  <si>
    <t xml:space="preserve">7.2.1 </t>
  </si>
  <si>
    <t>SERVIÇOS DE TERRAPLENAGEM</t>
  </si>
  <si>
    <t>8.1.1</t>
  </si>
  <si>
    <t>PAVIMENTAÇÃO ASFÁLTICA</t>
  </si>
  <si>
    <t>Largura da faixa de Terraplenagem. (m)</t>
  </si>
  <si>
    <t>Espessura de Corte do Sub leito.(m)</t>
  </si>
  <si>
    <t>Espessura de Corte.(m)</t>
  </si>
  <si>
    <t>VOLUME DE ESCAVAÇÃO=</t>
  </si>
  <si>
    <t>8.1.2</t>
  </si>
  <si>
    <t>VOLUME DE MATERIAL =</t>
  </si>
  <si>
    <t>8.1.3</t>
  </si>
  <si>
    <t>VOLUME DE CORTE</t>
  </si>
  <si>
    <t>Total (m³xKm)</t>
  </si>
  <si>
    <t>8.2</t>
  </si>
  <si>
    <t>8.2.1</t>
  </si>
  <si>
    <t>Largura da faixa Primária(m)</t>
  </si>
  <si>
    <t>Espessura da base.(m)</t>
  </si>
  <si>
    <t>Espessura de Sub base.(m)</t>
  </si>
  <si>
    <t>VOLUME DE MATERIAL A SER COMPACTADO=</t>
  </si>
  <si>
    <t>8.2.2</t>
  </si>
  <si>
    <t>8.2.3</t>
  </si>
  <si>
    <t>VOLUME DE MATERIAL (M³)</t>
  </si>
  <si>
    <t>TOTAL (M³xKM)</t>
  </si>
  <si>
    <t>DMT (km)</t>
  </si>
  <si>
    <t>8.2.4</t>
  </si>
  <si>
    <t>8.4</t>
  </si>
  <si>
    <t>SERVIÇOS DE REVESTIMENTO EM CBUQ</t>
  </si>
  <si>
    <t>8.4.1</t>
  </si>
  <si>
    <t>Largura da faixa de Revestimento(m)</t>
  </si>
  <si>
    <t>IMPRIMAÇÃO=</t>
  </si>
  <si>
    <t>8.4.2</t>
  </si>
  <si>
    <t>PINTURA DE LIGAÇÃO=</t>
  </si>
  <si>
    <t>8.4.3</t>
  </si>
  <si>
    <t>8.4.4</t>
  </si>
  <si>
    <t>M³xKM</t>
  </si>
  <si>
    <t>8.5</t>
  </si>
  <si>
    <t>CONTROLE TECNOLÓGICO</t>
  </si>
  <si>
    <t>8.5.1</t>
  </si>
  <si>
    <t>8.5.2</t>
  </si>
  <si>
    <t>Nº de pontos</t>
  </si>
  <si>
    <t>Nº DE PONTOS</t>
  </si>
  <si>
    <t>TOTAL (m²)</t>
  </si>
  <si>
    <t>CARGA, MANOBRA E DESCARGA DE SOLOS E MATERAIS GRANULARES EM CAMINHÃO BASCULANTE 10 m³ - CARGA COM PÁ CARREGADEIRA (CAÇAMBA DE 1,7 a 2,8 m³ /128 HP) E DESCARGA LIVRE (UNIDADE: m³). AF_07/2020.</t>
  </si>
  <si>
    <t>TRANSPORTE COM CAMINHÃO BASCULANTE DE 10 m³, EM VIA URBANA PAVIMENTADA, ADICIONAL PARA DMT EXCEDENTE A 30 km (unidade: m³XKM). AF_07/2020 (DMT=10KM).</t>
  </si>
  <si>
    <t>BDI</t>
  </si>
  <si>
    <t>LARGURA DA VALA (M)</t>
  </si>
  <si>
    <t>4.6.4</t>
  </si>
  <si>
    <t>4.6.5</t>
  </si>
  <si>
    <t>Escoramento de vala tipo pontaleteamento, com profundidade de 0 a 1,5 m, largura maior ou igual a que 1,5 m e menor que 2,5m. AF_08/2020.(Reaproveitamento 3x)</t>
  </si>
  <si>
    <t>Escoramento de vala tipo pontaleteamento, com profundidade de 1,5 a 3,0 m, largura maior ou igual a que 1,5 m, e menor que 2,5m. AF_08/2020.(Reaproveitamento 3x)</t>
  </si>
  <si>
    <t>Escoramento de vala tipo pontaleteamento, com profundidade de 3,0 a 4,5 m, largura maior ou igual a que 1,5 m, e menor que 2,5m. AF_08/2020.(Reaproveitamento 3x)</t>
  </si>
  <si>
    <t>COMPRIMENTO (M)</t>
  </si>
  <si>
    <t>TOTAL (M²)</t>
  </si>
  <si>
    <t>TOTAL DO ESCORAMENTO=</t>
  </si>
  <si>
    <t>REAPROVEITAMENTO (3X)</t>
  </si>
  <si>
    <t>TOTAL 1=</t>
  </si>
  <si>
    <t>TOTAL 2=</t>
  </si>
  <si>
    <t>TOTAL 1+2=</t>
  </si>
  <si>
    <t>VOLUME DE ESCAVAÇÃO (M³)</t>
  </si>
  <si>
    <t>M³xkm</t>
  </si>
  <si>
    <t xml:space="preserve">                              07                             DISPOSITIVOS DE DRENAGEM PROFUNDA</t>
  </si>
  <si>
    <t>800 (PV6-PV7)</t>
  </si>
  <si>
    <t>Prof. Média (m)</t>
  </si>
  <si>
    <t>PROF.MÉDIA (M)</t>
  </si>
  <si>
    <t>Prof.Média (m)</t>
  </si>
  <si>
    <t>LADO DIREITO</t>
  </si>
  <si>
    <t>LADO ESQUERDO</t>
  </si>
  <si>
    <t>7.2.4</t>
  </si>
  <si>
    <t>7.3.4</t>
  </si>
  <si>
    <t>TUBO Ø (mm)</t>
  </si>
  <si>
    <t>00007766.</t>
  </si>
  <si>
    <t>Tubo de concreto armado para águas pluviais, classe PA-1, com encaixe ponta e bolsa, diâmetro nominal de 1200mm.</t>
  </si>
  <si>
    <t>Assentamento de tubo de concreto para redes coletoras de águas pluviais, diâmetro de 1200mm, junta rígida, instalado em local com baixo nível de interferência (não inclui fornecimento). AF_ 12/2015.</t>
  </si>
  <si>
    <t>SINAPI : NOV/2021</t>
  </si>
  <si>
    <t>PREFEITURA MUNICIPAL DE ANANINDEUA</t>
  </si>
  <si>
    <t>OBRAS</t>
  </si>
  <si>
    <t>DESCRIÇÃO DAS METAS</t>
  </si>
  <si>
    <t>MESES</t>
  </si>
  <si>
    <t>PERCENTUAL (%)</t>
  </si>
  <si>
    <t>TOTAL (R$)</t>
  </si>
  <si>
    <t>PRIMEIRO</t>
  </si>
  <si>
    <t>SEGUNDO</t>
  </si>
  <si>
    <t>TERCEIRO</t>
  </si>
  <si>
    <t>QUARTO</t>
  </si>
  <si>
    <t>QUINTO</t>
  </si>
  <si>
    <t>SEXTO</t>
  </si>
  <si>
    <t>SIMPLES (%)</t>
  </si>
  <si>
    <t>ACUMULADOS (%)</t>
  </si>
  <si>
    <t>ACUMULADO (R$)</t>
  </si>
  <si>
    <t>VALORES (R$)</t>
  </si>
  <si>
    <t>SIMPLES NO MÊS</t>
  </si>
  <si>
    <t>ACUMULADOS</t>
  </si>
  <si>
    <t>PERCENTUAL %</t>
  </si>
  <si>
    <t>SIMPLES</t>
  </si>
  <si>
    <t>ADMINISTRAÇÃO DE OBRA</t>
  </si>
  <si>
    <t>SERVIÇOS PRELIMINARES/MOBILIZAÇÃO E DESMOBILIZAÇÃO</t>
  </si>
  <si>
    <t>MOVIMENTO DE TERRA DE GALERIAS/MOVIMENTO DE TERRA DOS PVS/ DISPOSITIVOS DE DRENAGEM PROFUNDA.</t>
  </si>
  <si>
    <t>SERVIÇOS DE DRENAGEM SUPERFICIAL</t>
  </si>
  <si>
    <t>MOVIMENTO DE TERRA DA GALERIA</t>
  </si>
  <si>
    <t>QUADRO DE VALOR PERCENTUAL DO SERVIÇO EM RELAÇÃO A OBRA.</t>
  </si>
  <si>
    <t>Serviços</t>
  </si>
  <si>
    <t>Und.</t>
  </si>
  <si>
    <t>Valor Total do Serviço</t>
  </si>
  <si>
    <t>Percentual sobre o Valor total da Obra</t>
  </si>
  <si>
    <t xml:space="preserve"> Administração da Obra</t>
  </si>
  <si>
    <t>Limpeza Final</t>
  </si>
  <si>
    <t>TOTAL DA OBRA</t>
  </si>
  <si>
    <t>Serviços Preliminares Gerais /Mobilização da obra</t>
  </si>
  <si>
    <t>Movimento de Terra das Galerias/Movimento de Terra dos Pvs/Dispositivos de Drenagem Profunda.</t>
  </si>
  <si>
    <t>Drenagem Superficial</t>
  </si>
  <si>
    <t>M²</t>
  </si>
  <si>
    <t xml:space="preserve"> </t>
  </si>
  <si>
    <t xml:space="preserve">                              4                     MOVIMENTO DE TERRA DA GALERIA - PROFUNDA</t>
  </si>
  <si>
    <t xml:space="preserve">                              05                    MOVIMENTO DE TERRA DE POÇO DE VISITA - (PV)</t>
  </si>
  <si>
    <t>SERVIÇOS DE CAIXA PRIMÁRIA - BASE E SUB BASE</t>
  </si>
  <si>
    <t>BEM VIVER</t>
  </si>
  <si>
    <t>1200 (PV11-PV12)</t>
  </si>
  <si>
    <t>1200 (PV10-PV11)</t>
  </si>
  <si>
    <t>800 (PV7-PV8)</t>
  </si>
  <si>
    <t>1200 (PV12-PV13)</t>
  </si>
  <si>
    <t>1200 (PV13-PVL1)</t>
  </si>
  <si>
    <t>800 (PV8-PV9)</t>
  </si>
  <si>
    <t>PV 7- 800</t>
  </si>
  <si>
    <t>PV11- 1200</t>
  </si>
  <si>
    <t>PV 12- 1200</t>
  </si>
  <si>
    <t>PVL-1200</t>
  </si>
  <si>
    <t>PV 8 - 800</t>
  </si>
  <si>
    <t>PV 9 -1200</t>
  </si>
  <si>
    <t>PV 12 - 1200</t>
  </si>
  <si>
    <t>PV 13 -1200</t>
  </si>
  <si>
    <t>1200 (PV9-PV10)</t>
  </si>
  <si>
    <t>VIA DO CONDOMÍNIO BEM VIVER</t>
  </si>
  <si>
    <t>800x7,90x(0,15+0,03)=</t>
  </si>
  <si>
    <t>900x7,90x(0,15*0,03)=</t>
  </si>
  <si>
    <t>800x6,60x0,15=</t>
  </si>
  <si>
    <t>EXECUÇÃO DOS SERVIÇOS DE DRENAGEM E PAVIMENTAÇÃO ASFÁLTICA  - BEM VIVER</t>
  </si>
  <si>
    <t xml:space="preserve"> CRONOGRAMA FÍSICO-FINANCEIRO - EXECUÇÃO DOS SERVIÇOS DE DRENAGEM E PAVIMENTAÇÃO ASFÁLTICA - BEM VIVER</t>
  </si>
  <si>
    <t>SERVIÇOS DE TERRAPLENAGEM, CAIXA PRIMÁRIA/SERVIÇOS DE PAVIMENTAÇÃO ASFÁLTICA E CONTROLE TECNOLÓGICO.</t>
  </si>
  <si>
    <t>Terraplenagem/Caixa Primária/Pavimentação Asfáltica/Controle Tecnológico.</t>
  </si>
  <si>
    <t>VIA- BEM VIVER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</si>
</sst>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_(&quot;R$&quot;* #,##0.00_);_(&quot;R$&quot;* \(#,##0.00\);_(&quot;R$&quot;* &quot;-&quot;??_);_(@_)"/>
    <numFmt numFmtId="168" formatCode="_([$€]* #,##0.00_);_([$€]* \(#,##0.00\);_([$€]* &quot;-&quot;??_);_(@_)"/>
    <numFmt numFmtId="169" formatCode="###0;###0"/>
    <numFmt numFmtId="170" formatCode="###0.0;###0.0"/>
    <numFmt numFmtId="171" formatCode="&quot;R$&quot;\ #,##0.00"/>
    <numFmt numFmtId="172" formatCode="_([$€-2]* #,##0.00_);_([$€-2]* \(#,##0.00\);_([$€-2]* &quot;-&quot;??_)"/>
    <numFmt numFmtId="173" formatCode="#,"/>
    <numFmt numFmtId="174" formatCode="#,#00"/>
    <numFmt numFmtId="175" formatCode="%#,#00"/>
    <numFmt numFmtId="176" formatCode="#.##000"/>
    <numFmt numFmtId="177" formatCode="_-[$R$-416]\ * #,##0.00_-;\-[$R$-416]\ * #,##0.00_-;_-[$R$-416]\ * &quot;-&quot;??_-;_-@_-"/>
    <numFmt numFmtId="178" formatCode="_(* #,##0.00_);_(* \(#,##0.00\);_(* \-??_);_(@_)"/>
    <numFmt numFmtId="179" formatCode="d&quot;.&quot;"/>
    <numFmt numFmtId="180" formatCode="#,##0.0000"/>
    <numFmt numFmtId="181" formatCode="0.000"/>
    <numFmt numFmtId="182" formatCode="0.0"/>
    <numFmt numFmtId="183" formatCode="_(* #,##0.000_);_(* \(#,##0.000\);_(* &quot;-&quot;??_);_(@_)"/>
    <numFmt numFmtId="184" formatCode="###0.00;###0.00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1"/>
      <name val="Century Gothic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b/>
      <sz val="1"/>
      <color indexed="16"/>
      <name val="Courier"/>
      <family val="3"/>
    </font>
    <font>
      <sz val="1"/>
      <color indexed="18"/>
      <name val="Courier"/>
      <family val="3"/>
    </font>
    <font>
      <vertAlign val="superscript"/>
      <sz val="9"/>
      <name val="Courier New"/>
      <family val="3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b/>
      <sz val="16"/>
      <name val="Arial"/>
      <family val="2"/>
    </font>
    <font>
      <b/>
      <sz val="12"/>
      <color rgb="FF000000"/>
      <name val="Times New Roman"/>
      <family val="1"/>
    </font>
    <font>
      <sz val="10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202124"/>
      <name val="Arial"/>
      <family val="2"/>
    </font>
    <font>
      <b/>
      <sz val="11"/>
      <color rgb="FFC00000"/>
      <name val="Arial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9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8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/>
    <xf numFmtId="0" fontId="4" fillId="0" borderId="0"/>
    <xf numFmtId="168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167" fontId="29" fillId="0" borderId="0" applyFont="0" applyFill="0" applyBorder="0" applyAlignment="0" applyProtection="0"/>
    <xf numFmtId="0" fontId="29" fillId="0" borderId="0"/>
    <xf numFmtId="0" fontId="4" fillId="0" borderId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1" fillId="0" borderId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" fontId="32" fillId="0" borderId="7" applyNumberFormat="0" applyBorder="0" applyAlignment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8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0" fontId="2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6" borderId="0" applyNumberFormat="0" applyBorder="0" applyAlignment="0" applyProtection="0"/>
    <xf numFmtId="0" fontId="42" fillId="40" borderId="0" applyNumberFormat="0" applyBorder="0" applyAlignment="0" applyProtection="0"/>
    <xf numFmtId="0" fontId="18" fillId="8" borderId="0" applyNumberFormat="0" applyBorder="0" applyAlignment="0" applyProtection="0"/>
    <xf numFmtId="0" fontId="43" fillId="57" borderId="38" applyNumberFormat="0" applyAlignment="0" applyProtection="0"/>
    <xf numFmtId="0" fontId="23" fillId="12" borderId="32" applyNumberFormat="0" applyAlignment="0" applyProtection="0"/>
    <xf numFmtId="0" fontId="25" fillId="13" borderId="35" applyNumberFormat="0" applyAlignment="0" applyProtection="0"/>
    <xf numFmtId="0" fontId="24" fillId="0" borderId="34" applyNumberFormat="0" applyFill="0" applyAlignment="0" applyProtection="0"/>
    <xf numFmtId="0" fontId="44" fillId="58" borderId="39" applyNumberFormat="0" applyAlignment="0" applyProtection="0"/>
    <xf numFmtId="173" fontId="33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0" fontId="34" fillId="0" borderId="0">
      <protection locked="0"/>
    </xf>
    <xf numFmtId="173" fontId="33" fillId="0" borderId="0">
      <protection locked="0"/>
    </xf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35" borderId="0" applyNumberFormat="0" applyBorder="0" applyAlignment="0" applyProtection="0"/>
    <xf numFmtId="0" fontId="21" fillId="11" borderId="32" applyNumberFormat="0" applyAlignment="0" applyProtection="0"/>
    <xf numFmtId="172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33" fillId="0" borderId="0">
      <protection locked="0"/>
    </xf>
    <xf numFmtId="174" fontId="34" fillId="0" borderId="0">
      <protection locked="0"/>
    </xf>
    <xf numFmtId="0" fontId="46" fillId="41" borderId="0" applyNumberFormat="0" applyBorder="0" applyAlignment="0" applyProtection="0"/>
    <xf numFmtId="173" fontId="35" fillId="0" borderId="0">
      <protection locked="0"/>
    </xf>
    <xf numFmtId="173" fontId="35" fillId="0" borderId="0">
      <protection locked="0"/>
    </xf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48" fillId="0" borderId="0"/>
    <xf numFmtId="0" fontId="49" fillId="44" borderId="38" applyNumberFormat="0" applyAlignment="0" applyProtection="0"/>
    <xf numFmtId="0" fontId="50" fillId="0" borderId="40" applyNumberFormat="0" applyFill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10" borderId="0" applyNumberFormat="0" applyBorder="0" applyAlignment="0" applyProtection="0"/>
    <xf numFmtId="0" fontId="51" fillId="5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14" borderId="36" applyNumberFormat="0" applyFont="0" applyAlignment="0" applyProtection="0"/>
    <xf numFmtId="0" fontId="4" fillId="60" borderId="42" applyNumberFormat="0" applyFont="0" applyAlignment="0" applyProtection="0"/>
    <xf numFmtId="0" fontId="52" fillId="57" borderId="43" applyNumberFormat="0" applyAlignment="0" applyProtection="0"/>
    <xf numFmtId="173" fontId="33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12" borderId="33" applyNumberFormat="0" applyAlignment="0" applyProtection="0"/>
    <xf numFmtId="173" fontId="36" fillId="0" borderId="0"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7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44" applyNumberFormat="0" applyFill="0" applyAlignment="0" applyProtection="0"/>
    <xf numFmtId="0" fontId="15" fillId="0" borderId="29" applyNumberFormat="0" applyFill="0" applyAlignment="0" applyProtection="0"/>
    <xf numFmtId="0" fontId="16" fillId="0" borderId="30" applyNumberFormat="0" applyFill="0" applyAlignment="0" applyProtection="0"/>
    <xf numFmtId="0" fontId="17" fillId="0" borderId="31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39" fillId="0" borderId="0">
      <protection locked="0"/>
    </xf>
    <xf numFmtId="173" fontId="39" fillId="0" borderId="0">
      <protection locked="0"/>
    </xf>
    <xf numFmtId="0" fontId="11" fillId="0" borderId="37" applyNumberFormat="0" applyFill="0" applyAlignment="0" applyProtection="0"/>
    <xf numFmtId="16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60" borderId="0" applyNumberFormat="0" applyBorder="0" applyAlignment="0" applyProtection="0"/>
    <xf numFmtId="0" fontId="40" fillId="44" borderId="0" applyNumberFormat="0" applyBorder="0" applyAlignment="0" applyProtection="0"/>
    <xf numFmtId="0" fontId="40" fillId="43" borderId="0" applyNumberFormat="0" applyBorder="0" applyAlignment="0" applyProtection="0"/>
    <xf numFmtId="0" fontId="40" fillId="60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0" fillId="60" borderId="0" applyNumberFormat="0" applyBorder="0" applyAlignment="0" applyProtection="0"/>
    <xf numFmtId="0" fontId="41" fillId="43" borderId="0" applyNumberFormat="0" applyBorder="0" applyAlignment="0" applyProtection="0"/>
    <xf numFmtId="0" fontId="41" fillId="56" borderId="0" applyNumberFormat="0" applyBorder="0" applyAlignment="0" applyProtection="0"/>
    <xf numFmtId="0" fontId="41" fillId="48" borderId="0" applyNumberFormat="0" applyBorder="0" applyAlignment="0" applyProtection="0"/>
    <xf numFmtId="0" fontId="41" fillId="40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6" fillId="43" borderId="0" applyNumberFormat="0" applyBorder="0" applyAlignment="0" applyProtection="0"/>
    <xf numFmtId="0" fontId="60" fillId="61" borderId="38" applyNumberFormat="0" applyAlignment="0" applyProtection="0"/>
    <xf numFmtId="0" fontId="44" fillId="58" borderId="39" applyNumberFormat="0" applyAlignment="0" applyProtection="0"/>
    <xf numFmtId="0" fontId="54" fillId="0" borderId="45" applyNumberFormat="0" applyFill="0" applyAlignment="0" applyProtection="0"/>
    <xf numFmtId="0" fontId="41" fillId="62" borderId="0" applyNumberFormat="0" applyBorder="0" applyAlignment="0" applyProtection="0"/>
    <xf numFmtId="0" fontId="41" fillId="56" borderId="0" applyNumberFormat="0" applyBorder="0" applyAlignment="0" applyProtection="0"/>
    <xf numFmtId="0" fontId="41" fillId="48" borderId="0" applyNumberFormat="0" applyBorder="0" applyAlignment="0" applyProtection="0"/>
    <xf numFmtId="0" fontId="41" fillId="63" borderId="0" applyNumberFormat="0" applyBorder="0" applyAlignment="0" applyProtection="0"/>
    <xf numFmtId="0" fontId="41" fillId="51" borderId="0" applyNumberFormat="0" applyBorder="0" applyAlignment="0" applyProtection="0"/>
    <xf numFmtId="0" fontId="41" fillId="54" borderId="0" applyNumberFormat="0" applyBorder="0" applyAlignment="0" applyProtection="0"/>
    <xf numFmtId="0" fontId="49" fillId="59" borderId="38" applyNumberFormat="0" applyAlignment="0" applyProtection="0"/>
    <xf numFmtId="0" fontId="57" fillId="0" borderId="46" applyNumberFormat="0" applyFill="0" applyAlignment="0" applyProtection="0"/>
    <xf numFmtId="0" fontId="58" fillId="0" borderId="47" applyNumberFormat="0" applyFill="0" applyAlignment="0" applyProtection="0"/>
    <xf numFmtId="0" fontId="42" fillId="42" borderId="0" applyNumberFormat="0" applyBorder="0" applyAlignment="0" applyProtection="0"/>
    <xf numFmtId="0" fontId="61" fillId="59" borderId="0" applyNumberFormat="0" applyBorder="0" applyAlignment="0" applyProtection="0"/>
    <xf numFmtId="0" fontId="4" fillId="60" borderId="42" applyNumberFormat="0" applyFont="0" applyAlignment="0" applyProtection="0"/>
    <xf numFmtId="0" fontId="40" fillId="60" borderId="42" applyNumberFormat="0" applyFont="0" applyAlignment="0" applyProtection="0"/>
    <xf numFmtId="0" fontId="52" fillId="61" borderId="43" applyNumberFormat="0" applyAlignment="0" applyProtection="0"/>
    <xf numFmtId="0" fontId="5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0" borderId="48" applyNumberFormat="0" applyFill="0" applyAlignment="0" applyProtection="0"/>
    <xf numFmtId="0" fontId="63" fillId="0" borderId="49" applyNumberFormat="0" applyFill="0" applyAlignment="0" applyProtection="0"/>
    <xf numFmtId="0" fontId="64" fillId="0" borderId="50" applyNumberFormat="0" applyFill="0" applyAlignment="0" applyProtection="0"/>
    <xf numFmtId="0" fontId="64" fillId="0" borderId="0" applyNumberFormat="0" applyFill="0" applyBorder="0" applyAlignment="0" applyProtection="0"/>
    <xf numFmtId="0" fontId="59" fillId="0" borderId="51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68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29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29" fillId="0" borderId="0" applyFont="0" applyFill="0" applyBorder="0" applyAlignment="0" applyProtection="0"/>
    <xf numFmtId="0" fontId="1" fillId="37" borderId="0" applyNumberFormat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0" fillId="0" borderId="0"/>
    <xf numFmtId="0" fontId="40" fillId="0" borderId="0"/>
    <xf numFmtId="179" fontId="70" fillId="0" borderId="0" applyBorder="0" applyProtection="0">
      <alignment horizontal="right" vertical="top"/>
    </xf>
    <xf numFmtId="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0" fillId="0" borderId="0"/>
    <xf numFmtId="0" fontId="55" fillId="0" borderId="0"/>
    <xf numFmtId="0" fontId="4" fillId="0" borderId="0"/>
    <xf numFmtId="0" fontId="4" fillId="0" borderId="0"/>
    <xf numFmtId="0" fontId="1" fillId="0" borderId="0"/>
    <xf numFmtId="0" fontId="4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14" borderId="36" applyNumberFormat="0" applyFont="0" applyAlignment="0" applyProtection="0"/>
    <xf numFmtId="9" fontId="4" fillId="0" borderId="0" applyFont="0" applyFill="0" applyBorder="0" applyAlignment="0" applyProtection="0"/>
    <xf numFmtId="9" fontId="40" fillId="0" borderId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69" fillId="0" borderId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/>
    <xf numFmtId="168" fontId="4" fillId="0" borderId="0"/>
    <xf numFmtId="177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4" fontId="3" fillId="2" borderId="1" xfId="5" applyNumberFormat="1" applyFont="1" applyFill="1" applyBorder="1" applyAlignment="1">
      <alignment horizontal="center" vertical="center"/>
    </xf>
    <xf numFmtId="4" fontId="3" fillId="0" borderId="1" xfId="5" applyNumberFormat="1" applyFont="1" applyFill="1" applyBorder="1" applyAlignment="1">
      <alignment horizontal="center" vertical="center"/>
    </xf>
    <xf numFmtId="4" fontId="2" fillId="0" borderId="1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0" fontId="6" fillId="4" borderId="2" xfId="5" applyNumberFormat="1" applyFont="1" applyFill="1" applyBorder="1" applyAlignment="1">
      <alignment horizontal="center" vertical="center" wrapText="1"/>
    </xf>
    <xf numFmtId="0" fontId="0" fillId="2" borderId="0" xfId="0" applyFill="1"/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" fontId="6" fillId="4" borderId="3" xfId="5" applyNumberFormat="1" applyFont="1" applyFill="1" applyBorder="1" applyAlignment="1">
      <alignment horizontal="center" vertical="center" wrapText="1"/>
    </xf>
    <xf numFmtId="0" fontId="3" fillId="4" borderId="4" xfId="5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4" borderId="4" xfId="5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/>
    <xf numFmtId="0" fontId="0" fillId="3" borderId="0" xfId="0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171" fontId="4" fillId="0" borderId="1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0" fillId="0" borderId="0" xfId="0" applyFill="1"/>
    <xf numFmtId="2" fontId="2" fillId="0" borderId="0" xfId="0" applyNumberFormat="1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0" fontId="7" fillId="0" borderId="0" xfId="0" applyNumberFormat="1" applyFont="1" applyFill="1" applyAlignment="1">
      <alignment wrapText="1"/>
    </xf>
    <xf numFmtId="0" fontId="4" fillId="0" borderId="0" xfId="0" applyFont="1" applyFill="1" applyBorder="1"/>
    <xf numFmtId="0" fontId="4" fillId="64" borderId="11" xfId="0" applyNumberFormat="1" applyFont="1" applyFill="1" applyBorder="1" applyAlignment="1">
      <alignment horizontal="center" vertical="center"/>
    </xf>
    <xf numFmtId="0" fontId="4" fillId="64" borderId="13" xfId="0" applyNumberFormat="1" applyFont="1" applyFill="1" applyBorder="1" applyAlignment="1">
      <alignment horizontal="center" vertical="center"/>
    </xf>
    <xf numFmtId="2" fontId="65" fillId="6" borderId="2" xfId="0" applyNumberFormat="1" applyFont="1" applyFill="1" applyBorder="1" applyAlignment="1">
      <alignment horizontal="center"/>
    </xf>
    <xf numFmtId="0" fontId="65" fillId="6" borderId="3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171" fontId="14" fillId="64" borderId="1" xfId="2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/>
    </xf>
    <xf numFmtId="4" fontId="2" fillId="0" borderId="0" xfId="5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9" fontId="8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/>
    </xf>
    <xf numFmtId="165" fontId="4" fillId="0" borderId="1" xfId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3" fontId="66" fillId="0" borderId="0" xfId="0" applyNumberFormat="1" applyFont="1" applyBorder="1" applyAlignment="1">
      <alignment vertical="center"/>
    </xf>
    <xf numFmtId="165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6" fillId="0" borderId="0" xfId="0" applyFont="1"/>
    <xf numFmtId="0" fontId="66" fillId="0" borderId="0" xfId="0" applyFont="1" applyFill="1" applyBorder="1"/>
    <xf numFmtId="4" fontId="9" fillId="0" borderId="0" xfId="0" applyNumberFormat="1" applyFont="1" applyFill="1" applyBorder="1" applyAlignment="1">
      <alignment horizontal="center" vertical="center"/>
    </xf>
    <xf numFmtId="169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" fontId="4" fillId="0" borderId="1" xfId="6" applyNumberFormat="1" applyFont="1" applyFill="1" applyBorder="1" applyAlignment="1">
      <alignment horizontal="center" vertical="center"/>
    </xf>
    <xf numFmtId="165" fontId="9" fillId="0" borderId="1" xfId="1" applyFont="1" applyFill="1" applyBorder="1" applyAlignment="1">
      <alignment horizontal="center" vertical="center" wrapText="1"/>
    </xf>
    <xf numFmtId="4" fontId="4" fillId="0" borderId="0" xfId="6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2" fontId="65" fillId="6" borderId="3" xfId="0" quotePrefix="1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4" fontId="3" fillId="2" borderId="1" xfId="5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6" fillId="0" borderId="1" xfId="2" applyFont="1" applyBorder="1" applyAlignment="1">
      <alignment horizontal="center" vertical="center" wrapText="1"/>
    </xf>
    <xf numFmtId="166" fontId="5" fillId="0" borderId="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6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2" fillId="66" borderId="1" xfId="0" applyNumberFormat="1" applyFont="1" applyFill="1" applyBorder="1" applyAlignment="1">
      <alignment vertical="center"/>
    </xf>
    <xf numFmtId="0" fontId="4" fillId="64" borderId="4" xfId="0" applyNumberFormat="1" applyFont="1" applyFill="1" applyBorder="1" applyAlignment="1">
      <alignment horizontal="center" vertical="center"/>
    </xf>
    <xf numFmtId="166" fontId="0" fillId="0" borderId="0" xfId="0" applyNumberFormat="1"/>
    <xf numFmtId="43" fontId="67" fillId="65" borderId="1" xfId="282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6" fontId="12" fillId="6" borderId="4" xfId="0" applyNumberFormat="1" applyFont="1" applyFill="1" applyBorder="1" applyAlignment="1"/>
    <xf numFmtId="43" fontId="67" fillId="65" borderId="1" xfId="282" applyFont="1" applyFill="1" applyBorder="1" applyAlignment="1">
      <alignment horizontal="center" vertical="center" wrapText="1"/>
    </xf>
    <xf numFmtId="180" fontId="67" fillId="6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7" fillId="65" borderId="1" xfId="0" applyFont="1" applyFill="1" applyBorder="1" applyAlignment="1">
      <alignment horizontal="left" vertical="center" wrapText="1"/>
    </xf>
    <xf numFmtId="0" fontId="66" fillId="0" borderId="1" xfId="0" applyFont="1" applyBorder="1" applyAlignment="1">
      <alignment vertical="center" wrapText="1"/>
    </xf>
    <xf numFmtId="0" fontId="72" fillId="0" borderId="1" xfId="101" applyFont="1" applyBorder="1" applyAlignment="1">
      <alignment horizontal="center" vertical="center" wrapText="1"/>
    </xf>
    <xf numFmtId="166" fontId="66" fillId="0" borderId="1" xfId="2" applyFont="1" applyBorder="1" applyAlignment="1">
      <alignment horizontal="center" vertical="center" wrapText="1"/>
    </xf>
    <xf numFmtId="180" fontId="72" fillId="0" borderId="1" xfId="101" applyNumberFormat="1" applyFont="1" applyBorder="1" applyAlignment="1">
      <alignment horizontal="center" vertical="center" wrapText="1"/>
    </xf>
    <xf numFmtId="0" fontId="67" fillId="65" borderId="1" xfId="0" quotePrefix="1" applyFont="1" applyFill="1" applyBorder="1" applyAlignment="1">
      <alignment horizontal="center" vertical="center"/>
    </xf>
    <xf numFmtId="0" fontId="67" fillId="65" borderId="1" xfId="0" applyFont="1" applyFill="1" applyBorder="1" applyAlignment="1">
      <alignment horizontal="center" vertical="center"/>
    </xf>
    <xf numFmtId="0" fontId="12" fillId="0" borderId="7" xfId="0" applyFont="1" applyBorder="1"/>
    <xf numFmtId="0" fontId="12" fillId="0" borderId="6" xfId="0" applyFont="1" applyBorder="1"/>
    <xf numFmtId="0" fontId="0" fillId="0" borderId="0" xfId="0"/>
    <xf numFmtId="169" fontId="5" fillId="65" borderId="2" xfId="5" applyNumberFormat="1" applyFont="1" applyFill="1" applyBorder="1" applyAlignment="1">
      <alignment horizontal="center" vertical="top" wrapText="1"/>
    </xf>
    <xf numFmtId="3" fontId="2" fillId="65" borderId="2" xfId="0" applyNumberFormat="1" applyFont="1" applyFill="1" applyBorder="1" applyAlignment="1">
      <alignment horizontal="center" vertical="center"/>
    </xf>
    <xf numFmtId="0" fontId="7" fillId="65" borderId="2" xfId="0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4" fontId="3" fillId="0" borderId="0" xfId="0" applyNumberFormat="1" applyFont="1" applyBorder="1" applyAlignment="1">
      <alignment horizontal="center" vertical="center"/>
    </xf>
    <xf numFmtId="4" fontId="3" fillId="0" borderId="1" xfId="0" quotePrefix="1" applyNumberFormat="1" applyFont="1" applyBorder="1" applyAlignment="1">
      <alignment horizontal="center" vertical="center"/>
    </xf>
    <xf numFmtId="181" fontId="0" fillId="0" borderId="0" xfId="0" applyNumberFormat="1"/>
    <xf numFmtId="0" fontId="71" fillId="2" borderId="0" xfId="198" applyFont="1" applyFill="1" applyAlignment="1"/>
    <xf numFmtId="0" fontId="71" fillId="2" borderId="0" xfId="198" applyFont="1" applyFill="1" applyBorder="1" applyAlignment="1"/>
    <xf numFmtId="0" fontId="73" fillId="2" borderId="0" xfId="198" applyFont="1" applyFill="1" applyAlignment="1"/>
    <xf numFmtId="1" fontId="3" fillId="0" borderId="1" xfId="0" applyNumberFormat="1" applyFont="1" applyBorder="1" applyAlignment="1">
      <alignment horizontal="center"/>
    </xf>
    <xf numFmtId="10" fontId="0" fillId="0" borderId="0" xfId="3" applyNumberFormat="1" applyFont="1"/>
    <xf numFmtId="4" fontId="3" fillId="0" borderId="1" xfId="5" applyNumberFormat="1" applyFont="1" applyFill="1" applyBorder="1" applyAlignment="1">
      <alignment horizontal="center" vertical="center"/>
    </xf>
    <xf numFmtId="166" fontId="0" fillId="0" borderId="0" xfId="2" applyFont="1"/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2" fillId="0" borderId="0" xfId="0" applyFont="1" applyFill="1"/>
    <xf numFmtId="166" fontId="12" fillId="0" borderId="0" xfId="2" applyFont="1"/>
    <xf numFmtId="44" fontId="12" fillId="0" borderId="0" xfId="0" applyNumberFormat="1" applyFont="1"/>
    <xf numFmtId="0" fontId="3" fillId="2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16" fontId="10" fillId="0" borderId="0" xfId="0" applyNumberFormat="1" applyFont="1" applyFill="1" applyBorder="1" applyAlignment="1">
      <alignment horizontal="left" vertical="top" wrapText="1"/>
    </xf>
    <xf numFmtId="0" fontId="14" fillId="2" borderId="0" xfId="198" applyFont="1" applyFill="1" applyAlignment="1">
      <alignment horizontal="center"/>
    </xf>
    <xf numFmtId="0" fontId="14" fillId="2" borderId="0" xfId="198" applyFont="1" applyFill="1" applyAlignment="1"/>
    <xf numFmtId="0" fontId="14" fillId="2" borderId="0" xfId="198" applyFont="1" applyFill="1" applyBorder="1" applyAlignment="1"/>
    <xf numFmtId="181" fontId="12" fillId="0" borderId="0" xfId="0" applyNumberFormat="1" applyFont="1"/>
    <xf numFmtId="166" fontId="6" fillId="0" borderId="1" xfId="2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69" fontId="8" fillId="2" borderId="0" xfId="0" applyNumberFormat="1" applyFont="1" applyFill="1" applyAlignment="1">
      <alignment horizontal="right" vertical="center" wrapText="1"/>
    </xf>
    <xf numFmtId="0" fontId="66" fillId="0" borderId="0" xfId="0" applyFont="1" applyAlignment="1">
      <alignment horizontal="left" vertical="top"/>
    </xf>
    <xf numFmtId="4" fontId="66" fillId="64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4" fontId="4" fillId="2" borderId="1" xfId="5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74" fillId="0" borderId="0" xfId="0" applyFont="1"/>
    <xf numFmtId="0" fontId="6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3" fontId="7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5" applyNumberFormat="1" applyFont="1" applyFill="1" applyBorder="1" applyAlignment="1">
      <alignment horizontal="center" vertical="center"/>
    </xf>
    <xf numFmtId="0" fontId="75" fillId="0" borderId="0" xfId="0" applyFont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0" xfId="2" applyFont="1" applyFill="1" applyBorder="1"/>
    <xf numFmtId="2" fontId="4" fillId="0" borderId="1" xfId="0" applyNumberFormat="1" applyFont="1" applyBorder="1" applyAlignment="1">
      <alignment horizontal="center" vertical="center"/>
    </xf>
    <xf numFmtId="4" fontId="72" fillId="0" borderId="1" xfId="101" applyNumberFormat="1" applyFont="1" applyBorder="1" applyAlignment="1">
      <alignment horizontal="center" vertical="center" wrapText="1"/>
    </xf>
    <xf numFmtId="0" fontId="0" fillId="68" borderId="1" xfId="0" applyFill="1" applyBorder="1" applyAlignment="1">
      <alignment horizontal="center" vertical="center"/>
    </xf>
    <xf numFmtId="0" fontId="11" fillId="68" borderId="1" xfId="0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/>
    <xf numFmtId="44" fontId="11" fillId="2" borderId="1" xfId="0" applyNumberFormat="1" applyFont="1" applyFill="1" applyBorder="1" applyAlignment="1">
      <alignment horizontal="center" vertical="center"/>
    </xf>
    <xf numFmtId="44" fontId="11" fillId="2" borderId="1" xfId="0" applyNumberFormat="1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182" fontId="7" fillId="0" borderId="0" xfId="0" applyNumberFormat="1" applyFont="1" applyAlignment="1">
      <alignment horizontal="left" vertical="center" wrapText="1"/>
    </xf>
    <xf numFmtId="166" fontId="11" fillId="0" borderId="0" xfId="2" applyFont="1"/>
    <xf numFmtId="1" fontId="6" fillId="0" borderId="1" xfId="0" applyNumberFormat="1" applyFont="1" applyBorder="1" applyAlignment="1">
      <alignment horizontal="center" vertical="top"/>
    </xf>
    <xf numFmtId="0" fontId="76" fillId="0" borderId="0" xfId="0" applyFont="1" applyBorder="1"/>
    <xf numFmtId="0" fontId="76" fillId="0" borderId="0" xfId="0" applyFont="1"/>
    <xf numFmtId="0" fontId="77" fillId="0" borderId="16" xfId="0" applyFont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10" fillId="69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0" fontId="79" fillId="0" borderId="0" xfId="0" applyFont="1" applyBorder="1" applyAlignment="1">
      <alignment vertical="center"/>
    </xf>
    <xf numFmtId="0" fontId="77" fillId="0" borderId="1" xfId="0" applyFont="1" applyBorder="1" applyAlignment="1">
      <alignment horizontal="center" vertical="center"/>
    </xf>
    <xf numFmtId="0" fontId="10" fillId="69" borderId="16" xfId="0" applyFont="1" applyFill="1" applyBorder="1" applyAlignment="1">
      <alignment horizontal="center" vertical="center"/>
    </xf>
    <xf numFmtId="0" fontId="10" fillId="69" borderId="14" xfId="0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right" vertical="center" wrapText="1"/>
    </xf>
    <xf numFmtId="0" fontId="77" fillId="2" borderId="1" xfId="0" applyFont="1" applyFill="1" applyBorder="1" applyAlignment="1">
      <alignment horizontal="center" vertical="center"/>
    </xf>
    <xf numFmtId="0" fontId="77" fillId="69" borderId="1" xfId="0" applyFont="1" applyFill="1" applyBorder="1" applyAlignment="1">
      <alignment horizontal="center" vertical="center" wrapText="1"/>
    </xf>
    <xf numFmtId="0" fontId="78" fillId="69" borderId="1" xfId="0" applyFont="1" applyFill="1" applyBorder="1" applyAlignment="1">
      <alignment horizontal="center" vertical="center"/>
    </xf>
    <xf numFmtId="165" fontId="78" fillId="2" borderId="1" xfId="149" applyFont="1" applyFill="1" applyBorder="1" applyAlignment="1">
      <alignment horizontal="left" vertical="center" wrapText="1"/>
    </xf>
    <xf numFmtId="0" fontId="10" fillId="69" borderId="1" xfId="0" applyFont="1" applyFill="1" applyBorder="1" applyAlignment="1">
      <alignment horizontal="center" vertical="center" wrapText="1"/>
    </xf>
    <xf numFmtId="165" fontId="78" fillId="2" borderId="1" xfId="149" applyFont="1" applyFill="1" applyBorder="1" applyAlignment="1">
      <alignment horizontal="left" vertical="center"/>
    </xf>
    <xf numFmtId="165" fontId="78" fillId="0" borderId="1" xfId="149" applyFont="1" applyBorder="1" applyAlignment="1">
      <alignment horizontal="center" vertical="center" wrapText="1"/>
    </xf>
    <xf numFmtId="165" fontId="78" fillId="2" borderId="14" xfId="149" applyFont="1" applyFill="1" applyBorder="1" applyAlignment="1">
      <alignment horizontal="left" vertical="center"/>
    </xf>
    <xf numFmtId="165" fontId="78" fillId="0" borderId="14" xfId="149" applyFont="1" applyBorder="1" applyAlignment="1">
      <alignment horizontal="center" vertical="center" wrapText="1"/>
    </xf>
    <xf numFmtId="165" fontId="10" fillId="2" borderId="1" xfId="149" applyFont="1" applyFill="1" applyBorder="1" applyAlignment="1">
      <alignment horizontal="left" vertical="center"/>
    </xf>
    <xf numFmtId="0" fontId="80" fillId="0" borderId="16" xfId="0" applyFont="1" applyBorder="1" applyAlignment="1">
      <alignment horizontal="center" vertical="center" wrapText="1"/>
    </xf>
    <xf numFmtId="0" fontId="78" fillId="69" borderId="1" xfId="0" applyFont="1" applyFill="1" applyBorder="1" applyAlignment="1">
      <alignment horizontal="center" vertical="center" wrapText="1"/>
    </xf>
    <xf numFmtId="165" fontId="78" fillId="69" borderId="1" xfId="0" applyNumberFormat="1" applyFont="1" applyFill="1" applyBorder="1" applyAlignment="1">
      <alignment horizontal="left" vertical="center"/>
    </xf>
    <xf numFmtId="0" fontId="78" fillId="0" borderId="1" xfId="0" applyFont="1" applyFill="1" applyBorder="1" applyAlignment="1">
      <alignment horizontal="center" vertical="center" wrapText="1"/>
    </xf>
    <xf numFmtId="0" fontId="79" fillId="0" borderId="0" xfId="0" applyFont="1" applyBorder="1" applyAlignment="1"/>
    <xf numFmtId="0" fontId="80" fillId="0" borderId="1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/>
    </xf>
    <xf numFmtId="0" fontId="77" fillId="0" borderId="23" xfId="0" applyFont="1" applyBorder="1" applyAlignment="1">
      <alignment horizontal="center" vertical="center" wrapText="1"/>
    </xf>
    <xf numFmtId="0" fontId="77" fillId="0" borderId="7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65" fontId="77" fillId="68" borderId="21" xfId="149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79" fillId="0" borderId="0" xfId="0" applyFont="1" applyBorder="1" applyAlignment="1">
      <alignment horizontal="left"/>
    </xf>
    <xf numFmtId="10" fontId="76" fillId="0" borderId="0" xfId="0" applyNumberFormat="1" applyFont="1"/>
    <xf numFmtId="165" fontId="76" fillId="0" borderId="0" xfId="1" applyFont="1"/>
    <xf numFmtId="2" fontId="76" fillId="0" borderId="0" xfId="0" applyNumberFormat="1" applyFont="1"/>
    <xf numFmtId="0" fontId="10" fillId="2" borderId="16" xfId="0" applyFont="1" applyFill="1" applyBorder="1" applyAlignment="1">
      <alignment horizontal="center" vertical="center"/>
    </xf>
    <xf numFmtId="0" fontId="76" fillId="2" borderId="0" xfId="0" applyFont="1" applyFill="1"/>
    <xf numFmtId="0" fontId="10" fillId="2" borderId="14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71" fontId="13" fillId="0" borderId="0" xfId="0" applyNumberFormat="1" applyFont="1" applyFill="1" applyBorder="1" applyAlignment="1">
      <alignment horizontal="left" vertical="top"/>
    </xf>
    <xf numFmtId="171" fontId="10" fillId="0" borderId="0" xfId="0" applyNumberFormat="1" applyFont="1" applyFill="1" applyBorder="1" applyAlignment="1">
      <alignment horizontal="left" vertical="top" wrapText="1"/>
    </xf>
    <xf numFmtId="171" fontId="12" fillId="0" borderId="0" xfId="0" applyNumberFormat="1" applyFont="1"/>
    <xf numFmtId="49" fontId="10" fillId="0" borderId="16" xfId="0" applyNumberFormat="1" applyFont="1" applyBorder="1" applyAlignment="1">
      <alignment horizontal="center" vertical="center"/>
    </xf>
    <xf numFmtId="166" fontId="78" fillId="2" borderId="14" xfId="2" applyFont="1" applyFill="1" applyBorder="1" applyAlignment="1">
      <alignment horizontal="center" vertical="center" wrapText="1"/>
    </xf>
    <xf numFmtId="166" fontId="10" fillId="2" borderId="14" xfId="2" applyFont="1" applyFill="1" applyBorder="1" applyAlignment="1">
      <alignment horizontal="right" vertical="center"/>
    </xf>
    <xf numFmtId="166" fontId="10" fillId="2" borderId="16" xfId="2" applyFont="1" applyFill="1" applyBorder="1" applyAlignment="1">
      <alignment horizontal="right" vertical="center"/>
    </xf>
    <xf numFmtId="166" fontId="10" fillId="0" borderId="16" xfId="2" applyFont="1" applyBorder="1" applyAlignment="1">
      <alignment horizontal="right" vertical="center"/>
    </xf>
    <xf numFmtId="166" fontId="10" fillId="0" borderId="1" xfId="2" applyFont="1" applyBorder="1" applyAlignment="1">
      <alignment horizontal="right" vertical="center"/>
    </xf>
    <xf numFmtId="166" fontId="10" fillId="2" borderId="15" xfId="2" applyFont="1" applyFill="1" applyBorder="1" applyAlignment="1">
      <alignment horizontal="right" vertical="center"/>
    </xf>
    <xf numFmtId="166" fontId="10" fillId="0" borderId="14" xfId="2" applyFont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top"/>
    </xf>
    <xf numFmtId="171" fontId="13" fillId="2" borderId="0" xfId="0" applyNumberFormat="1" applyFont="1" applyFill="1" applyBorder="1" applyAlignment="1">
      <alignment horizontal="left" vertical="top"/>
    </xf>
    <xf numFmtId="0" fontId="77" fillId="0" borderId="70" xfId="0" applyFont="1" applyBorder="1" applyAlignment="1">
      <alignment horizontal="center" vertical="center" wrapText="1"/>
    </xf>
    <xf numFmtId="43" fontId="76" fillId="0" borderId="0" xfId="0" applyNumberFormat="1" applyFont="1"/>
    <xf numFmtId="0" fontId="7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0" fillId="2" borderId="1" xfId="0" applyFont="1" applyFill="1" applyBorder="1" applyAlignment="1">
      <alignment vertical="center" textRotation="90" wrapText="1"/>
    </xf>
    <xf numFmtId="165" fontId="77" fillId="2" borderId="1" xfId="149" applyNumberFormat="1" applyFont="1" applyFill="1" applyBorder="1" applyAlignment="1">
      <alignment horizontal="left" vertical="center" wrapText="1"/>
    </xf>
    <xf numFmtId="0" fontId="78" fillId="2" borderId="2" xfId="0" applyFont="1" applyFill="1" applyBorder="1" applyAlignment="1">
      <alignment horizontal="center" vertical="center"/>
    </xf>
    <xf numFmtId="2" fontId="78" fillId="2" borderId="3" xfId="0" applyNumberFormat="1" applyFont="1" applyFill="1" applyBorder="1" applyAlignment="1">
      <alignment horizontal="center" vertical="center" wrapText="1"/>
    </xf>
    <xf numFmtId="2" fontId="78" fillId="2" borderId="3" xfId="0" applyNumberFormat="1" applyFont="1" applyFill="1" applyBorder="1" applyAlignment="1">
      <alignment horizontal="right" vertical="center" wrapText="1"/>
    </xf>
    <xf numFmtId="2" fontId="78" fillId="2" borderId="3" xfId="0" applyNumberFormat="1" applyFont="1" applyFill="1" applyBorder="1" applyAlignment="1">
      <alignment horizontal="right" vertical="center"/>
    </xf>
    <xf numFmtId="165" fontId="80" fillId="2" borderId="4" xfId="149" applyFont="1" applyFill="1" applyBorder="1" applyAlignment="1">
      <alignment horizontal="right" vertical="center"/>
    </xf>
    <xf numFmtId="165" fontId="77" fillId="68" borderId="24" xfId="1" applyFont="1" applyFill="1" applyBorder="1" applyAlignment="1">
      <alignment horizontal="right" vertical="center"/>
    </xf>
    <xf numFmtId="166" fontId="77" fillId="68" borderId="24" xfId="2" applyFont="1" applyFill="1" applyBorder="1" applyAlignment="1">
      <alignment horizontal="right" vertical="center"/>
    </xf>
    <xf numFmtId="166" fontId="78" fillId="0" borderId="1" xfId="2" applyFont="1" applyBorder="1" applyAlignment="1">
      <alignment horizontal="left" vertical="center" wrapText="1"/>
    </xf>
    <xf numFmtId="165" fontId="77" fillId="2" borderId="4" xfId="149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 textRotation="90" wrapText="1"/>
    </xf>
    <xf numFmtId="166" fontId="78" fillId="2" borderId="1" xfId="2" applyFont="1" applyFill="1" applyBorder="1" applyAlignment="1">
      <alignment horizontal="center" vertical="center" wrapText="1"/>
    </xf>
    <xf numFmtId="166" fontId="78" fillId="2" borderId="1" xfId="2" applyFont="1" applyFill="1" applyBorder="1" applyAlignment="1">
      <alignment horizontal="right" vertical="center"/>
    </xf>
    <xf numFmtId="166" fontId="78" fillId="0" borderId="14" xfId="2" applyFont="1" applyBorder="1" applyAlignment="1">
      <alignment horizontal="left" vertical="center" wrapText="1"/>
    </xf>
    <xf numFmtId="166" fontId="78" fillId="2" borderId="1" xfId="2" applyFont="1" applyFill="1" applyBorder="1" applyAlignment="1">
      <alignment horizontal="right" vertical="center" wrapText="1"/>
    </xf>
    <xf numFmtId="166" fontId="78" fillId="0" borderId="1" xfId="2" applyFont="1" applyBorder="1" applyAlignment="1">
      <alignment horizontal="right" vertical="center" wrapText="1"/>
    </xf>
    <xf numFmtId="166" fontId="78" fillId="2" borderId="1" xfId="2" applyFont="1" applyFill="1" applyBorder="1" applyAlignment="1">
      <alignment horizontal="center" vertical="center"/>
    </xf>
    <xf numFmtId="166" fontId="78" fillId="2" borderId="1" xfId="2" applyFont="1" applyFill="1" applyBorder="1" applyAlignment="1">
      <alignment vertical="center"/>
    </xf>
    <xf numFmtId="166" fontId="10" fillId="69" borderId="25" xfId="2" applyFont="1" applyFill="1" applyBorder="1" applyAlignment="1">
      <alignment horizontal="center" vertical="center"/>
    </xf>
    <xf numFmtId="166" fontId="78" fillId="69" borderId="25" xfId="2" applyFont="1" applyFill="1" applyBorder="1" applyAlignment="1">
      <alignment horizontal="center" vertical="center"/>
    </xf>
    <xf numFmtId="166" fontId="77" fillId="2" borderId="4" xfId="2" applyFont="1" applyFill="1" applyBorder="1" applyAlignment="1">
      <alignment horizontal="right" vertical="center"/>
    </xf>
    <xf numFmtId="166" fontId="81" fillId="70" borderId="1" xfId="2" applyFont="1" applyFill="1" applyBorder="1"/>
    <xf numFmtId="165" fontId="10" fillId="2" borderId="14" xfId="1" applyFont="1" applyFill="1" applyBorder="1" applyAlignment="1">
      <alignment horizontal="right" vertical="center" wrapText="1"/>
    </xf>
    <xf numFmtId="165" fontId="10" fillId="2" borderId="16" xfId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71" xfId="0" applyFont="1" applyFill="1" applyBorder="1" applyAlignment="1">
      <alignment vertical="center" wrapText="1"/>
    </xf>
    <xf numFmtId="0" fontId="77" fillId="69" borderId="1" xfId="0" applyFont="1" applyFill="1" applyBorder="1" applyAlignment="1">
      <alignment vertical="center" wrapText="1"/>
    </xf>
    <xf numFmtId="0" fontId="77" fillId="2" borderId="2" xfId="0" applyFont="1" applyFill="1" applyBorder="1" applyAlignment="1">
      <alignment vertical="center" wrapText="1"/>
    </xf>
    <xf numFmtId="0" fontId="78" fillId="0" borderId="2" xfId="0" applyFont="1" applyBorder="1" applyAlignment="1">
      <alignment vertical="center" wrapText="1"/>
    </xf>
    <xf numFmtId="0" fontId="80" fillId="0" borderId="2" xfId="0" applyFont="1" applyBorder="1" applyAlignment="1">
      <alignment vertical="center" wrapText="1"/>
    </xf>
    <xf numFmtId="0" fontId="77" fillId="69" borderId="19" xfId="0" applyFont="1" applyFill="1" applyBorder="1" applyAlignment="1">
      <alignment vertical="center"/>
    </xf>
    <xf numFmtId="0" fontId="77" fillId="69" borderId="20" xfId="0" applyFont="1" applyFill="1" applyBorder="1" applyAlignment="1">
      <alignment vertical="center"/>
    </xf>
    <xf numFmtId="0" fontId="77" fillId="69" borderId="21" xfId="0" applyFont="1" applyFill="1" applyBorder="1" applyAlignment="1">
      <alignment vertical="center"/>
    </xf>
    <xf numFmtId="0" fontId="77" fillId="71" borderId="53" xfId="0" applyFont="1" applyFill="1" applyBorder="1" applyAlignment="1">
      <alignment vertical="center"/>
    </xf>
    <xf numFmtId="0" fontId="77" fillId="71" borderId="57" xfId="0" applyFont="1" applyFill="1" applyBorder="1" applyAlignment="1">
      <alignment vertical="center"/>
    </xf>
    <xf numFmtId="165" fontId="10" fillId="2" borderId="2" xfId="149" applyNumberFormat="1" applyFont="1" applyFill="1" applyBorder="1" applyAlignment="1">
      <alignment vertical="center"/>
    </xf>
    <xf numFmtId="165" fontId="10" fillId="2" borderId="3" xfId="149" applyNumberFormat="1" applyFont="1" applyFill="1" applyBorder="1" applyAlignment="1">
      <alignment vertical="center"/>
    </xf>
    <xf numFmtId="165" fontId="10" fillId="2" borderId="4" xfId="149" applyNumberFormat="1" applyFont="1" applyFill="1" applyBorder="1" applyAlignment="1">
      <alignment vertical="center"/>
    </xf>
    <xf numFmtId="0" fontId="77" fillId="71" borderId="60" xfId="0" applyFont="1" applyFill="1" applyBorder="1" applyAlignment="1">
      <alignment vertical="center"/>
    </xf>
    <xf numFmtId="0" fontId="77" fillId="71" borderId="72" xfId="0" applyFont="1" applyFill="1" applyBorder="1" applyAlignment="1">
      <alignment vertical="center"/>
    </xf>
    <xf numFmtId="0" fontId="77" fillId="2" borderId="1" xfId="0" applyFont="1" applyFill="1" applyBorder="1" applyAlignment="1">
      <alignment vertical="center" wrapText="1"/>
    </xf>
    <xf numFmtId="0" fontId="78" fillId="0" borderId="71" xfId="0" applyFont="1" applyBorder="1" applyAlignment="1">
      <alignment vertical="center" wrapText="1"/>
    </xf>
    <xf numFmtId="0" fontId="78" fillId="0" borderId="1" xfId="0" applyFont="1" applyBorder="1" applyAlignment="1">
      <alignment vertical="center" wrapText="1"/>
    </xf>
    <xf numFmtId="0" fontId="78" fillId="69" borderId="2" xfId="0" applyFont="1" applyFill="1" applyBorder="1" applyAlignment="1">
      <alignment vertical="center" wrapText="1"/>
    </xf>
    <xf numFmtId="0" fontId="10" fillId="69" borderId="1" xfId="0" applyFont="1" applyFill="1" applyBorder="1" applyAlignment="1">
      <alignment vertical="center" wrapText="1"/>
    </xf>
    <xf numFmtId="0" fontId="4" fillId="2" borderId="4" xfId="5" applyFont="1" applyFill="1" applyBorder="1" applyAlignment="1">
      <alignment horizontal="center" vertical="center" wrapText="1"/>
    </xf>
    <xf numFmtId="165" fontId="4" fillId="2" borderId="4" xfId="1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4" xfId="5" applyFont="1" applyFill="1" applyBorder="1" applyAlignment="1">
      <alignment horizontal="right" vertical="center"/>
    </xf>
    <xf numFmtId="165" fontId="4" fillId="2" borderId="4" xfId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center" vertical="center"/>
    </xf>
    <xf numFmtId="165" fontId="65" fillId="0" borderId="1" xfId="1" applyFont="1" applyBorder="1" applyAlignment="1"/>
    <xf numFmtId="43" fontId="7" fillId="0" borderId="1" xfId="0" applyNumberFormat="1" applyFont="1" applyBorder="1" applyAlignment="1">
      <alignment horizontal="center" vertical="center"/>
    </xf>
    <xf numFmtId="182" fontId="7" fillId="2" borderId="2" xfId="5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83" fontId="4" fillId="2" borderId="4" xfId="1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/>
    </xf>
    <xf numFmtId="182" fontId="7" fillId="2" borderId="0" xfId="5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3" fontId="7" fillId="2" borderId="0" xfId="1" applyNumberFormat="1" applyFont="1" applyFill="1" applyBorder="1" applyAlignment="1">
      <alignment horizontal="right" vertical="center"/>
    </xf>
    <xf numFmtId="0" fontId="4" fillId="2" borderId="0" xfId="5" applyFont="1" applyFill="1" applyBorder="1" applyAlignment="1">
      <alignment vertical="center"/>
    </xf>
    <xf numFmtId="165" fontId="65" fillId="0" borderId="0" xfId="1" applyFont="1" applyBorder="1" applyAlignment="1"/>
    <xf numFmtId="43" fontId="7" fillId="0" borderId="0" xfId="0" applyNumberFormat="1" applyFont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6" fontId="78" fillId="2" borderId="14" xfId="2" applyFont="1" applyFill="1" applyBorder="1" applyAlignment="1">
      <alignment horizontal="center" vertical="center"/>
    </xf>
    <xf numFmtId="166" fontId="10" fillId="2" borderId="1" xfId="2" applyFont="1" applyFill="1" applyBorder="1" applyAlignment="1">
      <alignment vertical="center"/>
    </xf>
    <xf numFmtId="43" fontId="7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6" fillId="2" borderId="0" xfId="0" applyFont="1" applyFill="1"/>
    <xf numFmtId="4" fontId="7" fillId="2" borderId="1" xfId="5" applyNumberFormat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left" vertical="center" wrapText="1"/>
    </xf>
    <xf numFmtId="0" fontId="4" fillId="2" borderId="1" xfId="5" applyFont="1" applyFill="1" applyBorder="1" applyAlignment="1">
      <alignment horizontal="center" vertical="center" wrapText="1"/>
    </xf>
    <xf numFmtId="182" fontId="7" fillId="2" borderId="1" xfId="5" applyNumberFormat="1" applyFont="1" applyFill="1" applyBorder="1" applyAlignment="1">
      <alignment horizontal="center" vertical="center"/>
    </xf>
    <xf numFmtId="0" fontId="4" fillId="2" borderId="1" xfId="5" applyFont="1" applyFill="1" applyBorder="1" applyAlignment="1">
      <alignment vertical="center"/>
    </xf>
    <xf numFmtId="0" fontId="4" fillId="66" borderId="11" xfId="0" applyNumberFormat="1" applyFont="1" applyFill="1" applyBorder="1" applyAlignment="1">
      <alignment horizontal="center" vertical="center"/>
    </xf>
    <xf numFmtId="4" fontId="67" fillId="66" borderId="12" xfId="0" applyNumberFormat="1" applyFont="1" applyFill="1" applyBorder="1" applyAlignment="1">
      <alignment horizontal="center" vertical="center"/>
    </xf>
    <xf numFmtId="0" fontId="4" fillId="66" borderId="13" xfId="0" applyNumberFormat="1" applyFont="1" applyFill="1" applyBorder="1" applyAlignment="1">
      <alignment horizontal="center" vertical="center"/>
    </xf>
    <xf numFmtId="4" fontId="67" fillId="6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4" fontId="6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66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4" fontId="67" fillId="64" borderId="12" xfId="0" applyNumberFormat="1" applyFont="1" applyFill="1" applyBorder="1" applyAlignment="1">
      <alignment horizontal="center" vertical="center"/>
    </xf>
    <xf numFmtId="0" fontId="7" fillId="64" borderId="11" xfId="0" applyNumberFormat="1" applyFont="1" applyFill="1" applyBorder="1" applyAlignment="1">
      <alignment horizontal="center" vertical="center"/>
    </xf>
    <xf numFmtId="0" fontId="66" fillId="0" borderId="2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4" fontId="4" fillId="0" borderId="1" xfId="5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/>
    </xf>
    <xf numFmtId="165" fontId="66" fillId="0" borderId="1" xfId="1" applyFont="1" applyBorder="1" applyAlignment="1"/>
    <xf numFmtId="165" fontId="7" fillId="2" borderId="4" xfId="5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right" vertical="center"/>
    </xf>
    <xf numFmtId="165" fontId="4" fillId="2" borderId="1" xfId="1" applyFont="1" applyFill="1" applyBorder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66" fillId="0" borderId="2" xfId="0" applyFont="1" applyBorder="1" applyAlignment="1">
      <alignment vertical="center" wrapText="1"/>
    </xf>
    <xf numFmtId="4" fontId="4" fillId="0" borderId="1" xfId="5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184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Fill="1" applyBorder="1" applyAlignment="1">
      <alignment horizontal="center" wrapText="1"/>
    </xf>
    <xf numFmtId="40" fontId="4" fillId="0" borderId="1" xfId="0" applyNumberFormat="1" applyFont="1" applyFill="1" applyBorder="1" applyAlignment="1">
      <alignment horizontal="center" wrapText="1"/>
    </xf>
    <xf numFmtId="4" fontId="66" fillId="64" borderId="1" xfId="0" applyNumberFormat="1" applyFont="1" applyFill="1" applyBorder="1" applyAlignment="1">
      <alignment horizontal="center" vertical="center"/>
    </xf>
    <xf numFmtId="0" fontId="4" fillId="64" borderId="1" xfId="0" applyNumberFormat="1" applyFont="1" applyFill="1" applyBorder="1" applyAlignment="1">
      <alignment horizontal="center" vertical="center"/>
    </xf>
    <xf numFmtId="165" fontId="9" fillId="0" borderId="1" xfId="1" applyFont="1" applyFill="1" applyBorder="1" applyAlignment="1">
      <alignment vertical="center" wrapText="1"/>
    </xf>
    <xf numFmtId="4" fontId="67" fillId="64" borderId="3" xfId="0" applyNumberFormat="1" applyFont="1" applyFill="1" applyBorder="1" applyAlignment="1">
      <alignment vertical="center"/>
    </xf>
    <xf numFmtId="40" fontId="4" fillId="0" borderId="0" xfId="0" applyNumberFormat="1" applyFont="1" applyFill="1" applyBorder="1" applyAlignment="1">
      <alignment horizontal="center" wrapText="1"/>
    </xf>
    <xf numFmtId="40" fontId="7" fillId="0" borderId="0" xfId="0" applyNumberFormat="1" applyFont="1" applyFill="1" applyBorder="1" applyAlignment="1">
      <alignment horizontal="center" wrapText="1"/>
    </xf>
    <xf numFmtId="165" fontId="8" fillId="0" borderId="1" xfId="1" applyFont="1" applyFill="1" applyBorder="1" applyAlignment="1">
      <alignment horizontal="center" vertical="center" wrapText="1"/>
    </xf>
    <xf numFmtId="184" fontId="9" fillId="0" borderId="0" xfId="0" applyNumberFormat="1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6" fillId="0" borderId="1" xfId="0" applyFont="1" applyBorder="1"/>
    <xf numFmtId="165" fontId="77" fillId="68" borderId="67" xfId="1" applyFont="1" applyFill="1" applyBorder="1" applyAlignment="1">
      <alignment horizontal="right" vertical="center"/>
    </xf>
    <xf numFmtId="0" fontId="5" fillId="2" borderId="0" xfId="198" applyFont="1" applyFill="1" applyAlignment="1">
      <alignment wrapText="1"/>
    </xf>
    <xf numFmtId="2" fontId="7" fillId="2" borderId="0" xfId="0" applyNumberFormat="1" applyFont="1" applyFill="1" applyAlignment="1">
      <alignment horizontal="center" vertical="center"/>
    </xf>
    <xf numFmtId="2" fontId="7" fillId="74" borderId="0" xfId="0" applyNumberFormat="1" applyFont="1" applyFill="1" applyAlignment="1">
      <alignment horizontal="center" vertical="center"/>
    </xf>
    <xf numFmtId="0" fontId="7" fillId="75" borderId="2" xfId="0" applyNumberFormat="1" applyFont="1" applyFill="1" applyBorder="1" applyAlignment="1" applyProtection="1">
      <alignment horizontal="center" vertical="center" wrapText="1"/>
    </xf>
    <xf numFmtId="4" fontId="4" fillId="0" borderId="2" xfId="5" applyNumberFormat="1" applyFont="1" applyBorder="1" applyAlignment="1">
      <alignment vertical="center"/>
    </xf>
    <xf numFmtId="4" fontId="67" fillId="64" borderId="3" xfId="0" applyNumberFormat="1" applyFont="1" applyFill="1" applyBorder="1" applyAlignment="1">
      <alignment horizontal="center" vertical="center"/>
    </xf>
    <xf numFmtId="2" fontId="7" fillId="68" borderId="0" xfId="0" applyNumberFormat="1" applyFont="1" applyFill="1" applyAlignment="1">
      <alignment horizontal="center" vertical="center"/>
    </xf>
    <xf numFmtId="0" fontId="66" fillId="0" borderId="14" xfId="0" applyFont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4" fillId="2" borderId="1" xfId="5" applyFont="1" applyFill="1" applyBorder="1" applyAlignment="1">
      <alignment horizontal="right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4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 wrapText="1"/>
    </xf>
    <xf numFmtId="0" fontId="7" fillId="73" borderId="1" xfId="0" applyNumberFormat="1" applyFont="1" applyFill="1" applyBorder="1" applyAlignment="1" applyProtection="1">
      <alignment horizontal="center" vertical="center" wrapText="1"/>
    </xf>
    <xf numFmtId="0" fontId="4" fillId="64" borderId="1" xfId="0" applyNumberFormat="1" applyFont="1" applyFill="1" applyBorder="1" applyAlignment="1">
      <alignment vertical="center"/>
    </xf>
    <xf numFmtId="169" fontId="8" fillId="2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6" fillId="0" borderId="1" xfId="0" applyFont="1" applyBorder="1" applyAlignment="1">
      <alignment horizontal="center" vertical="center"/>
    </xf>
    <xf numFmtId="2" fontId="7" fillId="0" borderId="0" xfId="0" applyNumberFormat="1" applyFont="1" applyAlignment="1">
      <alignment horizontal="left" vertical="center" wrapText="1"/>
    </xf>
    <xf numFmtId="17" fontId="0" fillId="0" borderId="0" xfId="0" applyNumberFormat="1" applyAlignment="1">
      <alignment horizontal="center"/>
    </xf>
    <xf numFmtId="0" fontId="77" fillId="0" borderId="67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/>
    </xf>
    <xf numFmtId="10" fontId="77" fillId="2" borderId="1" xfId="0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2" fontId="66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64" borderId="1" xfId="0" applyNumberFormat="1" applyFont="1" applyFill="1" applyBorder="1" applyAlignment="1">
      <alignment horizontal="center" vertical="center" wrapText="1"/>
    </xf>
    <xf numFmtId="2" fontId="67" fillId="0" borderId="1" xfId="0" applyNumberFormat="1" applyFont="1" applyBorder="1"/>
    <xf numFmtId="2" fontId="67" fillId="0" borderId="1" xfId="0" applyNumberFormat="1" applyFont="1" applyBorder="1" applyAlignment="1">
      <alignment horizontal="center"/>
    </xf>
    <xf numFmtId="44" fontId="76" fillId="0" borderId="0" xfId="0" applyNumberFormat="1" applyFont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8" fillId="69" borderId="14" xfId="0" applyFont="1" applyFill="1" applyBorder="1" applyAlignment="1">
      <alignment horizontal="center" vertical="center" wrapText="1"/>
    </xf>
    <xf numFmtId="165" fontId="78" fillId="69" borderId="14" xfId="0" applyNumberFormat="1" applyFont="1" applyFill="1" applyBorder="1" applyAlignment="1">
      <alignment horizontal="left" vertical="center"/>
    </xf>
    <xf numFmtId="166" fontId="78" fillId="2" borderId="14" xfId="2" applyFont="1" applyFill="1" applyBorder="1" applyAlignment="1">
      <alignment horizontal="right" vertical="center"/>
    </xf>
    <xf numFmtId="4" fontId="4" fillId="2" borderId="1" xfId="5" applyNumberFormat="1" applyFont="1" applyFill="1" applyBorder="1" applyAlignment="1">
      <alignment vertical="center"/>
    </xf>
    <xf numFmtId="166" fontId="78" fillId="2" borderId="1" xfId="2" applyFont="1" applyFill="1" applyBorder="1" applyAlignment="1">
      <alignment horizontal="left" vertical="center" wrapText="1"/>
    </xf>
    <xf numFmtId="0" fontId="84" fillId="0" borderId="0" xfId="0" applyFont="1"/>
    <xf numFmtId="0" fontId="80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85" fillId="0" borderId="75" xfId="149" applyFont="1" applyBorder="1"/>
    <xf numFmtId="165" fontId="10" fillId="0" borderId="1" xfId="149" applyFont="1" applyBorder="1"/>
    <xf numFmtId="0" fontId="84" fillId="0" borderId="27" xfId="0" applyFont="1" applyBorder="1"/>
    <xf numFmtId="0" fontId="84" fillId="0" borderId="22" xfId="0" applyFont="1" applyBorder="1"/>
    <xf numFmtId="0" fontId="10" fillId="0" borderId="28" xfId="0" applyFont="1" applyBorder="1" applyAlignment="1">
      <alignment horizontal="right"/>
    </xf>
    <xf numFmtId="165" fontId="77" fillId="77" borderId="1" xfId="149" applyFont="1" applyFill="1" applyBorder="1"/>
    <xf numFmtId="165" fontId="10" fillId="77" borderId="1" xfId="149" applyFont="1" applyFill="1" applyBorder="1"/>
    <xf numFmtId="165" fontId="10" fillId="0" borderId="81" xfId="149" applyFont="1" applyBorder="1"/>
    <xf numFmtId="165" fontId="77" fillId="0" borderId="79" xfId="149" applyFont="1" applyBorder="1"/>
    <xf numFmtId="165" fontId="86" fillId="78" borderId="1" xfId="149" applyFont="1" applyFill="1" applyBorder="1"/>
    <xf numFmtId="165" fontId="77" fillId="0" borderId="8" xfId="149" applyFont="1" applyBorder="1"/>
    <xf numFmtId="165" fontId="10" fillId="0" borderId="71" xfId="149" applyFont="1" applyBorder="1"/>
    <xf numFmtId="165" fontId="10" fillId="0" borderId="90" xfId="149" applyFont="1" applyBorder="1"/>
    <xf numFmtId="165" fontId="77" fillId="0" borderId="90" xfId="149" applyFont="1" applyBorder="1"/>
    <xf numFmtId="165" fontId="77" fillId="0" borderId="88" xfId="149" applyFont="1" applyBorder="1"/>
    <xf numFmtId="165" fontId="77" fillId="0" borderId="95" xfId="0" applyNumberFormat="1" applyFont="1" applyBorder="1"/>
    <xf numFmtId="0" fontId="87" fillId="0" borderId="0" xfId="10" applyFont="1" applyBorder="1" applyAlignment="1">
      <alignment horizontal="left"/>
    </xf>
    <xf numFmtId="0" fontId="10" fillId="0" borderId="0" xfId="0" applyFont="1"/>
    <xf numFmtId="0" fontId="31" fillId="0" borderId="26" xfId="10" applyFont="1" applyBorder="1" applyAlignment="1">
      <alignment horizontal="center"/>
    </xf>
    <xf numFmtId="0" fontId="78" fillId="69" borderId="1" xfId="0" applyFont="1" applyFill="1" applyBorder="1" applyAlignment="1">
      <alignment wrapText="1"/>
    </xf>
    <xf numFmtId="43" fontId="88" fillId="69" borderId="1" xfId="271" applyFont="1" applyFill="1" applyBorder="1" applyAlignment="1">
      <alignment vertical="center" wrapText="1"/>
    </xf>
    <xf numFmtId="165" fontId="88" fillId="69" borderId="25" xfId="271" applyNumberFormat="1" applyFont="1" applyFill="1" applyBorder="1" applyAlignment="1">
      <alignment vertical="center" wrapText="1"/>
    </xf>
    <xf numFmtId="0" fontId="78" fillId="69" borderId="14" xfId="0" applyFont="1" applyFill="1" applyBorder="1" applyAlignment="1">
      <alignment wrapText="1"/>
    </xf>
    <xf numFmtId="43" fontId="88" fillId="69" borderId="14" xfId="271" applyFont="1" applyFill="1" applyBorder="1" applyAlignment="1">
      <alignment vertical="center" wrapText="1"/>
    </xf>
    <xf numFmtId="165" fontId="83" fillId="0" borderId="68" xfId="0" applyNumberFormat="1" applyFont="1" applyBorder="1"/>
    <xf numFmtId="165" fontId="82" fillId="69" borderId="69" xfId="271" applyNumberFormat="1" applyFont="1" applyFill="1" applyBorder="1" applyAlignment="1">
      <alignment wrapText="1"/>
    </xf>
    <xf numFmtId="165" fontId="0" fillId="0" borderId="0" xfId="0" applyNumberFormat="1"/>
    <xf numFmtId="166" fontId="84" fillId="0" borderId="16" xfId="2" applyFont="1" applyBorder="1" applyAlignment="1">
      <alignment vertical="center"/>
    </xf>
    <xf numFmtId="166" fontId="84" fillId="2" borderId="1" xfId="2" applyFont="1" applyFill="1" applyBorder="1" applyAlignment="1">
      <alignment vertical="center"/>
    </xf>
    <xf numFmtId="166" fontId="84" fillId="2" borderId="14" xfId="2" applyFont="1" applyFill="1" applyBorder="1" applyAlignment="1">
      <alignment vertical="center"/>
    </xf>
    <xf numFmtId="0" fontId="84" fillId="0" borderId="1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79" fillId="0" borderId="9" xfId="0" applyFont="1" applyBorder="1" applyAlignment="1">
      <alignment vertical="center"/>
    </xf>
    <xf numFmtId="4" fontId="4" fillId="2" borderId="8" xfId="0" applyNumberFormat="1" applyFont="1" applyFill="1" applyBorder="1" applyAlignment="1">
      <alignment horizontal="center" vertical="center"/>
    </xf>
    <xf numFmtId="166" fontId="78" fillId="2" borderId="14" xfId="2" applyFont="1" applyFill="1" applyBorder="1" applyAlignment="1">
      <alignment horizontal="left" vertical="center" wrapText="1"/>
    </xf>
    <xf numFmtId="166" fontId="10" fillId="2" borderId="1" xfId="2" applyFont="1" applyFill="1" applyBorder="1" applyAlignment="1">
      <alignment horizontal="left" vertical="center" wrapText="1"/>
    </xf>
    <xf numFmtId="166" fontId="78" fillId="2" borderId="14" xfId="2" applyFont="1" applyFill="1" applyBorder="1" applyAlignment="1">
      <alignment horizontal="right" vertical="center" wrapText="1"/>
    </xf>
    <xf numFmtId="166" fontId="10" fillId="2" borderId="25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2" fontId="7" fillId="2" borderId="2" xfId="5" applyNumberFormat="1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2" fontId="4" fillId="2" borderId="1" xfId="5" applyNumberFormat="1" applyFont="1" applyFill="1" applyBorder="1" applyAlignment="1">
      <alignment horizontal="center" vertical="center"/>
    </xf>
    <xf numFmtId="165" fontId="7" fillId="2" borderId="1" xfId="1" applyFont="1" applyFill="1" applyBorder="1" applyAlignment="1">
      <alignment horizontal="center" vertical="center"/>
    </xf>
    <xf numFmtId="0" fontId="77" fillId="2" borderId="2" xfId="0" applyFont="1" applyFill="1" applyBorder="1" applyAlignment="1">
      <alignment horizontal="right" vertical="center"/>
    </xf>
    <xf numFmtId="0" fontId="77" fillId="2" borderId="3" xfId="0" applyFont="1" applyFill="1" applyBorder="1" applyAlignment="1">
      <alignment horizontal="right" vertical="center"/>
    </xf>
    <xf numFmtId="0" fontId="77" fillId="2" borderId="4" xfId="0" applyFont="1" applyFill="1" applyBorder="1" applyAlignment="1">
      <alignment horizontal="right" vertical="center"/>
    </xf>
    <xf numFmtId="0" fontId="77" fillId="2" borderId="2" xfId="0" applyFont="1" applyFill="1" applyBorder="1" applyAlignment="1">
      <alignment horizontal="left" vertical="center" wrapText="1"/>
    </xf>
    <xf numFmtId="0" fontId="77" fillId="2" borderId="3" xfId="0" applyFont="1" applyFill="1" applyBorder="1" applyAlignment="1">
      <alignment horizontal="left" vertical="center" wrapText="1"/>
    </xf>
    <xf numFmtId="0" fontId="77" fillId="2" borderId="4" xfId="0" applyFont="1" applyFill="1" applyBorder="1" applyAlignment="1">
      <alignment horizontal="left" vertical="center" wrapText="1"/>
    </xf>
    <xf numFmtId="0" fontId="77" fillId="68" borderId="27" xfId="0" applyFont="1" applyFill="1" applyBorder="1" applyAlignment="1">
      <alignment horizontal="right" vertical="center"/>
    </xf>
    <xf numFmtId="0" fontId="77" fillId="68" borderId="22" xfId="0" applyFont="1" applyFill="1" applyBorder="1" applyAlignment="1">
      <alignment horizontal="right" vertical="center"/>
    </xf>
    <xf numFmtId="0" fontId="77" fillId="68" borderId="66" xfId="0" applyFont="1" applyFill="1" applyBorder="1" applyAlignment="1">
      <alignment horizontal="right" vertical="center"/>
    </xf>
    <xf numFmtId="0" fontId="77" fillId="68" borderId="19" xfId="0" applyFont="1" applyFill="1" applyBorder="1" applyAlignment="1">
      <alignment horizontal="right" vertical="center"/>
    </xf>
    <xf numFmtId="0" fontId="77" fillId="68" borderId="20" xfId="0" applyFont="1" applyFill="1" applyBorder="1" applyAlignment="1">
      <alignment horizontal="right" vertical="center"/>
    </xf>
    <xf numFmtId="0" fontId="77" fillId="68" borderId="23" xfId="0" applyFont="1" applyFill="1" applyBorder="1" applyAlignment="1">
      <alignment horizontal="right" vertical="center"/>
    </xf>
    <xf numFmtId="0" fontId="81" fillId="70" borderId="54" xfId="0" applyFont="1" applyFill="1" applyBorder="1" applyAlignment="1">
      <alignment horizontal="right"/>
    </xf>
    <xf numFmtId="0" fontId="81" fillId="70" borderId="53" xfId="0" applyFont="1" applyFill="1" applyBorder="1" applyAlignment="1">
      <alignment horizontal="right"/>
    </xf>
    <xf numFmtId="0" fontId="81" fillId="70" borderId="57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7" fillId="71" borderId="54" xfId="0" applyFont="1" applyFill="1" applyBorder="1" applyAlignment="1">
      <alignment horizontal="left" vertical="center"/>
    </xf>
    <xf numFmtId="0" fontId="77" fillId="71" borderId="53" xfId="0" applyFont="1" applyFill="1" applyBorder="1" applyAlignment="1">
      <alignment horizontal="left" vertical="center"/>
    </xf>
    <xf numFmtId="0" fontId="77" fillId="71" borderId="57" xfId="0" applyFont="1" applyFill="1" applyBorder="1" applyAlignment="1">
      <alignment horizontal="left" vertical="center"/>
    </xf>
    <xf numFmtId="0" fontId="77" fillId="2" borderId="2" xfId="0" applyFont="1" applyFill="1" applyBorder="1" applyAlignment="1">
      <alignment horizontal="left" vertical="center"/>
    </xf>
    <xf numFmtId="0" fontId="77" fillId="2" borderId="3" xfId="0" applyFont="1" applyFill="1" applyBorder="1" applyAlignment="1">
      <alignment horizontal="left" vertical="center"/>
    </xf>
    <xf numFmtId="0" fontId="77" fillId="2" borderId="65" xfId="0" applyFont="1" applyFill="1" applyBorder="1" applyAlignment="1">
      <alignment horizontal="left" vertical="center"/>
    </xf>
    <xf numFmtId="0" fontId="77" fillId="2" borderId="55" xfId="0" applyFont="1" applyFill="1" applyBorder="1" applyAlignment="1">
      <alignment horizontal="right" vertical="center"/>
    </xf>
    <xf numFmtId="0" fontId="77" fillId="2" borderId="58" xfId="0" applyFont="1" applyFill="1" applyBorder="1" applyAlignment="1">
      <alignment horizontal="right" vertical="center"/>
    </xf>
    <xf numFmtId="0" fontId="77" fillId="2" borderId="56" xfId="0" applyFont="1" applyFill="1" applyBorder="1" applyAlignment="1">
      <alignment horizontal="right" vertical="center"/>
    </xf>
    <xf numFmtId="0" fontId="77" fillId="2" borderId="19" xfId="0" applyFont="1" applyFill="1" applyBorder="1" applyAlignment="1">
      <alignment horizontal="center" vertical="center"/>
    </xf>
    <xf numFmtId="0" fontId="77" fillId="2" borderId="20" xfId="0" applyFont="1" applyFill="1" applyBorder="1" applyAlignment="1">
      <alignment horizontal="center" vertical="center"/>
    </xf>
    <xf numFmtId="0" fontId="77" fillId="2" borderId="21" xfId="0" applyFont="1" applyFill="1" applyBorder="1" applyAlignment="1">
      <alignment horizontal="center" vertical="center"/>
    </xf>
    <xf numFmtId="0" fontId="79" fillId="0" borderId="0" xfId="0" applyFont="1" applyBorder="1" applyAlignment="1">
      <alignment horizontal="center"/>
    </xf>
    <xf numFmtId="0" fontId="77" fillId="2" borderId="60" xfId="0" applyFont="1" applyFill="1" applyBorder="1" applyAlignment="1">
      <alignment horizontal="left" vertical="center" wrapText="1" shrinkToFit="1"/>
    </xf>
    <xf numFmtId="0" fontId="77" fillId="2" borderId="62" xfId="0" applyFont="1" applyFill="1" applyBorder="1" applyAlignment="1">
      <alignment horizontal="left" vertical="center" wrapText="1" shrinkToFit="1"/>
    </xf>
    <xf numFmtId="0" fontId="77" fillId="2" borderId="61" xfId="0" applyFont="1" applyFill="1" applyBorder="1" applyAlignment="1">
      <alignment horizontal="center" vertical="center" wrapText="1" shrinkToFit="1"/>
    </xf>
    <xf numFmtId="0" fontId="77" fillId="2" borderId="60" xfId="0" applyFont="1" applyFill="1" applyBorder="1" applyAlignment="1">
      <alignment horizontal="center" vertical="center" wrapText="1" shrinkToFit="1"/>
    </xf>
    <xf numFmtId="0" fontId="77" fillId="2" borderId="18" xfId="0" applyFont="1" applyFill="1" applyBorder="1" applyAlignment="1">
      <alignment horizontal="center" vertical="center" wrapText="1" shrinkToFit="1"/>
    </xf>
    <xf numFmtId="0" fontId="77" fillId="2" borderId="0" xfId="0" applyFont="1" applyFill="1" applyBorder="1" applyAlignment="1">
      <alignment horizontal="center" vertical="center" wrapText="1" shrinkToFit="1"/>
    </xf>
    <xf numFmtId="0" fontId="77" fillId="2" borderId="27" xfId="0" applyFont="1" applyFill="1" applyBorder="1" applyAlignment="1">
      <alignment horizontal="center" vertical="center" wrapText="1" shrinkToFit="1"/>
    </xf>
    <xf numFmtId="0" fontId="77" fillId="2" borderId="22" xfId="0" applyFont="1" applyFill="1" applyBorder="1" applyAlignment="1">
      <alignment horizontal="center" vertical="center" wrapText="1" shrinkToFit="1"/>
    </xf>
    <xf numFmtId="0" fontId="77" fillId="71" borderId="19" xfId="0" applyFont="1" applyFill="1" applyBorder="1" applyAlignment="1">
      <alignment horizontal="left" vertical="center" wrapText="1"/>
    </xf>
    <xf numFmtId="0" fontId="77" fillId="71" borderId="20" xfId="0" applyFont="1" applyFill="1" applyBorder="1" applyAlignment="1">
      <alignment horizontal="left" vertical="center" wrapText="1"/>
    </xf>
    <xf numFmtId="0" fontId="77" fillId="71" borderId="21" xfId="0" applyFont="1" applyFill="1" applyBorder="1" applyAlignment="1">
      <alignment horizontal="left" vertical="center" wrapText="1"/>
    </xf>
    <xf numFmtId="0" fontId="77" fillId="71" borderId="54" xfId="0" applyFont="1" applyFill="1" applyBorder="1" applyAlignment="1">
      <alignment horizontal="left" vertical="center" wrapText="1"/>
    </xf>
    <xf numFmtId="0" fontId="77" fillId="71" borderId="53" xfId="0" applyFont="1" applyFill="1" applyBorder="1" applyAlignment="1">
      <alignment horizontal="left" vertical="center" wrapText="1"/>
    </xf>
    <xf numFmtId="0" fontId="77" fillId="71" borderId="57" xfId="0" applyFont="1" applyFill="1" applyBorder="1" applyAlignment="1">
      <alignment horizontal="left" vertical="center" wrapText="1"/>
    </xf>
    <xf numFmtId="0" fontId="77" fillId="71" borderId="52" xfId="0" applyFont="1" applyFill="1" applyBorder="1" applyAlignment="1">
      <alignment horizontal="left" vertical="center" wrapText="1"/>
    </xf>
    <xf numFmtId="0" fontId="77" fillId="71" borderId="59" xfId="0" applyFont="1" applyFill="1" applyBorder="1" applyAlignment="1">
      <alignment horizontal="left" vertical="center" wrapText="1"/>
    </xf>
    <xf numFmtId="0" fontId="77" fillId="72" borderId="2" xfId="0" applyFont="1" applyFill="1" applyBorder="1" applyAlignment="1">
      <alignment horizontal="center" vertical="center" wrapText="1"/>
    </xf>
    <xf numFmtId="0" fontId="77" fillId="72" borderId="3" xfId="0" applyFont="1" applyFill="1" applyBorder="1" applyAlignment="1">
      <alignment horizontal="center" vertical="center" wrapText="1"/>
    </xf>
    <xf numFmtId="0" fontId="77" fillId="7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181" fontId="12" fillId="0" borderId="2" xfId="0" applyNumberFormat="1" applyFont="1" applyBorder="1" applyAlignment="1">
      <alignment horizontal="center"/>
    </xf>
    <xf numFmtId="181" fontId="12" fillId="0" borderId="3" xfId="0" applyNumberFormat="1" applyFont="1" applyBorder="1" applyAlignment="1">
      <alignment horizontal="center"/>
    </xf>
    <xf numFmtId="181" fontId="12" fillId="0" borderId="4" xfId="0" applyNumberFormat="1" applyFont="1" applyBorder="1" applyAlignment="1">
      <alignment horizontal="center"/>
    </xf>
    <xf numFmtId="0" fontId="2" fillId="65" borderId="1" xfId="5" applyNumberFormat="1" applyFont="1" applyFill="1" applyBorder="1" applyAlignment="1">
      <alignment horizontal="center" vertical="center"/>
    </xf>
    <xf numFmtId="0" fontId="14" fillId="2" borderId="0" xfId="198" applyFont="1" applyFill="1" applyAlignment="1">
      <alignment horizontal="center"/>
    </xf>
    <xf numFmtId="0" fontId="14" fillId="2" borderId="0" xfId="198" applyFont="1" applyFill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/>
    </xf>
    <xf numFmtId="0" fontId="5" fillId="6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1" fillId="2" borderId="0" xfId="198" applyFont="1" applyFill="1" applyAlignment="1">
      <alignment horizontal="center"/>
    </xf>
    <xf numFmtId="0" fontId="2" fillId="65" borderId="3" xfId="5" applyFont="1" applyFill="1" applyBorder="1" applyAlignment="1">
      <alignment horizontal="left" vertical="top" wrapText="1"/>
    </xf>
    <xf numFmtId="0" fontId="2" fillId="65" borderId="4" xfId="5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1" fillId="2" borderId="0" xfId="198" applyFont="1" applyFill="1" applyAlignment="1">
      <alignment horizontal="center" vertical="center" wrapText="1"/>
    </xf>
    <xf numFmtId="0" fontId="73" fillId="2" borderId="0" xfId="198" applyFont="1" applyFill="1" applyAlignment="1">
      <alignment horizontal="center"/>
    </xf>
    <xf numFmtId="0" fontId="2" fillId="65" borderId="3" xfId="5" applyFont="1" applyFill="1" applyBorder="1" applyAlignment="1">
      <alignment horizontal="left" vertical="center"/>
    </xf>
    <xf numFmtId="0" fontId="2" fillId="65" borderId="4" xfId="5" applyFont="1" applyFill="1" applyBorder="1" applyAlignment="1">
      <alignment horizontal="left" vertical="center"/>
    </xf>
    <xf numFmtId="0" fontId="3" fillId="2" borderId="2" xfId="5" applyNumberFormat="1" applyFont="1" applyFill="1" applyBorder="1" applyAlignment="1">
      <alignment horizontal="center" vertical="center"/>
    </xf>
    <xf numFmtId="0" fontId="3" fillId="2" borderId="4" xfId="5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73" fillId="2" borderId="0" xfId="198" applyFont="1" applyFill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6" fillId="0" borderId="0" xfId="12" applyFont="1" applyFill="1" applyBorder="1" applyAlignment="1">
      <alignment horizontal="center" vertical="center" wrapText="1"/>
    </xf>
    <xf numFmtId="0" fontId="14" fillId="64" borderId="2" xfId="0" applyFont="1" applyFill="1" applyBorder="1" applyAlignment="1">
      <alignment horizontal="right" vertical="center"/>
    </xf>
    <xf numFmtId="0" fontId="14" fillId="64" borderId="3" xfId="0" applyFont="1" applyFill="1" applyBorder="1" applyAlignment="1">
      <alignment horizontal="right" vertical="center"/>
    </xf>
    <xf numFmtId="0" fontId="14" fillId="64" borderId="4" xfId="0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7" fillId="65" borderId="2" xfId="0" applyFont="1" applyFill="1" applyBorder="1" applyAlignment="1" applyProtection="1">
      <alignment horizontal="center" vertical="center" wrapText="1"/>
    </xf>
    <xf numFmtId="0" fontId="7" fillId="65" borderId="3" xfId="0" applyFont="1" applyFill="1" applyBorder="1" applyAlignment="1" applyProtection="1">
      <alignment horizontal="center" vertical="center" wrapText="1"/>
    </xf>
    <xf numFmtId="0" fontId="7" fillId="65" borderId="4" xfId="0" applyFont="1" applyFill="1" applyBorder="1" applyAlignment="1" applyProtection="1">
      <alignment horizontal="center" vertical="center" wrapText="1"/>
    </xf>
    <xf numFmtId="0" fontId="7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0" fontId="7" fillId="0" borderId="0" xfId="0" applyNumberFormat="1" applyFont="1" applyFill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66" fillId="0" borderId="1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7" fillId="74" borderId="0" xfId="0" applyFont="1" applyFill="1" applyAlignment="1">
      <alignment horizontal="left" wrapText="1"/>
    </xf>
    <xf numFmtId="40" fontId="7" fillId="0" borderId="0" xfId="0" applyNumberFormat="1" applyFont="1" applyFill="1" applyAlignment="1">
      <alignment horizontal="left" wrapText="1"/>
    </xf>
    <xf numFmtId="0" fontId="4" fillId="64" borderId="2" xfId="0" applyNumberFormat="1" applyFont="1" applyFill="1" applyBorder="1" applyAlignment="1">
      <alignment horizontal="left" vertical="center"/>
    </xf>
    <xf numFmtId="0" fontId="4" fillId="64" borderId="4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 wrapText="1"/>
    </xf>
    <xf numFmtId="0" fontId="7" fillId="73" borderId="2" xfId="0" applyFont="1" applyFill="1" applyBorder="1" applyAlignment="1" applyProtection="1">
      <alignment horizontal="left" vertical="center" wrapText="1"/>
    </xf>
    <xf numFmtId="0" fontId="7" fillId="73" borderId="3" xfId="0" applyFont="1" applyFill="1" applyBorder="1" applyAlignment="1" applyProtection="1">
      <alignment horizontal="left" vertical="center" wrapText="1"/>
    </xf>
    <xf numFmtId="0" fontId="7" fillId="73" borderId="4" xfId="0" applyFont="1" applyFill="1" applyBorder="1" applyAlignment="1" applyProtection="1">
      <alignment horizontal="left" vertical="center" wrapText="1"/>
    </xf>
    <xf numFmtId="0" fontId="7" fillId="64" borderId="2" xfId="0" applyNumberFormat="1" applyFont="1" applyFill="1" applyBorder="1" applyAlignment="1">
      <alignment horizontal="left" vertical="center"/>
    </xf>
    <xf numFmtId="0" fontId="7" fillId="64" borderId="4" xfId="0" applyNumberFormat="1" applyFont="1" applyFill="1" applyBorder="1" applyAlignment="1">
      <alignment horizontal="left" vertical="center"/>
    </xf>
    <xf numFmtId="0" fontId="7" fillId="75" borderId="2" xfId="0" applyFont="1" applyFill="1" applyBorder="1" applyAlignment="1" applyProtection="1">
      <alignment horizontal="left" vertical="center" wrapText="1"/>
    </xf>
    <xf numFmtId="0" fontId="7" fillId="75" borderId="3" xfId="0" applyFont="1" applyFill="1" applyBorder="1" applyAlignment="1" applyProtection="1">
      <alignment horizontal="left" vertical="center" wrapText="1"/>
    </xf>
    <xf numFmtId="0" fontId="7" fillId="75" borderId="4" xfId="0" applyFont="1" applyFill="1" applyBorder="1" applyAlignment="1" applyProtection="1">
      <alignment horizontal="left" vertical="center" wrapText="1"/>
    </xf>
    <xf numFmtId="0" fontId="4" fillId="64" borderId="2" xfId="0" applyNumberFormat="1" applyFont="1" applyFill="1" applyBorder="1" applyAlignment="1">
      <alignment horizontal="center" vertical="center"/>
    </xf>
    <xf numFmtId="0" fontId="4" fillId="64" borderId="3" xfId="0" applyNumberFormat="1" applyFont="1" applyFill="1" applyBorder="1" applyAlignment="1">
      <alignment horizontal="center" vertical="center"/>
    </xf>
    <xf numFmtId="0" fontId="7" fillId="68" borderId="0" xfId="0" applyFont="1" applyFill="1" applyAlignment="1">
      <alignment horizontal="left" wrapText="1"/>
    </xf>
    <xf numFmtId="0" fontId="65" fillId="0" borderId="54" xfId="0" applyFont="1" applyBorder="1" applyAlignment="1">
      <alignment horizontal="center"/>
    </xf>
    <xf numFmtId="0" fontId="65" fillId="0" borderId="53" xfId="0" applyFont="1" applyBorder="1" applyAlignment="1">
      <alignment horizontal="center"/>
    </xf>
    <xf numFmtId="0" fontId="65" fillId="0" borderId="57" xfId="0" applyFont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56" fillId="0" borderId="55" xfId="12" applyFont="1" applyFill="1" applyBorder="1" applyAlignment="1">
      <alignment horizontal="center" vertical="center" wrapText="1"/>
    </xf>
    <xf numFmtId="0" fontId="56" fillId="0" borderId="58" xfId="12" applyFont="1" applyFill="1" applyBorder="1" applyAlignment="1">
      <alignment horizontal="center" vertical="center" wrapText="1"/>
    </xf>
    <xf numFmtId="0" fontId="56" fillId="0" borderId="56" xfId="12" applyFont="1" applyFill="1" applyBorder="1" applyAlignment="1">
      <alignment horizontal="center" vertical="center" wrapText="1"/>
    </xf>
    <xf numFmtId="0" fontId="73" fillId="2" borderId="0" xfId="198" applyFont="1" applyFill="1" applyAlignment="1">
      <alignment horizontal="center" vertical="center" wrapText="1"/>
    </xf>
    <xf numFmtId="3" fontId="2" fillId="67" borderId="2" xfId="6" applyNumberFormat="1" applyFont="1" applyFill="1" applyBorder="1" applyAlignment="1">
      <alignment horizontal="center" vertical="center"/>
    </xf>
    <xf numFmtId="3" fontId="2" fillId="67" borderId="3" xfId="6" applyNumberFormat="1" applyFont="1" applyFill="1" applyBorder="1" applyAlignment="1">
      <alignment horizontal="center" vertical="center"/>
    </xf>
    <xf numFmtId="3" fontId="2" fillId="67" borderId="4" xfId="6" applyNumberFormat="1" applyFont="1" applyFill="1" applyBorder="1" applyAlignment="1">
      <alignment horizontal="center" vertical="center"/>
    </xf>
    <xf numFmtId="0" fontId="73" fillId="2" borderId="6" xfId="198" applyFont="1" applyFill="1" applyBorder="1" applyAlignment="1">
      <alignment horizontal="center"/>
    </xf>
    <xf numFmtId="0" fontId="73" fillId="2" borderId="0" xfId="198" applyFont="1" applyFill="1" applyBorder="1" applyAlignment="1">
      <alignment horizontal="center"/>
    </xf>
    <xf numFmtId="0" fontId="73" fillId="2" borderId="6" xfId="198" applyFont="1" applyFill="1" applyBorder="1" applyAlignment="1">
      <alignment horizontal="center" wrapText="1"/>
    </xf>
    <xf numFmtId="0" fontId="73" fillId="2" borderId="0" xfId="198" applyFont="1" applyFill="1" applyBorder="1" applyAlignment="1">
      <alignment horizontal="center" wrapText="1"/>
    </xf>
    <xf numFmtId="0" fontId="11" fillId="68" borderId="2" xfId="0" applyFont="1" applyFill="1" applyBorder="1" applyAlignment="1">
      <alignment horizontal="center" vertical="center" wrapText="1"/>
    </xf>
    <xf numFmtId="0" fontId="11" fillId="68" borderId="3" xfId="0" applyFont="1" applyFill="1" applyBorder="1" applyAlignment="1">
      <alignment horizontal="center" vertical="center" wrapText="1"/>
    </xf>
    <xf numFmtId="0" fontId="11" fillId="68" borderId="4" xfId="0" applyFont="1" applyFill="1" applyBorder="1" applyAlignment="1">
      <alignment horizontal="center" vertical="center" wrapText="1"/>
    </xf>
    <xf numFmtId="0" fontId="11" fillId="68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77" fillId="0" borderId="92" xfId="0" applyFont="1" applyBorder="1" applyAlignment="1">
      <alignment horizontal="right"/>
    </xf>
    <xf numFmtId="0" fontId="77" fillId="0" borderId="93" xfId="0" applyFont="1" applyBorder="1" applyAlignment="1">
      <alignment horizontal="right"/>
    </xf>
    <xf numFmtId="0" fontId="77" fillId="0" borderId="94" xfId="0" applyFont="1" applyBorder="1" applyAlignment="1">
      <alignment horizontal="right"/>
    </xf>
    <xf numFmtId="0" fontId="10" fillId="0" borderId="78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right"/>
    </xf>
    <xf numFmtId="0" fontId="10" fillId="0" borderId="74" xfId="0" applyFont="1" applyBorder="1" applyAlignment="1">
      <alignment horizontal="right"/>
    </xf>
    <xf numFmtId="0" fontId="10" fillId="0" borderId="80" xfId="0" applyFont="1" applyBorder="1" applyAlignment="1">
      <alignment horizontal="right"/>
    </xf>
    <xf numFmtId="165" fontId="77" fillId="0" borderId="82" xfId="149" applyFont="1" applyBorder="1" applyAlignment="1">
      <alignment horizontal="center" vertical="center" wrapText="1"/>
    </xf>
    <xf numFmtId="165" fontId="77" fillId="0" borderId="84" xfId="149" applyFont="1" applyBorder="1" applyAlignment="1">
      <alignment horizontal="center" vertical="center" wrapText="1"/>
    </xf>
    <xf numFmtId="0" fontId="86" fillId="78" borderId="8" xfId="0" applyFont="1" applyFill="1" applyBorder="1" applyAlignment="1">
      <alignment horizontal="right"/>
    </xf>
    <xf numFmtId="0" fontId="86" fillId="78" borderId="9" xfId="0" applyFont="1" applyFill="1" applyBorder="1" applyAlignment="1">
      <alignment horizontal="right"/>
    </xf>
    <xf numFmtId="0" fontId="86" fillId="78" borderId="10" xfId="0" applyFont="1" applyFill="1" applyBorder="1" applyAlignment="1">
      <alignment horizontal="right"/>
    </xf>
    <xf numFmtId="0" fontId="10" fillId="0" borderId="85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73" xfId="0" applyFont="1" applyBorder="1" applyAlignment="1">
      <alignment horizontal="right"/>
    </xf>
    <xf numFmtId="165" fontId="77" fillId="77" borderId="86" xfId="149" applyFont="1" applyFill="1" applyBorder="1" applyAlignment="1">
      <alignment horizontal="center"/>
    </xf>
    <xf numFmtId="165" fontId="77" fillId="77" borderId="91" xfId="149" applyFont="1" applyFill="1" applyBorder="1" applyAlignment="1">
      <alignment horizontal="center"/>
    </xf>
    <xf numFmtId="0" fontId="10" fillId="0" borderId="88" xfId="0" applyFont="1" applyBorder="1" applyAlignment="1">
      <alignment horizontal="right"/>
    </xf>
    <xf numFmtId="0" fontId="10" fillId="0" borderId="77" xfId="0" applyFont="1" applyBorder="1" applyAlignment="1">
      <alignment horizontal="right"/>
    </xf>
    <xf numFmtId="0" fontId="10" fillId="0" borderId="89" xfId="0" applyFont="1" applyBorder="1" applyAlignment="1">
      <alignment horizontal="right"/>
    </xf>
    <xf numFmtId="0" fontId="77" fillId="0" borderId="61" xfId="0" applyFont="1" applyBorder="1" applyAlignment="1">
      <alignment horizontal="center" vertical="center" wrapText="1" shrinkToFit="1"/>
    </xf>
    <xf numFmtId="0" fontId="77" fillId="0" borderId="60" xfId="0" applyFont="1" applyBorder="1" applyAlignment="1">
      <alignment horizontal="center" vertical="center" wrapText="1" shrinkToFit="1"/>
    </xf>
    <xf numFmtId="0" fontId="77" fillId="0" borderId="62" xfId="0" applyFont="1" applyBorder="1" applyAlignment="1">
      <alignment horizontal="center" vertical="center" wrapText="1" shrinkToFit="1"/>
    </xf>
    <xf numFmtId="0" fontId="77" fillId="0" borderId="18" xfId="0" applyFont="1" applyBorder="1" applyAlignment="1">
      <alignment horizontal="center" vertical="center" wrapText="1" shrinkToFit="1"/>
    </xf>
    <xf numFmtId="0" fontId="77" fillId="0" borderId="0" xfId="0" applyFont="1" applyBorder="1" applyAlignment="1">
      <alignment horizontal="center" vertical="center" wrapText="1" shrinkToFit="1"/>
    </xf>
    <xf numFmtId="0" fontId="77" fillId="0" borderId="63" xfId="0" applyFont="1" applyBorder="1" applyAlignment="1">
      <alignment horizontal="center" vertical="center" wrapText="1" shrinkToFit="1"/>
    </xf>
    <xf numFmtId="165" fontId="77" fillId="0" borderId="76" xfId="149" applyFont="1" applyBorder="1" applyAlignment="1">
      <alignment horizontal="center" vertical="center" wrapText="1"/>
    </xf>
    <xf numFmtId="165" fontId="77" fillId="0" borderId="15" xfId="149" applyFont="1" applyBorder="1" applyAlignment="1">
      <alignment horizontal="center" vertical="center" wrapText="1"/>
    </xf>
    <xf numFmtId="165" fontId="77" fillId="0" borderId="16" xfId="149" applyFont="1" applyBorder="1" applyAlignment="1">
      <alignment horizontal="center" vertical="center" wrapText="1"/>
    </xf>
    <xf numFmtId="0" fontId="84" fillId="0" borderId="64" xfId="0" applyFont="1" applyFill="1" applyBorder="1" applyAlignment="1">
      <alignment horizontal="center"/>
    </xf>
    <xf numFmtId="0" fontId="84" fillId="0" borderId="3" xfId="0" applyFont="1" applyFill="1" applyBorder="1" applyAlignment="1">
      <alignment horizontal="center"/>
    </xf>
    <xf numFmtId="0" fontId="84" fillId="0" borderId="4" xfId="0" applyFont="1" applyFill="1" applyBorder="1" applyAlignment="1">
      <alignment horizontal="center"/>
    </xf>
    <xf numFmtId="0" fontId="10" fillId="0" borderId="18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77" fillId="77" borderId="74" xfId="0" applyFont="1" applyFill="1" applyBorder="1" applyAlignment="1">
      <alignment horizontal="center" vertical="center" textRotation="90" wrapText="1"/>
    </xf>
    <xf numFmtId="0" fontId="77" fillId="77" borderId="0" xfId="0" applyFont="1" applyFill="1" applyBorder="1" applyAlignment="1">
      <alignment horizontal="center" vertical="center" textRotation="90" wrapText="1"/>
    </xf>
    <xf numFmtId="0" fontId="77" fillId="77" borderId="77" xfId="0" applyFont="1" applyFill="1" applyBorder="1" applyAlignment="1">
      <alignment horizontal="center" vertical="center" textRotation="90" wrapText="1"/>
    </xf>
    <xf numFmtId="0" fontId="80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7" fillId="76" borderId="9" xfId="0" applyFont="1" applyFill="1" applyBorder="1" applyAlignment="1">
      <alignment horizontal="center" vertical="center" wrapText="1"/>
    </xf>
    <xf numFmtId="0" fontId="80" fillId="0" borderId="9" xfId="0" applyFont="1" applyBorder="1" applyAlignment="1">
      <alignment horizontal="center"/>
    </xf>
    <xf numFmtId="0" fontId="77" fillId="0" borderId="14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71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73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2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15" xfId="0" applyFont="1" applyBorder="1" applyAlignment="1">
      <alignment horizontal="center" vertical="center" wrapText="1"/>
    </xf>
    <xf numFmtId="0" fontId="84" fillId="77" borderId="71" xfId="0" applyFont="1" applyFill="1" applyBorder="1" applyAlignment="1">
      <alignment horizontal="center"/>
    </xf>
    <xf numFmtId="0" fontId="84" fillId="77" borderId="5" xfId="0" applyFont="1" applyFill="1" applyBorder="1" applyAlignment="1">
      <alignment horizontal="center"/>
    </xf>
    <xf numFmtId="0" fontId="84" fillId="77" borderId="73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7" fillId="0" borderId="98" xfId="0" applyFont="1" applyBorder="1" applyAlignment="1">
      <alignment horizontal="center"/>
    </xf>
    <xf numFmtId="0" fontId="77" fillId="0" borderId="58" xfId="0" applyFont="1" applyBorder="1" applyAlignment="1">
      <alignment horizontal="center"/>
    </xf>
    <xf numFmtId="0" fontId="77" fillId="0" borderId="56" xfId="0" applyFont="1" applyBorder="1" applyAlignment="1">
      <alignment horizontal="center"/>
    </xf>
    <xf numFmtId="0" fontId="2" fillId="0" borderId="0" xfId="10" applyFont="1" applyBorder="1" applyAlignment="1">
      <alignment horizontal="center" vertical="center" wrapText="1"/>
    </xf>
    <xf numFmtId="0" fontId="81" fillId="79" borderId="96" xfId="10" applyFont="1" applyFill="1" applyBorder="1" applyAlignment="1">
      <alignment horizontal="center"/>
    </xf>
    <xf numFmtId="0" fontId="81" fillId="79" borderId="26" xfId="10" applyFont="1" applyFill="1" applyBorder="1" applyAlignment="1">
      <alignment horizontal="center"/>
    </xf>
    <xf numFmtId="0" fontId="81" fillId="79" borderId="75" xfId="10" applyFont="1" applyFill="1" applyBorder="1" applyAlignment="1">
      <alignment horizontal="center"/>
    </xf>
    <xf numFmtId="0" fontId="81" fillId="79" borderId="1" xfId="10" applyFont="1" applyFill="1" applyBorder="1" applyAlignment="1">
      <alignment horizontal="center"/>
    </xf>
    <xf numFmtId="0" fontId="81" fillId="79" borderId="75" xfId="10" applyFont="1" applyFill="1" applyBorder="1" applyAlignment="1">
      <alignment horizontal="center" vertical="center"/>
    </xf>
    <xf numFmtId="0" fontId="81" fillId="79" borderId="1" xfId="10" applyFont="1" applyFill="1" applyBorder="1" applyAlignment="1">
      <alignment horizontal="center" vertical="center"/>
    </xf>
    <xf numFmtId="0" fontId="81" fillId="79" borderId="75" xfId="10" applyFont="1" applyFill="1" applyBorder="1" applyAlignment="1">
      <alignment horizontal="center" vertical="center" wrapText="1"/>
    </xf>
    <xf numFmtId="0" fontId="81" fillId="79" borderId="1" xfId="10" applyFont="1" applyFill="1" applyBorder="1" applyAlignment="1">
      <alignment horizontal="center" vertical="center" wrapText="1"/>
    </xf>
    <xf numFmtId="0" fontId="81" fillId="79" borderId="97" xfId="10" applyFont="1" applyFill="1" applyBorder="1" applyAlignment="1">
      <alignment horizontal="center" vertical="center" wrapText="1"/>
    </xf>
    <xf numFmtId="0" fontId="81" fillId="79" borderId="25" xfId="10" applyFont="1" applyFill="1" applyBorder="1" applyAlignment="1">
      <alignment horizontal="center" vertical="center" wrapText="1"/>
    </xf>
  </cellXfs>
  <cellStyles count="387">
    <cellStyle name="0,0_x000d__x000a_NA_x000d__x000a_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Ênfase1 2" xfId="25"/>
    <cellStyle name="20% - Ênfase1 2 2" xfId="204"/>
    <cellStyle name="20% - Ênfase1 3" xfId="152"/>
    <cellStyle name="20% - Ênfase2 2" xfId="26"/>
    <cellStyle name="20% - Ênfase2 2 2" xfId="205"/>
    <cellStyle name="20% - Ênfase2 3" xfId="153"/>
    <cellStyle name="20% - Ênfase3 2" xfId="27"/>
    <cellStyle name="20% - Ênfase3 2 2" xfId="206"/>
    <cellStyle name="20% - Ênfase3 3" xfId="154"/>
    <cellStyle name="20% - Ênfase4 2" xfId="28"/>
    <cellStyle name="20% - Ênfase4 2 2" xfId="207"/>
    <cellStyle name="20% - Ênfase4 3" xfId="155"/>
    <cellStyle name="20% - Ênfase5 2" xfId="29"/>
    <cellStyle name="20% - Ênfase5 2 2" xfId="208"/>
    <cellStyle name="20% - Ênfase5 3" xfId="156"/>
    <cellStyle name="20% - Ênfase6 2" xfId="30"/>
    <cellStyle name="20% - Ênfase6 2 2" xfId="209"/>
    <cellStyle name="20% - Ênfase6 3" xfId="157"/>
    <cellStyle name="3988,43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40% - Ênfase1 2" xfId="38"/>
    <cellStyle name="40% - Ênfase1 2 2" xfId="211"/>
    <cellStyle name="40% - Ênfase1 3" xfId="158"/>
    <cellStyle name="40% - Ênfase2 2" xfId="39"/>
    <cellStyle name="40% - Ênfase2 2 2" xfId="212"/>
    <cellStyle name="40% - Ênfase2 3" xfId="159"/>
    <cellStyle name="40% - Ênfase3 2" xfId="40"/>
    <cellStyle name="40% - Ênfase3 2 2" xfId="213"/>
    <cellStyle name="40% - Ênfase3 3" xfId="160"/>
    <cellStyle name="40% - Ênfase4 2" xfId="41"/>
    <cellStyle name="40% - Ênfase4 2 2" xfId="214"/>
    <cellStyle name="40% - Ênfase4 3" xfId="161"/>
    <cellStyle name="40% - Ênfase5 2" xfId="42"/>
    <cellStyle name="40% - Ênfase5 2 2" xfId="215"/>
    <cellStyle name="40% - Ênfase5 3" xfId="162"/>
    <cellStyle name="40% - Ênfase6 2" xfId="43"/>
    <cellStyle name="40% - Ênfase6 2 2" xfId="217"/>
    <cellStyle name="40% - Ênfase6 3" xfId="16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60% - Ênfase1 2" xfId="50"/>
    <cellStyle name="60% - Ênfase1 3" xfId="164"/>
    <cellStyle name="60% - Ênfase2 2" xfId="51"/>
    <cellStyle name="60% - Ênfase2 3" xfId="165"/>
    <cellStyle name="60% - Ênfase3 2" xfId="52"/>
    <cellStyle name="60% - Ênfase3 3" xfId="166"/>
    <cellStyle name="60% - Ênfase4 2" xfId="53"/>
    <cellStyle name="60% - Ênfase4 3" xfId="167"/>
    <cellStyle name="60% - Ênfase5 2" xfId="54"/>
    <cellStyle name="60% - Ênfase5 3" xfId="168"/>
    <cellStyle name="60% - Ênfase6 2" xfId="55"/>
    <cellStyle name="60% - Ênfase6 3" xfId="169"/>
    <cellStyle name="Accent1" xfId="56"/>
    <cellStyle name="Accent2" xfId="57"/>
    <cellStyle name="Accent3" xfId="58"/>
    <cellStyle name="Accent4" xfId="59"/>
    <cellStyle name="Accent5" xfId="60"/>
    <cellStyle name="Accent6" xfId="61"/>
    <cellStyle name="Bad" xfId="62"/>
    <cellStyle name="Bom 2" xfId="63"/>
    <cellStyle name="Bom 3" xfId="170"/>
    <cellStyle name="Calculation" xfId="64"/>
    <cellStyle name="Cálculo 2" xfId="65"/>
    <cellStyle name="Cálculo 3" xfId="171"/>
    <cellStyle name="Célula de Verificação 2" xfId="66"/>
    <cellStyle name="Célula de Verificação 3" xfId="172"/>
    <cellStyle name="Célula Vinculada 2" xfId="67"/>
    <cellStyle name="Célula Vinculada 3" xfId="173"/>
    <cellStyle name="Check Cell" xfId="68"/>
    <cellStyle name="Comma" xfId="69"/>
    <cellStyle name="Comma0" xfId="70"/>
    <cellStyle name="Currency" xfId="71"/>
    <cellStyle name="Currency0" xfId="72"/>
    <cellStyle name="Data" xfId="73"/>
    <cellStyle name="Date" xfId="74"/>
    <cellStyle name="Ênfase1 2" xfId="75"/>
    <cellStyle name="Ênfase1 3" xfId="174"/>
    <cellStyle name="Ênfase2 2" xfId="76"/>
    <cellStyle name="Ênfase2 3" xfId="175"/>
    <cellStyle name="Ênfase3 2" xfId="77"/>
    <cellStyle name="Ênfase3 3" xfId="176"/>
    <cellStyle name="Ênfase4 2" xfId="78"/>
    <cellStyle name="Ênfase4 3" xfId="177"/>
    <cellStyle name="Ênfase5 2" xfId="79"/>
    <cellStyle name="Ênfase5 3" xfId="178"/>
    <cellStyle name="Ênfase6 2" xfId="80"/>
    <cellStyle name="Ênfase6 3" xfId="179"/>
    <cellStyle name="Entrada 2" xfId="81"/>
    <cellStyle name="Entrada 3" xfId="180"/>
    <cellStyle name="Euro" xfId="82"/>
    <cellStyle name="Euro 2" xfId="218"/>
    <cellStyle name="Euro 2 2" xfId="219"/>
    <cellStyle name="Euro 3" xfId="220"/>
    <cellStyle name="Euro 3 2" xfId="221"/>
    <cellStyle name="Euro 4" xfId="222"/>
    <cellStyle name="Excel Built-in Normal" xfId="223"/>
    <cellStyle name="Excel Built-in Normal 1" xfId="224"/>
    <cellStyle name="Explanatory Text" xfId="83"/>
    <cellStyle name="Fixed" xfId="84"/>
    <cellStyle name="Fixo" xfId="85"/>
    <cellStyle name="Good" xfId="86"/>
    <cellStyle name="Heading 1" xfId="87"/>
    <cellStyle name="Heading 1 2" xfId="181"/>
    <cellStyle name="Heading 2" xfId="88"/>
    <cellStyle name="Heading 2 2" xfId="182"/>
    <cellStyle name="Heading 3" xfId="89"/>
    <cellStyle name="Heading 4" xfId="90"/>
    <cellStyle name="Incorreto 2" xfId="91"/>
    <cellStyle name="Incorreto 3" xfId="183"/>
    <cellStyle name="Indefinido" xfId="92"/>
    <cellStyle name="Input" xfId="93"/>
    <cellStyle name="KalenderDato" xfId="225"/>
    <cellStyle name="Linked Cell" xfId="94"/>
    <cellStyle name="Moeda" xfId="2" builtinId="4"/>
    <cellStyle name="Moeda 2" xfId="95"/>
    <cellStyle name="Moeda 2 2" xfId="197"/>
    <cellStyle name="Moeda 3" xfId="96"/>
    <cellStyle name="Moeda 3 2" xfId="311"/>
    <cellStyle name="Moeda 3 3" xfId="319"/>
    <cellStyle name="Moeda 4" xfId="13"/>
    <cellStyle name="Moeda 4 2" xfId="317"/>
    <cellStyle name="Moeda 5" xfId="210"/>
    <cellStyle name="Moeda 5 2" xfId="324"/>
    <cellStyle name="Moeda0" xfId="97"/>
    <cellStyle name="Moeda0 2" xfId="226"/>
    <cellStyle name="Neutra 2" xfId="98"/>
    <cellStyle name="Neutra 3" xfId="184"/>
    <cellStyle name="Neutral" xfId="99"/>
    <cellStyle name="Normal" xfId="0" builtinId="0"/>
    <cellStyle name="Normal 10" xfId="12"/>
    <cellStyle name="Normal 10 2" xfId="6"/>
    <cellStyle name="Normal 10 2 2" xfId="227"/>
    <cellStyle name="Normal 10 3" xfId="202"/>
    <cellStyle name="Normal 11" xfId="228"/>
    <cellStyle name="Normal 12" xfId="229"/>
    <cellStyle name="Normal 13" xfId="230"/>
    <cellStyle name="Normal 14" xfId="231"/>
    <cellStyle name="Normal 15" xfId="198"/>
    <cellStyle name="Normal 17" xfId="4"/>
    <cellStyle name="Normal 17 2" xfId="196"/>
    <cellStyle name="Normal 17 2 2" xfId="312"/>
    <cellStyle name="Normal 17 3" xfId="314"/>
    <cellStyle name="Normal 2" xfId="5"/>
    <cellStyle name="Normal 2 2" xfId="10"/>
    <cellStyle name="Normal 2 2 2" xfId="101"/>
    <cellStyle name="Normal 2 2 2 2" xfId="233"/>
    <cellStyle name="Normal 2 2 3" xfId="234"/>
    <cellStyle name="Normal 2 22" xfId="7"/>
    <cellStyle name="Normal 2 22 2" xfId="102"/>
    <cellStyle name="Normal 2 3" xfId="103"/>
    <cellStyle name="Normal 2 3 2" xfId="236"/>
    <cellStyle name="Normal 2 3 3" xfId="235"/>
    <cellStyle name="Normal 2 3 4" xfId="287"/>
    <cellStyle name="Normal 2 4" xfId="100"/>
    <cellStyle name="Normal 2 5" xfId="14"/>
    <cellStyle name="Normal 2 5 2" xfId="313"/>
    <cellStyle name="Normal 2 6" xfId="232"/>
    <cellStyle name="Normal 2_006 BB - Concorrência Registro de Preços - Roteiro 01" xfId="104"/>
    <cellStyle name="Normal 29" xfId="237"/>
    <cellStyle name="Normal 3" xfId="105"/>
    <cellStyle name="Normal 3 2" xfId="106"/>
    <cellStyle name="Normal 3 2 2" xfId="238"/>
    <cellStyle name="Normal 3 3" xfId="107"/>
    <cellStyle name="Normal 3 3 2" xfId="239"/>
    <cellStyle name="Normal 4" xfId="15"/>
    <cellStyle name="Normal 4 2" xfId="108"/>
    <cellStyle name="Normal 4 3" xfId="240"/>
    <cellStyle name="Normal 5" xfId="109"/>
    <cellStyle name="Normal 5 2" xfId="110"/>
    <cellStyle name="Normal 5 3" xfId="243"/>
    <cellStyle name="Normal 5 4" xfId="242"/>
    <cellStyle name="Normal 6" xfId="111"/>
    <cellStyle name="Normal 6 2" xfId="112"/>
    <cellStyle name="Normal 7" xfId="113"/>
    <cellStyle name="Normal 7 2" xfId="114"/>
    <cellStyle name="Normal 8" xfId="115"/>
    <cellStyle name="Normal 9" xfId="11"/>
    <cellStyle name="Normal 9 2" xfId="199"/>
    <cellStyle name="Nota 2" xfId="116"/>
    <cellStyle name="Nota 2 2" xfId="245"/>
    <cellStyle name="Nota 3" xfId="185"/>
    <cellStyle name="Note" xfId="117"/>
    <cellStyle name="Note 2" xfId="186"/>
    <cellStyle name="Output" xfId="118"/>
    <cellStyle name="Percent" xfId="119"/>
    <cellStyle name="Percentual" xfId="120"/>
    <cellStyle name="Ponto" xfId="121"/>
    <cellStyle name="Porcentagem" xfId="3" builtinId="5"/>
    <cellStyle name="Porcentagem 2" xfId="8"/>
    <cellStyle name="Porcentagem 2 2" xfId="123"/>
    <cellStyle name="Porcentagem 2 4" xfId="246"/>
    <cellStyle name="Porcentagem 3" xfId="124"/>
    <cellStyle name="Porcentagem 3 2" xfId="248"/>
    <cellStyle name="Porcentagem 3 3" xfId="247"/>
    <cellStyle name="Porcentagem 4" xfId="122"/>
    <cellStyle name="Porcentagem 5" xfId="16"/>
    <cellStyle name="Porcentagem 5 2" xfId="316"/>
    <cellStyle name="Saída 2" xfId="125"/>
    <cellStyle name="Saída 3" xfId="187"/>
    <cellStyle name="Separador de m" xfId="126"/>
    <cellStyle name="Separador de milhares 10 2" xfId="249"/>
    <cellStyle name="Separador de milhares 10 2 2" xfId="250"/>
    <cellStyle name="Separador de milhares 10 2 2 2" xfId="289"/>
    <cellStyle name="Separador de milhares 10 2 2 2 2" xfId="363"/>
    <cellStyle name="Separador de milhares 10 2 2 3" xfId="329"/>
    <cellStyle name="Separador de milhares 10 2 3" xfId="288"/>
    <cellStyle name="Separador de milhares 10 2 3 2" xfId="362"/>
    <cellStyle name="Separador de milhares 10 2 4" xfId="328"/>
    <cellStyle name="Separador de milhares 14" xfId="251"/>
    <cellStyle name="Separador de milhares 14 2" xfId="290"/>
    <cellStyle name="Separador de milhares 14 2 2" xfId="364"/>
    <cellStyle name="Separador de milhares 14 3" xfId="330"/>
    <cellStyle name="Separador de milhares 2" xfId="127"/>
    <cellStyle name="Separador de milhares 2 10" xfId="128"/>
    <cellStyle name="Separador de milhares 2 10 2" xfId="254"/>
    <cellStyle name="Separador de milhares 2 10 2 2" xfId="292"/>
    <cellStyle name="Separador de milhares 2 10 2 2 2" xfId="366"/>
    <cellStyle name="Separador de milhares 2 10 2 3" xfId="333"/>
    <cellStyle name="Separador de milhares 2 10 3" xfId="253"/>
    <cellStyle name="Separador de milhares 2 10 3 2" xfId="332"/>
    <cellStyle name="Separador de milhares 2 10 4" xfId="291"/>
    <cellStyle name="Separador de milhares 2 10 4 2" xfId="365"/>
    <cellStyle name="Separador de milhares 2 2" xfId="129"/>
    <cellStyle name="Separador de milhares 2 2 2" xfId="256"/>
    <cellStyle name="Separador de milhares 2 2 2 2" xfId="293"/>
    <cellStyle name="Separador de milhares 2 2 2 2 2" xfId="367"/>
    <cellStyle name="Separador de milhares 2 2 2 3" xfId="335"/>
    <cellStyle name="Separador de milhares 2 2 3" xfId="255"/>
    <cellStyle name="Separador de milhares 2 2 3 2" xfId="334"/>
    <cellStyle name="Separador de milhares 2 2 4" xfId="241"/>
    <cellStyle name="Separador de milhares 2 2 4 2" xfId="326"/>
    <cellStyle name="Separador de milhares 2 3" xfId="257"/>
    <cellStyle name="Separador de milhares 2 3 2" xfId="294"/>
    <cellStyle name="Separador de milhares 2 3 2 2" xfId="368"/>
    <cellStyle name="Separador de milhares 2 3 3" xfId="336"/>
    <cellStyle name="Separador de milhares 2 4" xfId="252"/>
    <cellStyle name="Separador de milhares 2 4 2" xfId="331"/>
    <cellStyle name="Separador de milhares 2 5" xfId="200"/>
    <cellStyle name="Separador de milhares 2 5 2" xfId="321"/>
    <cellStyle name="Separador de milhares 2 6" xfId="244"/>
    <cellStyle name="Separador de milhares 2 6 2" xfId="327"/>
    <cellStyle name="Separador de milhares 2_203 Seduc - Reforma da Escola de Afua" xfId="130"/>
    <cellStyle name="Separador de milhares 3" xfId="131"/>
    <cellStyle name="Separador de milhares 3 2" xfId="259"/>
    <cellStyle name="Separador de milhares 3 2 2" xfId="296"/>
    <cellStyle name="Separador de milhares 3 2 2 2" xfId="370"/>
    <cellStyle name="Separador de milhares 3 2 3" xfId="338"/>
    <cellStyle name="Separador de milhares 3 3" xfId="258"/>
    <cellStyle name="Separador de milhares 3 3 2" xfId="337"/>
    <cellStyle name="Separador de milhares 3 4" xfId="295"/>
    <cellStyle name="Separador de milhares 3 4 2" xfId="369"/>
    <cellStyle name="Separador de milhares 30" xfId="260"/>
    <cellStyle name="Separador de milhares 30 2" xfId="297"/>
    <cellStyle name="Separador de milhares 30 2 2" xfId="371"/>
    <cellStyle name="Separador de milhares 30 3" xfId="339"/>
    <cellStyle name="Separador de milhares 4" xfId="132"/>
    <cellStyle name="Separador de milhares 4 2" xfId="262"/>
    <cellStyle name="Separador de milhares 4 2 2" xfId="299"/>
    <cellStyle name="Separador de milhares 4 2 2 2" xfId="373"/>
    <cellStyle name="Separador de milhares 4 2 3" xfId="341"/>
    <cellStyle name="Separador de milhares 4 3" xfId="261"/>
    <cellStyle name="Separador de milhares 4 3 2" xfId="340"/>
    <cellStyle name="Separador de milhares 4 4" xfId="298"/>
    <cellStyle name="Separador de milhares 4 4 2" xfId="372"/>
    <cellStyle name="Separador de milhares 6" xfId="263"/>
    <cellStyle name="Separador de milhares 6 2" xfId="300"/>
    <cellStyle name="Separador de milhares 6 2 2" xfId="374"/>
    <cellStyle name="Separador de milhares 6 3" xfId="342"/>
    <cellStyle name="Separador de milhares 7" xfId="264"/>
    <cellStyle name="Separador de milhares 7 2" xfId="301"/>
    <cellStyle name="Separador de milhares 7 2 2" xfId="375"/>
    <cellStyle name="Separador de milhares 7 3" xfId="343"/>
    <cellStyle name="Separador de milhares 9" xfId="265"/>
    <cellStyle name="Separador de milhares 9 2" xfId="344"/>
    <cellStyle name="SUB" xfId="133"/>
    <cellStyle name="TableStyleLight1" xfId="266"/>
    <cellStyle name="Texto de Aviso 2" xfId="134"/>
    <cellStyle name="Texto de Aviso 3" xfId="188"/>
    <cellStyle name="Texto Explicativo 2" xfId="135"/>
    <cellStyle name="Texto Explicativo 3" xfId="189"/>
    <cellStyle name="Title" xfId="136"/>
    <cellStyle name="Título 1 1" xfId="137"/>
    <cellStyle name="Título 1 2" xfId="138"/>
    <cellStyle name="Título 1 3" xfId="191"/>
    <cellStyle name="Título 2 2" xfId="139"/>
    <cellStyle name="Título 2 3" xfId="192"/>
    <cellStyle name="Título 3 2" xfId="140"/>
    <cellStyle name="Título 3 3" xfId="193"/>
    <cellStyle name="Título 4 2" xfId="141"/>
    <cellStyle name="Título 4 3" xfId="194"/>
    <cellStyle name="Título 5" xfId="142"/>
    <cellStyle name="Título 6" xfId="190"/>
    <cellStyle name="Titulo1" xfId="143"/>
    <cellStyle name="Titulo2" xfId="144"/>
    <cellStyle name="Total 2" xfId="145"/>
    <cellStyle name="Total 3" xfId="195"/>
    <cellStyle name="Vírgula" xfId="1" builtinId="3"/>
    <cellStyle name="Vírgula 10" xfId="267"/>
    <cellStyle name="Vírgula 10 2" xfId="345"/>
    <cellStyle name="Vírgula 10 2 2 2" xfId="268"/>
    <cellStyle name="Vírgula 10 2 2 2 2" xfId="269"/>
    <cellStyle name="Vírgula 10 2 2 2 2 2" xfId="347"/>
    <cellStyle name="Vírgula 10 2 2 2 3" xfId="346"/>
    <cellStyle name="Vírgula 2" xfId="147"/>
    <cellStyle name="Vírgula 2 2" xfId="148"/>
    <cellStyle name="Vírgula 2 2 2" xfId="272"/>
    <cellStyle name="Vírgula 2 2 2 2" xfId="273"/>
    <cellStyle name="Vírgula 2 2 2 2 2" xfId="203"/>
    <cellStyle name="Vírgula 2 2 2 2 2 2" xfId="274"/>
    <cellStyle name="Vírgula 2 2 2 2 2 2 2" xfId="351"/>
    <cellStyle name="Vírgula 2 2 2 2 2 3" xfId="304"/>
    <cellStyle name="Vírgula 2 2 2 2 2 3 2" xfId="378"/>
    <cellStyle name="Vírgula 2 2 2 2 2 4" xfId="323"/>
    <cellStyle name="Vírgula 2 2 2 2 3" xfId="350"/>
    <cellStyle name="Vírgula 2 2 3" xfId="271"/>
    <cellStyle name="Vírgula 2 2 3 2" xfId="349"/>
    <cellStyle name="Vírgula 2 2 4" xfId="303"/>
    <cellStyle name="Vírgula 2 2 4 2" xfId="377"/>
    <cellStyle name="Vírgula 2 3" xfId="275"/>
    <cellStyle name="Vírgula 2 3 2" xfId="305"/>
    <cellStyle name="Vírgula 2 3 2 2" xfId="379"/>
    <cellStyle name="Vírgula 2 3 3" xfId="352"/>
    <cellStyle name="Vírgula 2 4" xfId="276"/>
    <cellStyle name="Vírgula 2 5" xfId="270"/>
    <cellStyle name="Vírgula 2 5 2" xfId="348"/>
    <cellStyle name="Vírgula 2 6" xfId="302"/>
    <cellStyle name="Vírgula 2 6 2" xfId="376"/>
    <cellStyle name="Vírgula 3" xfId="149"/>
    <cellStyle name="Vírgula 3 2" xfId="278"/>
    <cellStyle name="Vírgula 3 2 2" xfId="307"/>
    <cellStyle name="Vírgula 3 2 2 2" xfId="381"/>
    <cellStyle name="Vírgula 3 2 3" xfId="354"/>
    <cellStyle name="Vírgula 3 3" xfId="277"/>
    <cellStyle name="Vírgula 3 3 2" xfId="353"/>
    <cellStyle name="Vírgula 3 4" xfId="306"/>
    <cellStyle name="Vírgula 3 4 2" xfId="380"/>
    <cellStyle name="Vírgula 4" xfId="9"/>
    <cellStyle name="Vírgula 4 2" xfId="146"/>
    <cellStyle name="Vírgula 4 2 2" xfId="320"/>
    <cellStyle name="Vírgula 4 3" xfId="279"/>
    <cellStyle name="Vírgula 4 3 2" xfId="355"/>
    <cellStyle name="Vírgula 4 4" xfId="308"/>
    <cellStyle name="Vírgula 4 4 2" xfId="382"/>
    <cellStyle name="Vírgula 5" xfId="17"/>
    <cellStyle name="Vírgula 5 2" xfId="281"/>
    <cellStyle name="Vírgula 5 2 2" xfId="357"/>
    <cellStyle name="Vírgula 5 3" xfId="280"/>
    <cellStyle name="Vírgula 5 3 2" xfId="356"/>
    <cellStyle name="Vírgula 5 4" xfId="309"/>
    <cellStyle name="Vírgula 5 4 2" xfId="383"/>
    <cellStyle name="Vírgula 5 5" xfId="315"/>
    <cellStyle name="Vírgula 5 5 2" xfId="385"/>
    <cellStyle name="Vírgula 5 6" xfId="318"/>
    <cellStyle name="Vírgula 6" xfId="282"/>
    <cellStyle name="Vírgula 6 2" xfId="386"/>
    <cellStyle name="Vírgula 6 3" xfId="358"/>
    <cellStyle name="Vírgula 7" xfId="201"/>
    <cellStyle name="Vírgula 7 2" xfId="322"/>
    <cellStyle name="Vírgula 8" xfId="216"/>
    <cellStyle name="Vírgula 8 2" xfId="325"/>
    <cellStyle name="Vírgula 8 2 2" xfId="283"/>
    <cellStyle name="Vírgula 8 2 2 2" xfId="359"/>
    <cellStyle name="Vírgula 9 2" xfId="284"/>
    <cellStyle name="Vírgula 9 2 2" xfId="285"/>
    <cellStyle name="Vírgula 9 2 2 2" xfId="361"/>
    <cellStyle name="Vírgula 9 2 3" xfId="310"/>
    <cellStyle name="Vírgula 9 2 3 2" xfId="384"/>
    <cellStyle name="Vírgula 9 2 4" xfId="360"/>
    <cellStyle name="Vírgula0" xfId="150"/>
    <cellStyle name="Vírgula0 2" xfId="286"/>
    <cellStyle name="Warning Text" xfId="151"/>
  </cellStyles>
  <dxfs count="0"/>
  <tableStyles count="0" defaultTableStyle="TableStyleMedium2" defaultPivotStyle="PivotStyleLight16"/>
  <colors>
    <mruColors>
      <color rgb="FFF82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0</xdr:rowOff>
    </xdr:from>
    <xdr:to>
      <xdr:col>1</xdr:col>
      <xdr:colOff>545166</xdr:colOff>
      <xdr:row>3</xdr:row>
      <xdr:rowOff>66675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246395</xdr:colOff>
      <xdr:row>2</xdr:row>
      <xdr:rowOff>38100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893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590551</xdr:colOff>
      <xdr:row>2</xdr:row>
      <xdr:rowOff>126557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0"/>
          <a:ext cx="1123950" cy="58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161925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2</xdr:col>
      <xdr:colOff>485775</xdr:colOff>
      <xdr:row>3</xdr:row>
      <xdr:rowOff>38100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112059</xdr:colOff>
      <xdr:row>0</xdr:row>
      <xdr:rowOff>0</xdr:rowOff>
    </xdr:from>
    <xdr:to>
      <xdr:col>1</xdr:col>
      <xdr:colOff>589990</xdr:colOff>
      <xdr:row>2</xdr:row>
      <xdr:rowOff>167528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49481</xdr:colOff>
      <xdr:row>2</xdr:row>
      <xdr:rowOff>49480</xdr:rowOff>
    </xdr:from>
    <xdr:to>
      <xdr:col>0</xdr:col>
      <xdr:colOff>1278206</xdr:colOff>
      <xdr:row>5</xdr:row>
      <xdr:rowOff>130999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1" y="420584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38878</xdr:rowOff>
    </xdr:from>
    <xdr:to>
      <xdr:col>1</xdr:col>
      <xdr:colOff>548368</xdr:colOff>
      <xdr:row>2</xdr:row>
      <xdr:rowOff>171645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78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78441</xdr:rowOff>
    </xdr:from>
    <xdr:to>
      <xdr:col>2</xdr:col>
      <xdr:colOff>18490</xdr:colOff>
      <xdr:row>3</xdr:row>
      <xdr:rowOff>145116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"/>
          <a:ext cx="1228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33</xdr:row>
      <xdr:rowOff>38100</xdr:rowOff>
    </xdr:from>
    <xdr:to>
      <xdr:col>10</xdr:col>
      <xdr:colOff>1019175</xdr:colOff>
      <xdr:row>33</xdr:row>
      <xdr:rowOff>47625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4953000" y="5924550"/>
          <a:ext cx="64770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1133475</xdr:colOff>
      <xdr:row>38</xdr:row>
      <xdr:rowOff>38100</xdr:rowOff>
    </xdr:from>
    <xdr:to>
      <xdr:col>10</xdr:col>
      <xdr:colOff>1019175</xdr:colOff>
      <xdr:row>38</xdr:row>
      <xdr:rowOff>47625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V="1">
          <a:off x="6057900" y="6743700"/>
          <a:ext cx="53721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42</xdr:row>
      <xdr:rowOff>0</xdr:rowOff>
    </xdr:from>
    <xdr:to>
      <xdr:col>10</xdr:col>
      <xdr:colOff>1019175</xdr:colOff>
      <xdr:row>42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V="1">
          <a:off x="6572250" y="7362825"/>
          <a:ext cx="4857750" cy="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12</xdr:row>
      <xdr:rowOff>38100</xdr:rowOff>
    </xdr:from>
    <xdr:to>
      <xdr:col>10</xdr:col>
      <xdr:colOff>1019175</xdr:colOff>
      <xdr:row>12</xdr:row>
      <xdr:rowOff>47625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4953000" y="2571750"/>
          <a:ext cx="64770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17</xdr:row>
      <xdr:rowOff>38100</xdr:rowOff>
    </xdr:from>
    <xdr:to>
      <xdr:col>10</xdr:col>
      <xdr:colOff>1019175</xdr:colOff>
      <xdr:row>17</xdr:row>
      <xdr:rowOff>47625</xdr:rowOff>
    </xdr:to>
    <xdr:sp macro="" textlink="">
      <xdr:nvSpPr>
        <xdr:cNvPr id="6" name="Line 7"/>
        <xdr:cNvSpPr>
          <a:spLocks noChangeShapeType="1"/>
        </xdr:cNvSpPr>
      </xdr:nvSpPr>
      <xdr:spPr bwMode="auto">
        <a:xfrm flipV="1">
          <a:off x="5229225" y="3390900"/>
          <a:ext cx="6200775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1133475</xdr:colOff>
      <xdr:row>22</xdr:row>
      <xdr:rowOff>38100</xdr:rowOff>
    </xdr:from>
    <xdr:to>
      <xdr:col>10</xdr:col>
      <xdr:colOff>1019175</xdr:colOff>
      <xdr:row>22</xdr:row>
      <xdr:rowOff>47625</xdr:rowOff>
    </xdr:to>
    <xdr:sp macro="" textlink="">
      <xdr:nvSpPr>
        <xdr:cNvPr id="7" name="Line 8"/>
        <xdr:cNvSpPr>
          <a:spLocks noChangeShapeType="1"/>
        </xdr:cNvSpPr>
      </xdr:nvSpPr>
      <xdr:spPr bwMode="auto">
        <a:xfrm flipV="1">
          <a:off x="6057900" y="4210050"/>
          <a:ext cx="53721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27</xdr:row>
      <xdr:rowOff>38100</xdr:rowOff>
    </xdr:from>
    <xdr:to>
      <xdr:col>10</xdr:col>
      <xdr:colOff>1019175</xdr:colOff>
      <xdr:row>27</xdr:row>
      <xdr:rowOff>47625</xdr:rowOff>
    </xdr:to>
    <xdr:sp macro="" textlink="">
      <xdr:nvSpPr>
        <xdr:cNvPr id="8" name="Line 9"/>
        <xdr:cNvSpPr>
          <a:spLocks noChangeShapeType="1"/>
        </xdr:cNvSpPr>
      </xdr:nvSpPr>
      <xdr:spPr bwMode="auto">
        <a:xfrm flipV="1">
          <a:off x="6572250" y="5029200"/>
          <a:ext cx="485775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244475</xdr:colOff>
      <xdr:row>0</xdr:row>
      <xdr:rowOff>0</xdr:rowOff>
    </xdr:from>
    <xdr:to>
      <xdr:col>2</xdr:col>
      <xdr:colOff>292100</xdr:colOff>
      <xdr:row>3</xdr:row>
      <xdr:rowOff>142875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" y="0"/>
          <a:ext cx="1228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arquivos/GUSTAVO%20FELIPE_%20DIFIS/ASFALTO%20POR%20TODO%20PARA%202/PIRTUC%20E%20PIRJUS/GUSTAVO%20PROJETOS/PROJETOS/CONVENIOS/PM_SAO%20MIGUEL%20DO%20GUAMA/2018/123%20-%20PAV.%20MEIO-FIO%20E%20CAL&#199;.%20R$%201.014.564,52%20-%20CV%208458292017%20-%20CAIXA/OR&#199;AMENTO/OR&#199;AMENTO.xls?E9EC5E95" TargetMode="External"/><Relationship Id="rId1" Type="http://schemas.openxmlformats.org/officeDocument/2006/relationships/externalLinkPath" Target="file:///\\E9EC5E95\OR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FALTO%20POR%20TODO%20PARA%20(VALENDO)/ASFALTO%20POR%20TODO%20PARA%203/ASFALTO%20REGIONAL%20ARAGUA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Planilha1"/>
      <sheetName val="EVENTOS"/>
      <sheetName val="CRONO"/>
      <sheetName val="CRONOPLE"/>
      <sheetName val="PLE"/>
      <sheetName val="QCI"/>
      <sheetName val="BM"/>
      <sheetName val="RRE"/>
      <sheetName val="OFÍCIO"/>
      <sheetName val="ADM LOCAL"/>
      <sheetName val=" DADOS DA OBRA"/>
      <sheetName val="SERVIÇOS PRELIMINARES"/>
      <sheetName val="TERRA PLANAGEM"/>
      <sheetName val="REV. PRIMARIO"/>
      <sheetName val="PAV."/>
      <sheetName val="MOBILIZAÇAO"/>
      <sheetName val="SINALIZAÇÃO"/>
      <sheetName val="CALÇADA"/>
    </sheetNames>
    <sheetDataSet>
      <sheetData sheetId="0" refreshError="1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DESONERADO"/>
      <sheetName val="DADOS DA OBRA"/>
      <sheetName val="1.ADM. LOCAL"/>
      <sheetName val="2.SER.PREL."/>
      <sheetName val="3.MOBILIZAÇÃO"/>
      <sheetName val="COMPOS.MOBILIZAÇÃO"/>
      <sheetName val="4.REV-PAV"/>
      <sheetName val="B.D.I  DESONERADO"/>
      <sheetName val="CPU 004 - ASFALTO"/>
      <sheetName val="CPU 005-USINAGEM"/>
      <sheetName val="CFF Não Desonerado"/>
      <sheetName val="COMPOSIÇÕES"/>
      <sheetName val="PROJ. EXECUTO"/>
      <sheetName val="COTAÇÃO"/>
    </sheetNames>
    <sheetDataSet>
      <sheetData sheetId="0">
        <row r="74">
          <cell r="I74">
            <v>83879643.789999992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I21">
            <v>3.843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8"/>
  <sheetViews>
    <sheetView topLeftCell="A100" zoomScale="85" zoomScaleNormal="85" workbookViewId="0">
      <selection activeCell="M97" sqref="M97"/>
    </sheetView>
  </sheetViews>
  <sheetFormatPr defaultRowHeight="15" x14ac:dyDescent="0.25"/>
  <cols>
    <col min="1" max="1" width="11.42578125" style="193" customWidth="1"/>
    <col min="2" max="2" width="10.7109375" style="193" customWidth="1"/>
    <col min="3" max="3" width="9.42578125" style="193" customWidth="1"/>
    <col min="4" max="4" width="34.7109375" style="193" customWidth="1"/>
    <col min="5" max="5" width="8.5703125" style="193" customWidth="1"/>
    <col min="6" max="6" width="11.28515625" style="193" customWidth="1"/>
    <col min="7" max="7" width="12.85546875" style="193" customWidth="1"/>
    <col min="8" max="8" width="17.85546875" style="193" customWidth="1"/>
    <col min="9" max="9" width="15.5703125" style="193" customWidth="1"/>
    <col min="10" max="10" width="9.140625" style="193"/>
    <col min="11" max="11" width="15.140625" style="193" customWidth="1"/>
    <col min="12" max="12" width="12.85546875" style="193" customWidth="1"/>
    <col min="13" max="13" width="12.28515625" style="193" customWidth="1"/>
    <col min="14" max="14" width="11" style="193" customWidth="1"/>
    <col min="15" max="16384" width="9.140625" style="193"/>
  </cols>
  <sheetData>
    <row r="4" spans="1:11" ht="22.5" customHeight="1" x14ac:dyDescent="0.25">
      <c r="A4" s="192"/>
      <c r="B4" s="192"/>
      <c r="C4" s="192"/>
      <c r="D4" s="192"/>
      <c r="E4" s="192"/>
      <c r="F4" s="192"/>
      <c r="G4" s="192"/>
      <c r="H4" s="192"/>
    </row>
    <row r="5" spans="1:11" ht="24" customHeight="1" thickBot="1" x14ac:dyDescent="0.3">
      <c r="A5" s="515" t="s">
        <v>507</v>
      </c>
      <c r="B5" s="515"/>
      <c r="C5" s="515"/>
      <c r="D5" s="515"/>
      <c r="E5" s="515"/>
      <c r="F5" s="515"/>
      <c r="G5" s="515"/>
      <c r="H5" s="515"/>
      <c r="I5" s="515"/>
    </row>
    <row r="6" spans="1:11" ht="18.75" customHeight="1" x14ac:dyDescent="0.25">
      <c r="A6" s="518" t="s">
        <v>241</v>
      </c>
      <c r="B6" s="519"/>
      <c r="C6" s="519"/>
      <c r="D6" s="519"/>
      <c r="E6" s="519"/>
      <c r="F6" s="519"/>
      <c r="G6" s="519"/>
      <c r="H6" s="516" t="s">
        <v>242</v>
      </c>
      <c r="I6" s="517"/>
    </row>
    <row r="7" spans="1:11" ht="16.5" customHeight="1" x14ac:dyDescent="0.25">
      <c r="A7" s="520"/>
      <c r="B7" s="521"/>
      <c r="C7" s="521"/>
      <c r="D7" s="521"/>
      <c r="E7" s="521"/>
      <c r="F7" s="521"/>
      <c r="G7" s="521"/>
      <c r="H7" s="217" t="s">
        <v>248</v>
      </c>
      <c r="I7" s="416" t="s">
        <v>416</v>
      </c>
    </row>
    <row r="8" spans="1:11" ht="22.5" customHeight="1" thickBot="1" x14ac:dyDescent="0.3">
      <c r="A8" s="522"/>
      <c r="B8" s="523"/>
      <c r="C8" s="523"/>
      <c r="D8" s="523"/>
      <c r="E8" s="523"/>
      <c r="F8" s="523"/>
      <c r="G8" s="523"/>
      <c r="H8" s="226" t="s">
        <v>243</v>
      </c>
      <c r="I8" s="417">
        <v>1.2746</v>
      </c>
      <c r="K8" s="227"/>
    </row>
    <row r="9" spans="1:11" ht="35.25" customHeight="1" thickBot="1" x14ac:dyDescent="0.3">
      <c r="A9" s="219" t="s">
        <v>54</v>
      </c>
      <c r="B9" s="220" t="s">
        <v>35</v>
      </c>
      <c r="C9" s="221" t="s">
        <v>55</v>
      </c>
      <c r="D9" s="247" t="s">
        <v>71</v>
      </c>
      <c r="E9" s="222" t="s">
        <v>182</v>
      </c>
      <c r="F9" s="222" t="s">
        <v>72</v>
      </c>
      <c r="G9" s="222" t="s">
        <v>239</v>
      </c>
      <c r="H9" s="222" t="s">
        <v>240</v>
      </c>
      <c r="I9" s="415" t="s">
        <v>183</v>
      </c>
    </row>
    <row r="10" spans="1:11" ht="17.25" customHeight="1" thickBot="1" x14ac:dyDescent="0.3">
      <c r="A10" s="524" t="s">
        <v>237</v>
      </c>
      <c r="B10" s="525"/>
      <c r="C10" s="525"/>
      <c r="D10" s="525"/>
      <c r="E10" s="525"/>
      <c r="F10" s="525"/>
      <c r="G10" s="525"/>
      <c r="H10" s="525"/>
      <c r="I10" s="526"/>
    </row>
    <row r="11" spans="1:11" ht="21" customHeight="1" thickBot="1" x14ac:dyDescent="0.3">
      <c r="A11" s="223" t="s">
        <v>80</v>
      </c>
      <c r="B11" s="195"/>
      <c r="C11" s="233" t="s">
        <v>22</v>
      </c>
      <c r="D11" s="282" t="s">
        <v>236</v>
      </c>
      <c r="E11" s="201" t="s">
        <v>126</v>
      </c>
      <c r="F11" s="202">
        <v>1</v>
      </c>
      <c r="G11" s="238">
        <f>'1.Adm. Local'!I14</f>
        <v>78751.199999999997</v>
      </c>
      <c r="H11" s="239">
        <f>ROUND((G11*I8),2)</f>
        <v>100376.28</v>
      </c>
      <c r="I11" s="239">
        <f>ABS(F11*H11)</f>
        <v>100376.28</v>
      </c>
      <c r="J11" s="198"/>
    </row>
    <row r="12" spans="1:11" ht="21" customHeight="1" thickBot="1" x14ac:dyDescent="0.3">
      <c r="A12" s="494" t="s">
        <v>244</v>
      </c>
      <c r="B12" s="495"/>
      <c r="C12" s="495"/>
      <c r="D12" s="495"/>
      <c r="E12" s="495"/>
      <c r="F12" s="495"/>
      <c r="G12" s="495"/>
      <c r="H12" s="496"/>
      <c r="I12" s="224">
        <f>I11</f>
        <v>100376.28</v>
      </c>
      <c r="J12" s="198"/>
    </row>
    <row r="13" spans="1:11" ht="7.5" customHeight="1" thickBot="1" x14ac:dyDescent="0.3">
      <c r="A13" s="512"/>
      <c r="B13" s="513"/>
      <c r="C13" s="513"/>
      <c r="D13" s="513"/>
      <c r="E13" s="513"/>
      <c r="F13" s="513"/>
      <c r="G13" s="513"/>
      <c r="H13" s="513"/>
      <c r="I13" s="514"/>
      <c r="J13" s="198"/>
    </row>
    <row r="14" spans="1:11" ht="18.75" customHeight="1" thickBot="1" x14ac:dyDescent="0.3">
      <c r="A14" s="524" t="s">
        <v>267</v>
      </c>
      <c r="B14" s="525"/>
      <c r="C14" s="525"/>
      <c r="D14" s="525"/>
      <c r="E14" s="525"/>
      <c r="F14" s="525"/>
      <c r="G14" s="525"/>
      <c r="H14" s="525"/>
      <c r="I14" s="526"/>
      <c r="J14" s="198"/>
    </row>
    <row r="15" spans="1:11" ht="27.75" customHeight="1" x14ac:dyDescent="0.25">
      <c r="A15" s="230" t="s">
        <v>100</v>
      </c>
      <c r="B15" s="470" t="s">
        <v>36</v>
      </c>
      <c r="C15" s="200">
        <v>11340</v>
      </c>
      <c r="D15" s="283" t="s">
        <v>238</v>
      </c>
      <c r="E15" s="200" t="s">
        <v>8</v>
      </c>
      <c r="F15" s="280">
        <f>'2.Ser.Prel.'!D15</f>
        <v>30</v>
      </c>
      <c r="G15" s="466">
        <v>174.57</v>
      </c>
      <c r="H15" s="240">
        <f>G15*1.2746</f>
        <v>222.51</v>
      </c>
      <c r="I15" s="241">
        <f>ABS(F15*H15)</f>
        <v>6675.3</v>
      </c>
      <c r="J15" s="198"/>
      <c r="K15" s="228"/>
    </row>
    <row r="16" spans="1:11" ht="36.75" customHeight="1" x14ac:dyDescent="0.25">
      <c r="A16" s="225" t="s">
        <v>19</v>
      </c>
      <c r="B16" s="196" t="s">
        <v>37</v>
      </c>
      <c r="C16" s="196">
        <v>93584</v>
      </c>
      <c r="D16" s="284" t="s">
        <v>184</v>
      </c>
      <c r="E16" s="196" t="s">
        <v>8</v>
      </c>
      <c r="F16" s="197">
        <f>'2.Ser.Prel.'!D23</f>
        <v>16</v>
      </c>
      <c r="G16" s="467">
        <v>822.31</v>
      </c>
      <c r="H16" s="240">
        <f>ROUND((G16*I8),2)</f>
        <v>1048.1199999999999</v>
      </c>
      <c r="I16" s="242">
        <f>ABS(F16*H16)</f>
        <v>16769.919999999998</v>
      </c>
      <c r="J16" s="198"/>
      <c r="K16" s="229"/>
    </row>
    <row r="17" spans="1:16" ht="24" customHeight="1" thickBot="1" x14ac:dyDescent="0.3">
      <c r="A17" s="232" t="s">
        <v>19</v>
      </c>
      <c r="B17" s="471" t="s">
        <v>38</v>
      </c>
      <c r="C17" s="201">
        <v>99064</v>
      </c>
      <c r="D17" s="285" t="s">
        <v>185</v>
      </c>
      <c r="E17" s="201" t="s">
        <v>6</v>
      </c>
      <c r="F17" s="279">
        <v>800</v>
      </c>
      <c r="G17" s="468">
        <v>0.3</v>
      </c>
      <c r="H17" s="243">
        <f>ROUND((G17*I8),2)</f>
        <v>0.38</v>
      </c>
      <c r="I17" s="244">
        <f>ABS(F17*H17)</f>
        <v>304</v>
      </c>
      <c r="J17" s="198"/>
    </row>
    <row r="18" spans="1:16" ht="19.5" customHeight="1" thickBot="1" x14ac:dyDescent="0.3">
      <c r="A18" s="494" t="s">
        <v>245</v>
      </c>
      <c r="B18" s="495"/>
      <c r="C18" s="495"/>
      <c r="D18" s="495"/>
      <c r="E18" s="495"/>
      <c r="F18" s="495"/>
      <c r="G18" s="495"/>
      <c r="H18" s="496"/>
      <c r="I18" s="259">
        <f>I15+I16+I17</f>
        <v>23749.22</v>
      </c>
      <c r="J18" s="198"/>
    </row>
    <row r="19" spans="1:16" ht="10.5" customHeight="1" thickBot="1" x14ac:dyDescent="0.3">
      <c r="A19" s="512"/>
      <c r="B19" s="513"/>
      <c r="C19" s="513"/>
      <c r="D19" s="513"/>
      <c r="E19" s="513"/>
      <c r="F19" s="513"/>
      <c r="G19" s="513"/>
      <c r="H19" s="513"/>
      <c r="I19" s="514"/>
      <c r="J19" s="198"/>
    </row>
    <row r="20" spans="1:16" ht="20.25" customHeight="1" thickBot="1" x14ac:dyDescent="0.3">
      <c r="A20" s="524" t="s">
        <v>246</v>
      </c>
      <c r="B20" s="525"/>
      <c r="C20" s="525"/>
      <c r="D20" s="525"/>
      <c r="E20" s="525"/>
      <c r="F20" s="525"/>
      <c r="G20" s="525"/>
      <c r="H20" s="525"/>
      <c r="I20" s="526"/>
      <c r="J20" s="198"/>
      <c r="P20" s="231"/>
    </row>
    <row r="21" spans="1:16" ht="29.25" customHeight="1" thickBot="1" x14ac:dyDescent="0.3">
      <c r="A21" s="230" t="s">
        <v>80</v>
      </c>
      <c r="B21" s="470" t="s">
        <v>39</v>
      </c>
      <c r="C21" s="237" t="s">
        <v>81</v>
      </c>
      <c r="D21" s="283" t="s">
        <v>247</v>
      </c>
      <c r="E21" s="200" t="s">
        <v>126</v>
      </c>
      <c r="F21" s="202">
        <v>1</v>
      </c>
      <c r="G21" s="466">
        <f>Mobilização!M14</f>
        <v>9686.07</v>
      </c>
      <c r="H21" s="240">
        <f>ROUND((G21*I8),2)</f>
        <v>12345.86</v>
      </c>
      <c r="I21" s="241">
        <f>ABS(F21*H21)</f>
        <v>12345.86</v>
      </c>
      <c r="J21" s="198"/>
      <c r="P21" s="231"/>
    </row>
    <row r="22" spans="1:16" ht="19.5" customHeight="1" thickBot="1" x14ac:dyDescent="0.3">
      <c r="A22" s="494" t="s">
        <v>249</v>
      </c>
      <c r="B22" s="495"/>
      <c r="C22" s="495"/>
      <c r="D22" s="495"/>
      <c r="E22" s="495"/>
      <c r="F22" s="495"/>
      <c r="G22" s="495"/>
      <c r="H22" s="496"/>
      <c r="I22" s="259">
        <f>I21</f>
        <v>12345.86</v>
      </c>
      <c r="J22" s="198"/>
      <c r="P22" s="231"/>
    </row>
    <row r="23" spans="1:16" ht="9.75" customHeight="1" thickBot="1" x14ac:dyDescent="0.3">
      <c r="A23" s="512"/>
      <c r="B23" s="513"/>
      <c r="C23" s="513"/>
      <c r="D23" s="513"/>
      <c r="E23" s="513"/>
      <c r="F23" s="513"/>
      <c r="G23" s="513"/>
      <c r="H23" s="513"/>
      <c r="I23" s="514"/>
      <c r="J23" s="198"/>
      <c r="P23" s="231"/>
    </row>
    <row r="24" spans="1:16" ht="19.5" customHeight="1" x14ac:dyDescent="0.25">
      <c r="A24" s="530" t="s">
        <v>484</v>
      </c>
      <c r="B24" s="528"/>
      <c r="C24" s="528"/>
      <c r="D24" s="528"/>
      <c r="E24" s="528"/>
      <c r="F24" s="528"/>
      <c r="G24" s="528"/>
      <c r="H24" s="528"/>
      <c r="I24" s="531"/>
      <c r="J24" s="198"/>
      <c r="P24" s="231"/>
    </row>
    <row r="25" spans="1:16" ht="12.75" customHeight="1" x14ac:dyDescent="0.25">
      <c r="A25" s="532"/>
      <c r="B25" s="533"/>
      <c r="C25" s="533"/>
      <c r="D25" s="533"/>
      <c r="E25" s="533"/>
      <c r="F25" s="533"/>
      <c r="G25" s="533"/>
      <c r="H25" s="533"/>
      <c r="I25" s="534"/>
      <c r="J25" s="198"/>
      <c r="P25" s="231"/>
    </row>
    <row r="26" spans="1:16" ht="79.5" customHeight="1" x14ac:dyDescent="0.25">
      <c r="A26" s="225" t="s">
        <v>19</v>
      </c>
      <c r="B26" s="225" t="s">
        <v>40</v>
      </c>
      <c r="C26" s="469">
        <v>90082</v>
      </c>
      <c r="D26" s="281" t="s">
        <v>250</v>
      </c>
      <c r="E26" s="205" t="s">
        <v>187</v>
      </c>
      <c r="F26" s="410">
        <f>'4.Memória '!B24</f>
        <v>387.89</v>
      </c>
      <c r="G26" s="434">
        <v>10.39</v>
      </c>
      <c r="H26" s="240">
        <f>G26*1.2746</f>
        <v>13.24</v>
      </c>
      <c r="I26" s="240">
        <f>F26*H26</f>
        <v>5135.66</v>
      </c>
      <c r="J26" s="198"/>
      <c r="K26" s="426"/>
      <c r="P26" s="231"/>
    </row>
    <row r="27" spans="1:16" ht="109.5" customHeight="1" x14ac:dyDescent="0.25">
      <c r="A27" s="225" t="s">
        <v>19</v>
      </c>
      <c r="B27" s="225" t="s">
        <v>41</v>
      </c>
      <c r="C27" s="469">
        <v>90084</v>
      </c>
      <c r="D27" s="281" t="s">
        <v>186</v>
      </c>
      <c r="E27" s="205" t="s">
        <v>187</v>
      </c>
      <c r="F27" s="206">
        <f>'4.Memória '!B48</f>
        <v>3187.37</v>
      </c>
      <c r="G27" s="434">
        <v>10.07</v>
      </c>
      <c r="H27" s="240">
        <f>ROUND((G27*I8),2)</f>
        <v>12.84</v>
      </c>
      <c r="I27" s="240">
        <f>F27*H27</f>
        <v>40925.83</v>
      </c>
      <c r="J27" s="198"/>
      <c r="L27" s="229"/>
    </row>
    <row r="28" spans="1:16" ht="91.5" customHeight="1" x14ac:dyDescent="0.25">
      <c r="A28" s="225" t="s">
        <v>19</v>
      </c>
      <c r="B28" s="225" t="s">
        <v>42</v>
      </c>
      <c r="C28" s="469">
        <v>90087</v>
      </c>
      <c r="D28" s="281" t="s">
        <v>252</v>
      </c>
      <c r="E28" s="205" t="s">
        <v>187</v>
      </c>
      <c r="F28" s="206">
        <f>'4.Memória '!B59</f>
        <v>823.48</v>
      </c>
      <c r="G28" s="434">
        <v>8.73</v>
      </c>
      <c r="H28" s="240">
        <f>G28*1.2746</f>
        <v>11.13</v>
      </c>
      <c r="I28" s="240">
        <f>F28*H28</f>
        <v>9165.33</v>
      </c>
      <c r="J28" s="198"/>
      <c r="K28" s="229"/>
    </row>
    <row r="29" spans="1:16" ht="23.25" customHeight="1" x14ac:dyDescent="0.25">
      <c r="A29" s="225"/>
      <c r="B29" s="225" t="s">
        <v>110</v>
      </c>
      <c r="C29" s="207"/>
      <c r="D29" s="286" t="s">
        <v>188</v>
      </c>
      <c r="E29" s="500"/>
      <c r="F29" s="501"/>
      <c r="G29" s="501"/>
      <c r="H29" s="501"/>
      <c r="I29" s="502"/>
      <c r="J29" s="198"/>
    </row>
    <row r="30" spans="1:16" ht="89.25" customHeight="1" x14ac:dyDescent="0.25">
      <c r="A30" s="225" t="s">
        <v>19</v>
      </c>
      <c r="B30" s="225" t="s">
        <v>253</v>
      </c>
      <c r="C30" s="225">
        <v>93379</v>
      </c>
      <c r="D30" s="284" t="s">
        <v>189</v>
      </c>
      <c r="E30" s="205" t="s">
        <v>187</v>
      </c>
      <c r="F30" s="208">
        <f>'4.Memória '!B68</f>
        <v>1319.62</v>
      </c>
      <c r="G30" s="268">
        <v>15.46</v>
      </c>
      <c r="H30" s="240">
        <f>ROUND((G30*I8),2)</f>
        <v>19.71</v>
      </c>
      <c r="I30" s="434">
        <f>ABS(F30*H30)</f>
        <v>26009.71</v>
      </c>
    </row>
    <row r="31" spans="1:16" ht="18.75" customHeight="1" x14ac:dyDescent="0.25">
      <c r="A31" s="225"/>
      <c r="B31" s="225" t="s">
        <v>112</v>
      </c>
      <c r="C31" s="207"/>
      <c r="D31" s="287" t="s">
        <v>190</v>
      </c>
      <c r="E31" s="500"/>
      <c r="F31" s="501"/>
      <c r="G31" s="501"/>
      <c r="H31" s="501"/>
      <c r="I31" s="502"/>
    </row>
    <row r="32" spans="1:16" ht="79.5" customHeight="1" x14ac:dyDescent="0.25">
      <c r="A32" s="225" t="s">
        <v>19</v>
      </c>
      <c r="B32" s="225" t="s">
        <v>302</v>
      </c>
      <c r="C32" s="225">
        <v>100974</v>
      </c>
      <c r="D32" s="288" t="s">
        <v>191</v>
      </c>
      <c r="E32" s="209" t="s">
        <v>187</v>
      </c>
      <c r="F32" s="210">
        <f>'4.Memória '!B77</f>
        <v>3079.12</v>
      </c>
      <c r="G32" s="268">
        <v>7.28</v>
      </c>
      <c r="H32" s="269">
        <f>ROUND((I8*G32),2)</f>
        <v>9.2799999999999994</v>
      </c>
      <c r="I32" s="434">
        <f>ABS(F32*H32)</f>
        <v>28574.23</v>
      </c>
    </row>
    <row r="33" spans="1:12" ht="52.5" customHeight="1" x14ac:dyDescent="0.25">
      <c r="A33" s="225" t="s">
        <v>19</v>
      </c>
      <c r="B33" s="225" t="s">
        <v>303</v>
      </c>
      <c r="C33" s="225">
        <v>93590</v>
      </c>
      <c r="D33" s="288" t="s">
        <v>192</v>
      </c>
      <c r="E33" s="209" t="s">
        <v>234</v>
      </c>
      <c r="F33" s="210">
        <f>'4.Memória '!B85</f>
        <v>76978</v>
      </c>
      <c r="G33" s="268">
        <v>0.83</v>
      </c>
      <c r="H33" s="269">
        <f>ROUND((I8*G33),2)</f>
        <v>1.06</v>
      </c>
      <c r="I33" s="434">
        <f>ABS(F33*H33)</f>
        <v>81596.679999999993</v>
      </c>
    </row>
    <row r="34" spans="1:12" ht="33" customHeight="1" x14ac:dyDescent="0.25">
      <c r="A34" s="225" t="s">
        <v>19</v>
      </c>
      <c r="B34" s="225" t="s">
        <v>304</v>
      </c>
      <c r="C34" s="225" t="s">
        <v>193</v>
      </c>
      <c r="D34" s="288" t="s">
        <v>194</v>
      </c>
      <c r="E34" s="209" t="s">
        <v>187</v>
      </c>
      <c r="F34" s="210">
        <f>'4.Memória '!B93</f>
        <v>3079.12</v>
      </c>
      <c r="G34" s="268">
        <v>10.63</v>
      </c>
      <c r="H34" s="269">
        <f>ROUND((I8*G34),2)</f>
        <v>13.55</v>
      </c>
      <c r="I34" s="434">
        <f>ABS(F34*H34)</f>
        <v>41722.080000000002</v>
      </c>
    </row>
    <row r="35" spans="1:12" ht="48" customHeight="1" x14ac:dyDescent="0.25">
      <c r="A35" s="225" t="s">
        <v>19</v>
      </c>
      <c r="B35" s="225" t="s">
        <v>305</v>
      </c>
      <c r="C35" s="225">
        <v>101617</v>
      </c>
      <c r="D35" s="288" t="s">
        <v>330</v>
      </c>
      <c r="E35" s="209" t="s">
        <v>8</v>
      </c>
      <c r="F35" s="210">
        <f>'4.Memória '!B105</f>
        <v>1863.02</v>
      </c>
      <c r="G35" s="268">
        <v>2.44</v>
      </c>
      <c r="H35" s="269">
        <f>ROUND((I8*G35),2)</f>
        <v>3.11</v>
      </c>
      <c r="I35" s="434">
        <f>ABS(F35*H35)</f>
        <v>5793.99</v>
      </c>
    </row>
    <row r="36" spans="1:12" ht="48" customHeight="1" x14ac:dyDescent="0.25">
      <c r="A36" s="225" t="s">
        <v>19</v>
      </c>
      <c r="B36" s="225" t="s">
        <v>331</v>
      </c>
      <c r="C36" s="225" t="s">
        <v>111</v>
      </c>
      <c r="D36" s="288" t="s">
        <v>332</v>
      </c>
      <c r="E36" s="209" t="s">
        <v>187</v>
      </c>
      <c r="F36" s="210">
        <f>'4.Memória '!B116</f>
        <v>186.3</v>
      </c>
      <c r="G36" s="268">
        <v>107.25</v>
      </c>
      <c r="H36" s="269">
        <f>ROUND((I8*G36),2)</f>
        <v>136.69999999999999</v>
      </c>
      <c r="I36" s="434">
        <f>ABS(F36*H36)</f>
        <v>25467.21</v>
      </c>
    </row>
    <row r="37" spans="1:12" ht="20.25" customHeight="1" x14ac:dyDescent="0.25">
      <c r="A37" s="225"/>
      <c r="B37" s="225" t="s">
        <v>113</v>
      </c>
      <c r="C37" s="207"/>
      <c r="D37" s="289" t="s">
        <v>195</v>
      </c>
      <c r="E37" s="500"/>
      <c r="F37" s="501"/>
      <c r="G37" s="501"/>
      <c r="H37" s="501"/>
      <c r="I37" s="502"/>
    </row>
    <row r="38" spans="1:12" ht="76.5" customHeight="1" x14ac:dyDescent="0.25">
      <c r="A38" s="225" t="s">
        <v>19</v>
      </c>
      <c r="B38" s="225" t="s">
        <v>254</v>
      </c>
      <c r="C38" s="225">
        <v>100974</v>
      </c>
      <c r="D38" s="288" t="s">
        <v>191</v>
      </c>
      <c r="E38" s="209" t="s">
        <v>187</v>
      </c>
      <c r="F38" s="210">
        <f>'4.Memória '!B124</f>
        <v>3079.12</v>
      </c>
      <c r="G38" s="268">
        <v>7.28</v>
      </c>
      <c r="H38" s="269">
        <f>ROUND((I8*G38),2)</f>
        <v>9.2799999999999994</v>
      </c>
      <c r="I38" s="434">
        <f>ABS(F38*H38)</f>
        <v>28574.23</v>
      </c>
    </row>
    <row r="39" spans="1:12" ht="57.75" customHeight="1" x14ac:dyDescent="0.25">
      <c r="A39" s="225" t="s">
        <v>19</v>
      </c>
      <c r="B39" s="225" t="s">
        <v>255</v>
      </c>
      <c r="C39" s="225">
        <v>93590</v>
      </c>
      <c r="D39" s="288" t="s">
        <v>196</v>
      </c>
      <c r="E39" s="211" t="s">
        <v>234</v>
      </c>
      <c r="F39" s="210">
        <f>'4.Memória '!B131</f>
        <v>38489</v>
      </c>
      <c r="G39" s="268">
        <v>0.83</v>
      </c>
      <c r="H39" s="269">
        <f>ROUND((I8*G39),2)</f>
        <v>1.06</v>
      </c>
      <c r="I39" s="474">
        <f>ABS(F39*H39)</f>
        <v>40798.339999999997</v>
      </c>
    </row>
    <row r="40" spans="1:12" ht="64.5" customHeight="1" x14ac:dyDescent="0.25">
      <c r="A40" s="225" t="s">
        <v>19</v>
      </c>
      <c r="B40" s="225" t="s">
        <v>256</v>
      </c>
      <c r="C40" s="225">
        <v>101571</v>
      </c>
      <c r="D40" s="286" t="s">
        <v>420</v>
      </c>
      <c r="E40" s="209" t="s">
        <v>8</v>
      </c>
      <c r="F40" s="208">
        <f>'4.Memória '!B149</f>
        <v>261.77</v>
      </c>
      <c r="G40" s="268">
        <v>25.1</v>
      </c>
      <c r="H40" s="269">
        <f>ROUND((I8*G40),2)</f>
        <v>31.99</v>
      </c>
      <c r="I40" s="434">
        <f>ABS(F40*H40)</f>
        <v>8374.02</v>
      </c>
    </row>
    <row r="41" spans="1:12" ht="66" customHeight="1" x14ac:dyDescent="0.25">
      <c r="A41" s="225" t="s">
        <v>19</v>
      </c>
      <c r="B41" s="225" t="s">
        <v>418</v>
      </c>
      <c r="C41" s="225">
        <v>101573</v>
      </c>
      <c r="D41" s="286" t="s">
        <v>421</v>
      </c>
      <c r="E41" s="209" t="s">
        <v>8</v>
      </c>
      <c r="F41" s="208">
        <f>'4.Memória '!B168</f>
        <v>385.53</v>
      </c>
      <c r="G41" s="268">
        <v>21.14</v>
      </c>
      <c r="H41" s="269">
        <f>ROUND((I8*G41),2)</f>
        <v>26.95</v>
      </c>
      <c r="I41" s="434">
        <f>ABS(F41*H41)</f>
        <v>10390.030000000001</v>
      </c>
      <c r="K41" s="426"/>
    </row>
    <row r="42" spans="1:12" ht="62.25" customHeight="1" x14ac:dyDescent="0.25">
      <c r="A42" s="225" t="s">
        <v>19</v>
      </c>
      <c r="B42" s="225" t="s">
        <v>419</v>
      </c>
      <c r="C42" s="225">
        <v>101575</v>
      </c>
      <c r="D42" s="286" t="s">
        <v>422</v>
      </c>
      <c r="E42" s="209" t="s">
        <v>8</v>
      </c>
      <c r="F42" s="208">
        <f>'4.Memória '!B180</f>
        <v>134.65</v>
      </c>
      <c r="G42" s="268">
        <v>17.940000000000001</v>
      </c>
      <c r="H42" s="269">
        <f>ROUND((I8*G42),2)</f>
        <v>22.87</v>
      </c>
      <c r="I42" s="434">
        <f>ABS(F42*H42)</f>
        <v>3079.45</v>
      </c>
    </row>
    <row r="43" spans="1:12" ht="24.75" customHeight="1" thickBot="1" x14ac:dyDescent="0.3">
      <c r="A43" s="491" t="s">
        <v>261</v>
      </c>
      <c r="B43" s="492"/>
      <c r="C43" s="492"/>
      <c r="D43" s="492"/>
      <c r="E43" s="492"/>
      <c r="F43" s="492"/>
      <c r="G43" s="492"/>
      <c r="H43" s="493"/>
      <c r="I43" s="391">
        <f>I26+I27+I28+I30+I32+I33+I34+I35+I38+I39+I40+I41+I42</f>
        <v>330139.58</v>
      </c>
    </row>
    <row r="44" spans="1:12" ht="24.75" customHeight="1" x14ac:dyDescent="0.25">
      <c r="A44" s="503" t="s">
        <v>485</v>
      </c>
      <c r="B44" s="504"/>
      <c r="C44" s="504"/>
      <c r="D44" s="504"/>
      <c r="E44" s="504"/>
      <c r="F44" s="504"/>
      <c r="G44" s="504"/>
      <c r="H44" s="504"/>
      <c r="I44" s="505"/>
    </row>
    <row r="45" spans="1:12" ht="114" customHeight="1" x14ac:dyDescent="0.25">
      <c r="A45" s="263" t="s">
        <v>19</v>
      </c>
      <c r="B45" s="225" t="s">
        <v>257</v>
      </c>
      <c r="C45" s="262">
        <v>90084</v>
      </c>
      <c r="D45" s="281" t="s">
        <v>186</v>
      </c>
      <c r="E45" s="205" t="s">
        <v>187</v>
      </c>
      <c r="F45" s="206">
        <f>'4.Memória '!B201</f>
        <v>77.08</v>
      </c>
      <c r="G45" s="268">
        <v>10.07</v>
      </c>
      <c r="H45" s="271">
        <f>ROUND((I8*G45),2)</f>
        <v>12.84</v>
      </c>
      <c r="I45" s="434">
        <f>ABS(F45*H45)</f>
        <v>989.71</v>
      </c>
      <c r="K45" s="248"/>
      <c r="L45" s="248"/>
    </row>
    <row r="46" spans="1:12" ht="93.75" customHeight="1" x14ac:dyDescent="0.25">
      <c r="A46" s="263" t="s">
        <v>19</v>
      </c>
      <c r="B46" s="225" t="s">
        <v>258</v>
      </c>
      <c r="C46" s="262">
        <v>90087</v>
      </c>
      <c r="D46" s="281" t="s">
        <v>252</v>
      </c>
      <c r="E46" s="205" t="s">
        <v>187</v>
      </c>
      <c r="F46" s="206">
        <f>'4.Memória '!B213</f>
        <v>52.63</v>
      </c>
      <c r="G46" s="268">
        <v>8.73</v>
      </c>
      <c r="H46" s="271">
        <f>ROUND((I8*G46),2)</f>
        <v>11.13</v>
      </c>
      <c r="I46" s="434">
        <f>ABS(F46*H46)</f>
        <v>585.77</v>
      </c>
      <c r="K46" s="248"/>
      <c r="L46" s="248"/>
    </row>
    <row r="47" spans="1:12" ht="33" customHeight="1" x14ac:dyDescent="0.25">
      <c r="A47" s="263"/>
      <c r="B47" s="225"/>
      <c r="C47" s="204" t="s">
        <v>259</v>
      </c>
      <c r="D47" s="286" t="s">
        <v>188</v>
      </c>
      <c r="E47" s="500"/>
      <c r="F47" s="501"/>
      <c r="G47" s="501"/>
      <c r="H47" s="501"/>
      <c r="I47" s="502"/>
    </row>
    <row r="48" spans="1:12" ht="86.25" customHeight="1" x14ac:dyDescent="0.25">
      <c r="A48" s="263" t="s">
        <v>19</v>
      </c>
      <c r="B48" s="225" t="s">
        <v>276</v>
      </c>
      <c r="C48" s="225">
        <v>93379</v>
      </c>
      <c r="D48" s="284" t="s">
        <v>189</v>
      </c>
      <c r="E48" s="205" t="s">
        <v>187</v>
      </c>
      <c r="F48" s="208">
        <f>'4.Memória '!B222</f>
        <v>38.909999999999997</v>
      </c>
      <c r="G48" s="268">
        <v>15.46</v>
      </c>
      <c r="H48" s="271">
        <f>ROUND((I8*G48),2)</f>
        <v>19.71</v>
      </c>
      <c r="I48" s="434">
        <f>ABS(F48*H48)</f>
        <v>766.92</v>
      </c>
      <c r="K48" s="248"/>
    </row>
    <row r="49" spans="1:12" ht="29.25" customHeight="1" x14ac:dyDescent="0.25">
      <c r="A49" s="194"/>
      <c r="B49" s="203"/>
      <c r="C49" s="204" t="s">
        <v>352</v>
      </c>
      <c r="D49" s="287" t="s">
        <v>190</v>
      </c>
      <c r="E49" s="500"/>
      <c r="F49" s="501"/>
      <c r="G49" s="501"/>
      <c r="H49" s="501"/>
      <c r="I49" s="502"/>
      <c r="L49" s="248"/>
    </row>
    <row r="50" spans="1:12" ht="73.5" customHeight="1" x14ac:dyDescent="0.25">
      <c r="A50" s="263" t="s">
        <v>19</v>
      </c>
      <c r="B50" s="225" t="s">
        <v>353</v>
      </c>
      <c r="C50" s="225">
        <v>100974</v>
      </c>
      <c r="D50" s="288" t="s">
        <v>191</v>
      </c>
      <c r="E50" s="209" t="s">
        <v>187</v>
      </c>
      <c r="F50" s="210">
        <f>'4.Memória '!B231</f>
        <v>90.8</v>
      </c>
      <c r="G50" s="268">
        <v>7.28</v>
      </c>
      <c r="H50" s="271">
        <f>ROUND((I8*G50),2)</f>
        <v>9.2799999999999994</v>
      </c>
      <c r="I50" s="434">
        <f>ABS(F50*H50)</f>
        <v>842.62</v>
      </c>
    </row>
    <row r="51" spans="1:12" ht="56.25" customHeight="1" x14ac:dyDescent="0.25">
      <c r="A51" s="263" t="s">
        <v>19</v>
      </c>
      <c r="B51" s="225" t="s">
        <v>354</v>
      </c>
      <c r="C51" s="225">
        <v>93590</v>
      </c>
      <c r="D51" s="288" t="s">
        <v>192</v>
      </c>
      <c r="E51" s="209" t="s">
        <v>234</v>
      </c>
      <c r="F51" s="210">
        <f>'4.Memória '!B239</f>
        <v>2270</v>
      </c>
      <c r="G51" s="268">
        <v>0.83</v>
      </c>
      <c r="H51" s="269">
        <f>ROUND((G51*I8),2)</f>
        <v>1.06</v>
      </c>
      <c r="I51" s="434">
        <f>ABS(F51*H51)</f>
        <v>2406.1999999999998</v>
      </c>
      <c r="K51" s="248"/>
    </row>
    <row r="52" spans="1:12" ht="38.25" customHeight="1" x14ac:dyDescent="0.25">
      <c r="A52" s="263" t="s">
        <v>19</v>
      </c>
      <c r="B52" s="225" t="s">
        <v>355</v>
      </c>
      <c r="C52" s="225" t="s">
        <v>193</v>
      </c>
      <c r="D52" s="288" t="s">
        <v>194</v>
      </c>
      <c r="E52" s="209" t="s">
        <v>187</v>
      </c>
      <c r="F52" s="210">
        <f>'4.Memória '!B247</f>
        <v>90.8</v>
      </c>
      <c r="G52" s="268">
        <v>10.63</v>
      </c>
      <c r="H52" s="269">
        <f>ROUND((G52*I8),2)</f>
        <v>13.55</v>
      </c>
      <c r="I52" s="434">
        <f>ABS(F52*H52)</f>
        <v>1230.3399999999999</v>
      </c>
    </row>
    <row r="53" spans="1:12" ht="26.25" customHeight="1" x14ac:dyDescent="0.25">
      <c r="A53" s="263"/>
      <c r="B53" s="204"/>
      <c r="C53" s="204" t="s">
        <v>260</v>
      </c>
      <c r="D53" s="289" t="s">
        <v>195</v>
      </c>
      <c r="E53" s="500"/>
      <c r="F53" s="501"/>
      <c r="G53" s="501"/>
      <c r="H53" s="501"/>
      <c r="I53" s="502"/>
    </row>
    <row r="54" spans="1:12" ht="75.75" customHeight="1" x14ac:dyDescent="0.25">
      <c r="A54" s="263" t="s">
        <v>19</v>
      </c>
      <c r="B54" s="225" t="s">
        <v>356</v>
      </c>
      <c r="C54" s="225">
        <v>100974</v>
      </c>
      <c r="D54" s="288" t="s">
        <v>191</v>
      </c>
      <c r="E54" s="209" t="s">
        <v>187</v>
      </c>
      <c r="F54" s="210">
        <f>'4.Memória '!B257</f>
        <v>90.8</v>
      </c>
      <c r="G54" s="268">
        <v>7.28</v>
      </c>
      <c r="H54" s="269">
        <f>ROUND((G54*I8),2)</f>
        <v>9.2799999999999994</v>
      </c>
      <c r="I54" s="260">
        <f>ABS(F54*H54)</f>
        <v>842.62</v>
      </c>
    </row>
    <row r="55" spans="1:12" ht="63" customHeight="1" thickBot="1" x14ac:dyDescent="0.3">
      <c r="A55" s="263" t="s">
        <v>19</v>
      </c>
      <c r="B55" s="225" t="s">
        <v>357</v>
      </c>
      <c r="C55" s="225">
        <v>93590</v>
      </c>
      <c r="D55" s="288" t="s">
        <v>196</v>
      </c>
      <c r="E55" s="211" t="s">
        <v>234</v>
      </c>
      <c r="F55" s="210">
        <f>'4.Memória '!B265</f>
        <v>1135</v>
      </c>
      <c r="G55" s="268">
        <v>0.83</v>
      </c>
      <c r="H55" s="269">
        <f>ROUND((G55*I8),2)</f>
        <v>1.06</v>
      </c>
      <c r="I55" s="270">
        <f>ABS(F55*H55)</f>
        <v>1203.0999999999999</v>
      </c>
    </row>
    <row r="56" spans="1:12" ht="20.25" customHeight="1" thickBot="1" x14ac:dyDescent="0.3">
      <c r="A56" s="494" t="s">
        <v>262</v>
      </c>
      <c r="B56" s="495"/>
      <c r="C56" s="495"/>
      <c r="D56" s="495"/>
      <c r="E56" s="495"/>
      <c r="F56" s="495"/>
      <c r="G56" s="495"/>
      <c r="H56" s="496"/>
      <c r="I56" s="258">
        <f>I45+I46+I48+I50+I51+I52+I54+I55</f>
        <v>8867.2800000000007</v>
      </c>
    </row>
    <row r="57" spans="1:12" ht="21.75" customHeight="1" x14ac:dyDescent="0.25">
      <c r="A57" s="527" t="s">
        <v>299</v>
      </c>
      <c r="B57" s="528"/>
      <c r="C57" s="528"/>
      <c r="D57" s="528"/>
      <c r="E57" s="528"/>
      <c r="F57" s="528"/>
      <c r="G57" s="528"/>
      <c r="H57" s="528"/>
      <c r="I57" s="529"/>
    </row>
    <row r="58" spans="1:12" ht="69" customHeight="1" x14ac:dyDescent="0.25">
      <c r="A58" s="264" t="s">
        <v>19</v>
      </c>
      <c r="B58" s="225" t="s">
        <v>214</v>
      </c>
      <c r="C58" s="225">
        <v>94267</v>
      </c>
      <c r="D58" s="281" t="s">
        <v>197</v>
      </c>
      <c r="E58" s="207" t="s">
        <v>198</v>
      </c>
      <c r="F58" s="212">
        <f>'4.Memória '!C275</f>
        <v>1581.4</v>
      </c>
      <c r="G58" s="268">
        <v>49.48</v>
      </c>
      <c r="H58" s="269">
        <f>ROUND((G58*I8),2)</f>
        <v>63.07</v>
      </c>
      <c r="I58" s="475">
        <f>ABS(F58*H58)</f>
        <v>99738.9</v>
      </c>
    </row>
    <row r="59" spans="1:12" ht="23.25" customHeight="1" thickBot="1" x14ac:dyDescent="0.3">
      <c r="A59" s="491" t="s">
        <v>263</v>
      </c>
      <c r="B59" s="492"/>
      <c r="C59" s="492"/>
      <c r="D59" s="492"/>
      <c r="E59" s="492"/>
      <c r="F59" s="492"/>
      <c r="G59" s="492"/>
      <c r="H59" s="493"/>
      <c r="I59" s="391">
        <f>I58</f>
        <v>99738.9</v>
      </c>
    </row>
    <row r="60" spans="1:12" ht="8.25" customHeight="1" thickBot="1" x14ac:dyDescent="0.3">
      <c r="A60" s="290"/>
      <c r="B60" s="291"/>
      <c r="C60" s="291"/>
      <c r="D60" s="291"/>
      <c r="E60" s="291"/>
      <c r="F60" s="291"/>
      <c r="G60" s="291"/>
      <c r="H60" s="291"/>
      <c r="I60" s="292"/>
    </row>
    <row r="61" spans="1:12" ht="23.25" customHeight="1" x14ac:dyDescent="0.25">
      <c r="A61" s="293" t="s">
        <v>432</v>
      </c>
      <c r="B61" s="293"/>
      <c r="C61" s="293"/>
      <c r="D61" s="293"/>
      <c r="E61" s="293"/>
      <c r="F61" s="293"/>
      <c r="G61" s="293"/>
      <c r="H61" s="293"/>
      <c r="I61" s="294"/>
    </row>
    <row r="62" spans="1:12" ht="30.75" customHeight="1" x14ac:dyDescent="0.25">
      <c r="A62" s="249"/>
      <c r="B62" s="213" t="s">
        <v>49</v>
      </c>
      <c r="D62" s="287" t="s">
        <v>199</v>
      </c>
      <c r="E62" s="295"/>
      <c r="F62" s="296"/>
      <c r="G62" s="296"/>
      <c r="H62" s="297"/>
      <c r="I62" s="252">
        <f>I63+I64</f>
        <v>74801.88</v>
      </c>
    </row>
    <row r="63" spans="1:12" ht="41.25" customHeight="1" x14ac:dyDescent="0.25">
      <c r="A63" s="264" t="s">
        <v>19</v>
      </c>
      <c r="B63" s="225" t="s">
        <v>264</v>
      </c>
      <c r="C63" s="225">
        <v>97935</v>
      </c>
      <c r="D63" s="304" t="s">
        <v>200</v>
      </c>
      <c r="E63" s="214" t="s">
        <v>201</v>
      </c>
      <c r="F63" s="208">
        <f>'4.Memória '!B284</f>
        <v>40</v>
      </c>
      <c r="G63" s="268">
        <v>722.29</v>
      </c>
      <c r="H63" s="269">
        <f>ROUND((G63*I8),2)</f>
        <v>920.63</v>
      </c>
      <c r="I63" s="271">
        <f>F63*H63</f>
        <v>36825.199999999997</v>
      </c>
      <c r="L63" s="9"/>
    </row>
    <row r="64" spans="1:12" ht="65.25" customHeight="1" x14ac:dyDescent="0.25">
      <c r="A64" s="264" t="s">
        <v>19</v>
      </c>
      <c r="B64" s="225" t="s">
        <v>265</v>
      </c>
      <c r="C64" s="9" t="s">
        <v>122</v>
      </c>
      <c r="D64" s="427" t="s">
        <v>369</v>
      </c>
      <c r="E64" s="214" t="s">
        <v>201</v>
      </c>
      <c r="F64" s="208">
        <f>'4.Memória '!B291</f>
        <v>14</v>
      </c>
      <c r="G64" s="268">
        <v>2128.21</v>
      </c>
      <c r="H64" s="269">
        <f>ROUND((G64*I8),2)</f>
        <v>2712.62</v>
      </c>
      <c r="I64" s="271">
        <f>F64*H64</f>
        <v>37976.68</v>
      </c>
    </row>
    <row r="65" spans="1:15" ht="21.75" customHeight="1" x14ac:dyDescent="0.25">
      <c r="A65" s="250"/>
      <c r="B65" s="204" t="s">
        <v>47</v>
      </c>
      <c r="D65" s="287" t="s">
        <v>202</v>
      </c>
      <c r="E65" s="253"/>
      <c r="F65" s="254"/>
      <c r="G65" s="255"/>
      <c r="H65" s="256"/>
      <c r="I65" s="257">
        <f>I66+I67+I68+I69</f>
        <v>464774.5</v>
      </c>
    </row>
    <row r="66" spans="1:15" ht="42" customHeight="1" x14ac:dyDescent="0.25">
      <c r="A66" s="264" t="s">
        <v>19</v>
      </c>
      <c r="B66" s="225" t="s">
        <v>268</v>
      </c>
      <c r="C66" s="225" t="s">
        <v>203</v>
      </c>
      <c r="D66" s="284" t="s">
        <v>204</v>
      </c>
      <c r="E66" s="214" t="s">
        <v>201</v>
      </c>
      <c r="F66" s="208">
        <f>'4.Memória '!B300</f>
        <v>240</v>
      </c>
      <c r="G66" s="273">
        <v>94.88</v>
      </c>
      <c r="H66" s="269">
        <f>ROUND((G66*I8),2)</f>
        <v>120.93</v>
      </c>
      <c r="I66" s="272">
        <f>ABS(F66*H66)</f>
        <v>29023.200000000001</v>
      </c>
    </row>
    <row r="67" spans="1:15" ht="40.5" customHeight="1" x14ac:dyDescent="0.25">
      <c r="A67" s="264" t="s">
        <v>19</v>
      </c>
      <c r="B67" s="225" t="s">
        <v>269</v>
      </c>
      <c r="C67" s="225" t="s">
        <v>205</v>
      </c>
      <c r="D67" s="284" t="s">
        <v>206</v>
      </c>
      <c r="E67" s="214" t="s">
        <v>201</v>
      </c>
      <c r="F67" s="208">
        <f>'4.Memória '!B307</f>
        <v>323</v>
      </c>
      <c r="G67" s="273">
        <v>183.6</v>
      </c>
      <c r="H67" s="269">
        <f>ROUND((G67*I8),2)</f>
        <v>234.02</v>
      </c>
      <c r="I67" s="271">
        <f>ABS(F67*H67)</f>
        <v>75588.460000000006</v>
      </c>
    </row>
    <row r="68" spans="1:15" ht="39.75" customHeight="1" x14ac:dyDescent="0.25">
      <c r="A68" s="264" t="s">
        <v>19</v>
      </c>
      <c r="B68" s="225" t="s">
        <v>270</v>
      </c>
      <c r="C68" s="225" t="s">
        <v>207</v>
      </c>
      <c r="D68" s="284" t="s">
        <v>208</v>
      </c>
      <c r="E68" s="214" t="s">
        <v>201</v>
      </c>
      <c r="F68" s="208">
        <f>'4.Memória '!B314</f>
        <v>177</v>
      </c>
      <c r="G68" s="273">
        <v>305.48</v>
      </c>
      <c r="H68" s="269">
        <f>ROUND((G68*I8),2)</f>
        <v>389.36</v>
      </c>
      <c r="I68" s="271">
        <f>ABS(F68*H68)</f>
        <v>68916.72</v>
      </c>
      <c r="J68" s="192"/>
    </row>
    <row r="69" spans="1:15" ht="39.75" customHeight="1" x14ac:dyDescent="0.25">
      <c r="A69" s="264" t="s">
        <v>19</v>
      </c>
      <c r="B69" s="225" t="s">
        <v>439</v>
      </c>
      <c r="C69" s="225" t="s">
        <v>442</v>
      </c>
      <c r="D69" s="284" t="s">
        <v>443</v>
      </c>
      <c r="E69" s="214" t="s">
        <v>201</v>
      </c>
      <c r="F69" s="208">
        <f>'4.Memória '!B322</f>
        <v>396</v>
      </c>
      <c r="G69" s="273">
        <v>577.02</v>
      </c>
      <c r="H69" s="269">
        <f>ROUND((G69*I8),2)</f>
        <v>735.47</v>
      </c>
      <c r="I69" s="271">
        <f>ABS(F69*H69)</f>
        <v>291246.12</v>
      </c>
      <c r="J69" s="192"/>
    </row>
    <row r="70" spans="1:15" ht="24.75" customHeight="1" x14ac:dyDescent="0.25">
      <c r="A70" s="199"/>
      <c r="B70" s="199" t="s">
        <v>125</v>
      </c>
      <c r="C70" s="204"/>
      <c r="D70" s="287" t="s">
        <v>209</v>
      </c>
      <c r="E70" s="253"/>
      <c r="F70" s="254"/>
      <c r="G70" s="254"/>
      <c r="H70" s="256"/>
      <c r="I70" s="257">
        <f>I71+I72+I73+I74</f>
        <v>141969.34</v>
      </c>
      <c r="J70" s="192"/>
    </row>
    <row r="71" spans="1:15" ht="67.5" customHeight="1" x14ac:dyDescent="0.25">
      <c r="A71" s="264" t="s">
        <v>19</v>
      </c>
      <c r="B71" s="225" t="s">
        <v>271</v>
      </c>
      <c r="C71" s="225">
        <v>92809</v>
      </c>
      <c r="D71" s="284" t="s">
        <v>210</v>
      </c>
      <c r="E71" s="214" t="s">
        <v>6</v>
      </c>
      <c r="F71" s="215">
        <f>F66</f>
        <v>240</v>
      </c>
      <c r="G71" s="273">
        <v>47.58</v>
      </c>
      <c r="H71" s="269">
        <f>ROUND((G71*I8),2)</f>
        <v>60.65</v>
      </c>
      <c r="I71" s="271">
        <f>ABS(F71*H71)</f>
        <v>14556</v>
      </c>
      <c r="J71" s="192"/>
    </row>
    <row r="72" spans="1:15" ht="65.25" customHeight="1" x14ac:dyDescent="0.25">
      <c r="A72" s="264" t="s">
        <v>19</v>
      </c>
      <c r="B72" s="225" t="s">
        <v>272</v>
      </c>
      <c r="C72" s="225">
        <v>92811</v>
      </c>
      <c r="D72" s="284" t="s">
        <v>211</v>
      </c>
      <c r="E72" s="214" t="s">
        <v>6</v>
      </c>
      <c r="F72" s="215">
        <f>F67</f>
        <v>323</v>
      </c>
      <c r="G72" s="330">
        <v>69.14</v>
      </c>
      <c r="H72" s="269">
        <f>ROUND((G72*I8),2)</f>
        <v>88.13</v>
      </c>
      <c r="I72" s="271">
        <f>ABS(F72*H72)</f>
        <v>28465.99</v>
      </c>
      <c r="J72" s="192"/>
    </row>
    <row r="73" spans="1:15" ht="63.75" customHeight="1" x14ac:dyDescent="0.25">
      <c r="A73" s="429" t="s">
        <v>19</v>
      </c>
      <c r="B73" s="232" t="s">
        <v>273</v>
      </c>
      <c r="C73" s="232">
        <v>92813</v>
      </c>
      <c r="D73" s="285" t="s">
        <v>212</v>
      </c>
      <c r="E73" s="430" t="s">
        <v>6</v>
      </c>
      <c r="F73" s="431">
        <f>F68</f>
        <v>177</v>
      </c>
      <c r="G73" s="330">
        <v>93.32</v>
      </c>
      <c r="H73" s="432">
        <f>ROUND((G73*I8),2)</f>
        <v>118.95</v>
      </c>
      <c r="I73" s="476">
        <f>ABS(F73*H73)</f>
        <v>21054.15</v>
      </c>
      <c r="J73" s="192"/>
    </row>
    <row r="74" spans="1:15" ht="63.75" customHeight="1" x14ac:dyDescent="0.25">
      <c r="A74" s="264" t="s">
        <v>19</v>
      </c>
      <c r="B74" s="225" t="s">
        <v>440</v>
      </c>
      <c r="C74" s="225">
        <v>92817</v>
      </c>
      <c r="D74" s="281" t="s">
        <v>444</v>
      </c>
      <c r="E74" s="214" t="s">
        <v>6</v>
      </c>
      <c r="F74" s="215">
        <f>F69</f>
        <v>396</v>
      </c>
      <c r="G74" s="273">
        <v>154.32</v>
      </c>
      <c r="H74" s="269">
        <f>ROUND((G74*I8),2)</f>
        <v>196.7</v>
      </c>
      <c r="I74" s="271">
        <f>ABS(F74*H74)</f>
        <v>77893.2</v>
      </c>
      <c r="J74" s="192"/>
    </row>
    <row r="75" spans="1:15" ht="24.75" customHeight="1" thickBot="1" x14ac:dyDescent="0.3">
      <c r="A75" s="491" t="s">
        <v>274</v>
      </c>
      <c r="B75" s="492"/>
      <c r="C75" s="492"/>
      <c r="D75" s="492"/>
      <c r="E75" s="492"/>
      <c r="F75" s="492"/>
      <c r="G75" s="492"/>
      <c r="H75" s="493"/>
      <c r="I75" s="391">
        <f>I62+I65+I70</f>
        <v>681545.72</v>
      </c>
      <c r="J75" s="192"/>
    </row>
    <row r="76" spans="1:15" ht="9.75" customHeight="1" thickBot="1" x14ac:dyDescent="0.3">
      <c r="A76" s="512"/>
      <c r="B76" s="513"/>
      <c r="C76" s="513"/>
      <c r="D76" s="513"/>
      <c r="E76" s="513"/>
      <c r="F76" s="513"/>
      <c r="G76" s="513"/>
      <c r="H76" s="513"/>
      <c r="I76" s="514"/>
      <c r="J76" s="192"/>
    </row>
    <row r="77" spans="1:15" ht="21" customHeight="1" x14ac:dyDescent="0.25">
      <c r="A77" s="504" t="s">
        <v>300</v>
      </c>
      <c r="B77" s="504"/>
      <c r="C77" s="504"/>
      <c r="D77" s="504"/>
      <c r="E77" s="504"/>
      <c r="F77" s="504"/>
      <c r="G77" s="504"/>
      <c r="H77" s="504"/>
      <c r="I77" s="505"/>
      <c r="J77" s="192"/>
    </row>
    <row r="78" spans="1:15" ht="18.75" customHeight="1" x14ac:dyDescent="0.25">
      <c r="A78" s="251"/>
      <c r="B78" s="225" t="s">
        <v>275</v>
      </c>
      <c r="C78" s="213"/>
      <c r="D78" s="300" t="s">
        <v>213</v>
      </c>
      <c r="E78" s="300"/>
      <c r="F78" s="300"/>
      <c r="G78" s="300"/>
      <c r="H78" s="300"/>
      <c r="I78" s="300"/>
      <c r="J78" s="192"/>
    </row>
    <row r="79" spans="1:15" ht="43.5" customHeight="1" x14ac:dyDescent="0.25">
      <c r="A79" s="264" t="s">
        <v>19</v>
      </c>
      <c r="B79" s="266" t="s">
        <v>220</v>
      </c>
      <c r="C79" s="266">
        <v>101114</v>
      </c>
      <c r="D79" s="288" t="s">
        <v>215</v>
      </c>
      <c r="E79" s="216" t="s">
        <v>187</v>
      </c>
      <c r="F79" s="212">
        <f>'4.Memória '!C366</f>
        <v>1296</v>
      </c>
      <c r="G79" s="271">
        <v>3.33</v>
      </c>
      <c r="H79" s="269">
        <f>ROUND((G79*I8),2)</f>
        <v>4.24</v>
      </c>
      <c r="I79" s="268">
        <f>F79*H79</f>
        <v>5495.04</v>
      </c>
      <c r="J79" s="217"/>
      <c r="O79" s="231"/>
    </row>
    <row r="80" spans="1:15" ht="75.75" customHeight="1" x14ac:dyDescent="0.25">
      <c r="A80" s="264" t="s">
        <v>19</v>
      </c>
      <c r="B80" s="266" t="s">
        <v>221</v>
      </c>
      <c r="C80" s="196">
        <v>100973</v>
      </c>
      <c r="D80" s="288" t="s">
        <v>216</v>
      </c>
      <c r="E80" s="209" t="s">
        <v>187</v>
      </c>
      <c r="F80" s="212">
        <f>'4.Memória '!C374</f>
        <v>1296</v>
      </c>
      <c r="G80" s="274">
        <v>7.51</v>
      </c>
      <c r="H80" s="269">
        <f>ROUND((G80*I8),2)</f>
        <v>9.57</v>
      </c>
      <c r="I80" s="273">
        <f>ABS(F80*H80)</f>
        <v>12402.72</v>
      </c>
      <c r="J80" s="217"/>
    </row>
    <row r="81" spans="1:10" ht="38.25" customHeight="1" x14ac:dyDescent="0.25">
      <c r="A81" s="264" t="s">
        <v>19</v>
      </c>
      <c r="B81" s="266" t="s">
        <v>222</v>
      </c>
      <c r="C81" s="196">
        <v>95875</v>
      </c>
      <c r="D81" s="288" t="s">
        <v>217</v>
      </c>
      <c r="E81" s="209" t="s">
        <v>234</v>
      </c>
      <c r="F81" s="212">
        <f>'4.Memória '!C382</f>
        <v>16200</v>
      </c>
      <c r="G81" s="271">
        <v>2.11</v>
      </c>
      <c r="H81" s="269">
        <f>ROUND((G81*I8),2)</f>
        <v>2.69</v>
      </c>
      <c r="I81" s="268">
        <f>ABS(F81*H81)</f>
        <v>43578</v>
      </c>
      <c r="J81" s="217"/>
    </row>
    <row r="82" spans="1:10" ht="17.25" customHeight="1" x14ac:dyDescent="0.25">
      <c r="A82" s="485" t="s">
        <v>277</v>
      </c>
      <c r="B82" s="486"/>
      <c r="C82" s="486"/>
      <c r="D82" s="486"/>
      <c r="E82" s="486"/>
      <c r="F82" s="486"/>
      <c r="G82" s="486"/>
      <c r="H82" s="487"/>
      <c r="I82" s="261">
        <f>I79+I80+I81</f>
        <v>61475.76</v>
      </c>
      <c r="J82" s="217"/>
    </row>
    <row r="83" spans="1:10" ht="23.25" customHeight="1" x14ac:dyDescent="0.25">
      <c r="A83" s="251"/>
      <c r="B83" s="264" t="s">
        <v>283</v>
      </c>
      <c r="C83" s="218"/>
      <c r="D83" s="488" t="s">
        <v>486</v>
      </c>
      <c r="E83" s="489"/>
      <c r="F83" s="489"/>
      <c r="G83" s="489"/>
      <c r="H83" s="489"/>
      <c r="I83" s="490"/>
      <c r="J83" s="217"/>
    </row>
    <row r="84" spans="1:10" ht="61.5" customHeight="1" x14ac:dyDescent="0.25">
      <c r="A84" s="264" t="s">
        <v>19</v>
      </c>
      <c r="B84" s="225" t="s">
        <v>278</v>
      </c>
      <c r="C84" s="225">
        <v>96388</v>
      </c>
      <c r="D84" s="288" t="s">
        <v>218</v>
      </c>
      <c r="E84" s="209" t="s">
        <v>187</v>
      </c>
      <c r="F84" s="212">
        <f>'4.Memória '!C392</f>
        <v>792</v>
      </c>
      <c r="G84" s="271">
        <v>9.6300000000000008</v>
      </c>
      <c r="H84" s="269">
        <f>ROUND((G84*I8),2)</f>
        <v>12.27</v>
      </c>
      <c r="I84" s="273">
        <f>ABS(F84*H84)</f>
        <v>9717.84</v>
      </c>
    </row>
    <row r="85" spans="1:10" ht="69.75" customHeight="1" x14ac:dyDescent="0.25">
      <c r="A85" s="264" t="s">
        <v>19</v>
      </c>
      <c r="B85" s="225" t="s">
        <v>279</v>
      </c>
      <c r="C85" s="196">
        <v>100973</v>
      </c>
      <c r="D85" s="301" t="s">
        <v>216</v>
      </c>
      <c r="E85" s="209" t="s">
        <v>187</v>
      </c>
      <c r="F85" s="212">
        <f>'4.Memória '!C400</f>
        <v>792</v>
      </c>
      <c r="G85" s="274">
        <v>7.51</v>
      </c>
      <c r="H85" s="269">
        <f>ROUND((G85*I8),2)</f>
        <v>9.57</v>
      </c>
      <c r="I85" s="273">
        <f>ABS(F85*H85)</f>
        <v>7579.44</v>
      </c>
    </row>
    <row r="86" spans="1:10" ht="38.25" customHeight="1" x14ac:dyDescent="0.25">
      <c r="A86" s="264" t="s">
        <v>19</v>
      </c>
      <c r="B86" s="225" t="s">
        <v>280</v>
      </c>
      <c r="C86" s="196">
        <v>95875</v>
      </c>
      <c r="D86" s="288" t="s">
        <v>219</v>
      </c>
      <c r="E86" s="209" t="s">
        <v>234</v>
      </c>
      <c r="F86" s="212">
        <f>'4.Memória '!C408</f>
        <v>19800</v>
      </c>
      <c r="G86" s="274">
        <v>2.11</v>
      </c>
      <c r="H86" s="269">
        <f>ROUND((G86*I8),2)</f>
        <v>2.69</v>
      </c>
      <c r="I86" s="273">
        <f>ABS(F86*H86)</f>
        <v>53262</v>
      </c>
    </row>
    <row r="87" spans="1:10" ht="27.75" customHeight="1" x14ac:dyDescent="0.25">
      <c r="A87" s="264" t="s">
        <v>19</v>
      </c>
      <c r="B87" s="225" t="s">
        <v>281</v>
      </c>
      <c r="C87" s="196" t="s">
        <v>193</v>
      </c>
      <c r="D87" s="302" t="s">
        <v>194</v>
      </c>
      <c r="E87" s="209" t="s">
        <v>187</v>
      </c>
      <c r="F87" s="212">
        <f>'4.Memória '!C416</f>
        <v>792</v>
      </c>
      <c r="G87" s="274">
        <v>10.63</v>
      </c>
      <c r="H87" s="269">
        <f>ROUND((G87*I8),2)</f>
        <v>13.55</v>
      </c>
      <c r="I87" s="273">
        <f>ABS(F87*H87)</f>
        <v>10731.6</v>
      </c>
    </row>
    <row r="88" spans="1:10" ht="22.5" customHeight="1" x14ac:dyDescent="0.25">
      <c r="A88" s="485" t="s">
        <v>282</v>
      </c>
      <c r="B88" s="486"/>
      <c r="C88" s="486"/>
      <c r="D88" s="486"/>
      <c r="E88" s="486"/>
      <c r="F88" s="486"/>
      <c r="G88" s="486"/>
      <c r="H88" s="487"/>
      <c r="I88" s="277">
        <f>I84+I85+I86+I87</f>
        <v>81290.880000000005</v>
      </c>
    </row>
    <row r="89" spans="1:10" ht="23.25" customHeight="1" x14ac:dyDescent="0.25">
      <c r="A89" s="267"/>
      <c r="B89" s="263" t="s">
        <v>284</v>
      </c>
      <c r="C89" s="218"/>
      <c r="D89" s="488" t="s">
        <v>223</v>
      </c>
      <c r="E89" s="489"/>
      <c r="F89" s="489"/>
      <c r="G89" s="489"/>
      <c r="H89" s="489"/>
      <c r="I89" s="490"/>
    </row>
    <row r="90" spans="1:10" ht="43.5" customHeight="1" x14ac:dyDescent="0.25">
      <c r="A90" s="265" t="s">
        <v>80</v>
      </c>
      <c r="B90" s="265" t="s">
        <v>285</v>
      </c>
      <c r="C90" s="389" t="s">
        <v>128</v>
      </c>
      <c r="D90" s="288" t="s">
        <v>224</v>
      </c>
      <c r="E90" s="209" t="s">
        <v>8</v>
      </c>
      <c r="F90" s="212">
        <f>'4.Memória '!C426</f>
        <v>4560</v>
      </c>
      <c r="G90" s="274">
        <v>5.62</v>
      </c>
      <c r="H90" s="269">
        <f>ROUND((G90*I8),2)</f>
        <v>7.16</v>
      </c>
      <c r="I90" s="477">
        <f>ABS(F90*H90)</f>
        <v>32649.599999999999</v>
      </c>
    </row>
    <row r="91" spans="1:10" ht="30.75" customHeight="1" x14ac:dyDescent="0.25">
      <c r="A91" s="264" t="s">
        <v>19</v>
      </c>
      <c r="B91" s="265" t="s">
        <v>286</v>
      </c>
      <c r="C91" s="225">
        <v>96402</v>
      </c>
      <c r="D91" s="288" t="s">
        <v>225</v>
      </c>
      <c r="E91" s="209" t="s">
        <v>8</v>
      </c>
      <c r="F91" s="212">
        <f>'4.Memória '!C434</f>
        <v>4560</v>
      </c>
      <c r="G91" s="274">
        <v>2.4500000000000002</v>
      </c>
      <c r="H91" s="269">
        <f>ROUND((G91*I8),2)</f>
        <v>3.12</v>
      </c>
      <c r="I91" s="275">
        <f>ABS(F91*H91)</f>
        <v>14227.2</v>
      </c>
    </row>
    <row r="92" spans="1:10" ht="65.25" customHeight="1" x14ac:dyDescent="0.25">
      <c r="A92" s="264" t="s">
        <v>19</v>
      </c>
      <c r="B92" s="265" t="s">
        <v>287</v>
      </c>
      <c r="C92" s="225">
        <v>95995</v>
      </c>
      <c r="D92" s="303" t="s">
        <v>226</v>
      </c>
      <c r="E92" s="209" t="s">
        <v>187</v>
      </c>
      <c r="F92" s="212">
        <f>'4.Memória '!B442</f>
        <v>139.19999999999999</v>
      </c>
      <c r="G92" s="274">
        <v>1245.1199999999999</v>
      </c>
      <c r="H92" s="269">
        <f>ROUND((G92*I8),2)</f>
        <v>1587.03</v>
      </c>
      <c r="I92" s="275">
        <f>ABS(F92*H92)</f>
        <v>220914.58</v>
      </c>
    </row>
    <row r="93" spans="1:10" ht="36.75" customHeight="1" x14ac:dyDescent="0.25">
      <c r="A93" s="264" t="s">
        <v>19</v>
      </c>
      <c r="B93" s="265" t="s">
        <v>288</v>
      </c>
      <c r="C93" s="225">
        <v>95875</v>
      </c>
      <c r="D93" s="303" t="s">
        <v>227</v>
      </c>
      <c r="E93" s="209" t="s">
        <v>234</v>
      </c>
      <c r="F93" s="212">
        <f>'4.Memória '!B451</f>
        <v>3480</v>
      </c>
      <c r="G93" s="331">
        <v>2.11</v>
      </c>
      <c r="H93" s="269">
        <f>ROUND((G93*I8),2)</f>
        <v>2.69</v>
      </c>
      <c r="I93" s="275">
        <f>ABS(F93*H93)</f>
        <v>9361.2000000000007</v>
      </c>
    </row>
    <row r="94" spans="1:10" ht="21.75" customHeight="1" x14ac:dyDescent="0.25">
      <c r="A94" s="485" t="s">
        <v>295</v>
      </c>
      <c r="B94" s="486"/>
      <c r="C94" s="486"/>
      <c r="D94" s="486"/>
      <c r="E94" s="486"/>
      <c r="F94" s="486"/>
      <c r="G94" s="486"/>
      <c r="H94" s="487"/>
      <c r="I94" s="277">
        <f>I90+I91+I92+I93</f>
        <v>277152.58</v>
      </c>
    </row>
    <row r="95" spans="1:10" ht="21" customHeight="1" x14ac:dyDescent="0.25">
      <c r="A95" s="251"/>
      <c r="B95" s="263" t="s">
        <v>291</v>
      </c>
      <c r="C95" s="213"/>
      <c r="D95" s="506" t="s">
        <v>228</v>
      </c>
      <c r="E95" s="507"/>
      <c r="F95" s="507"/>
      <c r="G95" s="507"/>
      <c r="H95" s="507"/>
      <c r="I95" s="508"/>
    </row>
    <row r="96" spans="1:10" ht="39.75" customHeight="1" x14ac:dyDescent="0.25">
      <c r="A96" s="265" t="s">
        <v>266</v>
      </c>
      <c r="B96" s="207" t="s">
        <v>292</v>
      </c>
      <c r="C96" s="225" t="s">
        <v>289</v>
      </c>
      <c r="D96" s="303" t="s">
        <v>229</v>
      </c>
      <c r="E96" s="209" t="s">
        <v>187</v>
      </c>
      <c r="F96" s="208">
        <f>'4.Memória '!C461</f>
        <v>1320</v>
      </c>
      <c r="G96" s="273">
        <v>1.1599999999999999</v>
      </c>
      <c r="H96" s="269">
        <f>ROUND((G96*I8),2)</f>
        <v>1.48</v>
      </c>
      <c r="I96" s="276">
        <f>ABS(F96*H96)</f>
        <v>1953.6</v>
      </c>
    </row>
    <row r="97" spans="1:9" ht="39.75" customHeight="1" x14ac:dyDescent="0.25">
      <c r="A97" s="265" t="s">
        <v>266</v>
      </c>
      <c r="B97" s="207" t="s">
        <v>293</v>
      </c>
      <c r="C97" s="225" t="s">
        <v>290</v>
      </c>
      <c r="D97" s="303" t="s">
        <v>230</v>
      </c>
      <c r="E97" s="209" t="s">
        <v>235</v>
      </c>
      <c r="F97" s="208">
        <f>'4.Memória '!C469</f>
        <v>16</v>
      </c>
      <c r="G97" s="273">
        <v>127.55</v>
      </c>
      <c r="H97" s="269">
        <f>ROUND((G97*I8),2)</f>
        <v>162.58000000000001</v>
      </c>
      <c r="I97" s="276">
        <f>ABS(F97*H97)</f>
        <v>2601.2800000000002</v>
      </c>
    </row>
    <row r="98" spans="1:9" ht="19.5" customHeight="1" thickBot="1" x14ac:dyDescent="0.3">
      <c r="A98" s="509" t="s">
        <v>296</v>
      </c>
      <c r="B98" s="510"/>
      <c r="C98" s="510"/>
      <c r="D98" s="510"/>
      <c r="E98" s="510"/>
      <c r="F98" s="510"/>
      <c r="G98" s="510"/>
      <c r="H98" s="511"/>
      <c r="I98" s="277">
        <f>I96+I97</f>
        <v>4554.88</v>
      </c>
    </row>
    <row r="99" spans="1:9" ht="19.5" customHeight="1" thickBot="1" x14ac:dyDescent="0.3">
      <c r="A99" s="494" t="s">
        <v>297</v>
      </c>
      <c r="B99" s="495"/>
      <c r="C99" s="495"/>
      <c r="D99" s="495"/>
      <c r="E99" s="495"/>
      <c r="F99" s="495"/>
      <c r="G99" s="495"/>
      <c r="H99" s="496"/>
      <c r="I99" s="259">
        <f>I82+I88+I94+I98</f>
        <v>424474.1</v>
      </c>
    </row>
    <row r="100" spans="1:9" ht="10.5" customHeight="1" thickBot="1" x14ac:dyDescent="0.3">
      <c r="A100" s="512"/>
      <c r="B100" s="513"/>
      <c r="C100" s="513"/>
      <c r="D100" s="513"/>
      <c r="E100" s="513"/>
      <c r="F100" s="513"/>
      <c r="G100" s="513"/>
      <c r="H100" s="513"/>
      <c r="I100" s="514"/>
    </row>
    <row r="101" spans="1:9" ht="23.25" customHeight="1" x14ac:dyDescent="0.25">
      <c r="A101" s="293" t="s">
        <v>301</v>
      </c>
      <c r="B101" s="293"/>
      <c r="C101" s="293"/>
      <c r="D101" s="298"/>
      <c r="E101" s="298"/>
      <c r="F101" s="298"/>
      <c r="G101" s="298"/>
      <c r="H101" s="298"/>
      <c r="I101" s="299"/>
    </row>
    <row r="102" spans="1:9" ht="25.5" customHeight="1" thickBot="1" x14ac:dyDescent="0.3">
      <c r="A102" s="264" t="s">
        <v>19</v>
      </c>
      <c r="B102" s="207" t="s">
        <v>298</v>
      </c>
      <c r="C102" s="207">
        <v>99814</v>
      </c>
      <c r="D102" s="303" t="s">
        <v>232</v>
      </c>
      <c r="E102" s="209" t="s">
        <v>8</v>
      </c>
      <c r="F102" s="208">
        <f>'4.Memória '!C476</f>
        <v>4560</v>
      </c>
      <c r="G102" s="273">
        <v>1.54</v>
      </c>
      <c r="H102" s="269">
        <f>ROUND((G102*I8),2)</f>
        <v>1.96</v>
      </c>
      <c r="I102" s="276">
        <f>ABS(F102*H102)</f>
        <v>8937.6</v>
      </c>
    </row>
    <row r="103" spans="1:9" ht="24.75" customHeight="1" thickBot="1" x14ac:dyDescent="0.3">
      <c r="A103" s="494" t="s">
        <v>294</v>
      </c>
      <c r="B103" s="495"/>
      <c r="C103" s="495"/>
      <c r="D103" s="495"/>
      <c r="E103" s="495"/>
      <c r="F103" s="495"/>
      <c r="G103" s="495"/>
      <c r="H103" s="496"/>
      <c r="I103" s="259">
        <f>I102</f>
        <v>8937.6</v>
      </c>
    </row>
    <row r="104" spans="1:9" ht="23.25" customHeight="1" x14ac:dyDescent="0.25">
      <c r="A104" s="497" t="s">
        <v>9</v>
      </c>
      <c r="B104" s="498"/>
      <c r="C104" s="498"/>
      <c r="D104" s="498"/>
      <c r="E104" s="498"/>
      <c r="F104" s="498"/>
      <c r="G104" s="498"/>
      <c r="H104" s="499"/>
      <c r="I104" s="278">
        <f>I12+I18+I22+I43+I56+I59+I75+I99+I103</f>
        <v>1690174.54</v>
      </c>
    </row>
    <row r="105" spans="1:9" x14ac:dyDescent="0.25">
      <c r="A105" s="217"/>
      <c r="B105" s="217"/>
      <c r="C105" s="217"/>
      <c r="D105" s="217"/>
      <c r="E105" s="217"/>
      <c r="F105" s="217"/>
      <c r="G105" s="217"/>
      <c r="H105" s="217"/>
    </row>
    <row r="106" spans="1:9" x14ac:dyDescent="0.25">
      <c r="A106" s="217"/>
      <c r="B106" s="217"/>
      <c r="C106" s="217"/>
      <c r="D106" s="217"/>
      <c r="E106" s="217"/>
      <c r="F106" s="217"/>
      <c r="G106" s="217"/>
      <c r="H106" s="217"/>
    </row>
    <row r="107" spans="1:9" x14ac:dyDescent="0.25">
      <c r="A107" s="217"/>
      <c r="B107" s="217"/>
      <c r="C107" s="217"/>
      <c r="D107" s="217"/>
      <c r="E107" s="217"/>
      <c r="F107" s="217"/>
      <c r="G107" s="217"/>
      <c r="H107" s="217"/>
    </row>
    <row r="108" spans="1:9" x14ac:dyDescent="0.25">
      <c r="A108" s="217"/>
      <c r="B108" s="217"/>
      <c r="C108" s="217"/>
      <c r="D108" s="217"/>
      <c r="E108" s="217"/>
      <c r="F108" s="217"/>
      <c r="G108" s="217"/>
      <c r="H108" s="217"/>
    </row>
  </sheetData>
  <mergeCells count="39">
    <mergeCell ref="A13:I13"/>
    <mergeCell ref="E49:I49"/>
    <mergeCell ref="E53:I53"/>
    <mergeCell ref="A56:H56"/>
    <mergeCell ref="A57:I57"/>
    <mergeCell ref="E47:I47"/>
    <mergeCell ref="A24:I24"/>
    <mergeCell ref="A25:I25"/>
    <mergeCell ref="E29:I29"/>
    <mergeCell ref="A14:I14"/>
    <mergeCell ref="A18:H18"/>
    <mergeCell ref="A20:I20"/>
    <mergeCell ref="A22:H22"/>
    <mergeCell ref="A23:I23"/>
    <mergeCell ref="A19:I19"/>
    <mergeCell ref="A5:I5"/>
    <mergeCell ref="H6:I6"/>
    <mergeCell ref="A6:G8"/>
    <mergeCell ref="A10:I10"/>
    <mergeCell ref="A12:H12"/>
    <mergeCell ref="A104:H104"/>
    <mergeCell ref="E31:I31"/>
    <mergeCell ref="A59:H59"/>
    <mergeCell ref="E37:I37"/>
    <mergeCell ref="A43:H43"/>
    <mergeCell ref="A44:I44"/>
    <mergeCell ref="D95:I95"/>
    <mergeCell ref="A98:H98"/>
    <mergeCell ref="A99:H99"/>
    <mergeCell ref="A100:I100"/>
    <mergeCell ref="A76:I76"/>
    <mergeCell ref="A77:I77"/>
    <mergeCell ref="A82:H82"/>
    <mergeCell ref="A88:H88"/>
    <mergeCell ref="A94:H94"/>
    <mergeCell ref="D83:I83"/>
    <mergeCell ref="D89:I89"/>
    <mergeCell ref="A75:H75"/>
    <mergeCell ref="A103:H103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I15" sqref="I15"/>
    </sheetView>
  </sheetViews>
  <sheetFormatPr defaultRowHeight="15" x14ac:dyDescent="0.25"/>
  <cols>
    <col min="2" max="2" width="20.85546875" customWidth="1"/>
    <col min="3" max="3" width="12.5703125" customWidth="1"/>
    <col min="4" max="5" width="19" customWidth="1"/>
  </cols>
  <sheetData>
    <row r="1" spans="1:5" x14ac:dyDescent="0.25">
      <c r="A1" s="122"/>
      <c r="B1" s="122"/>
      <c r="C1" s="122"/>
      <c r="D1" s="122"/>
      <c r="E1" s="122"/>
    </row>
    <row r="2" spans="1:5" x14ac:dyDescent="0.25">
      <c r="A2" s="122"/>
      <c r="B2" s="122"/>
      <c r="C2" s="122"/>
      <c r="D2" s="122"/>
      <c r="E2" s="122"/>
    </row>
    <row r="3" spans="1:5" s="122" customFormat="1" x14ac:dyDescent="0.25"/>
    <row r="4" spans="1:5" x14ac:dyDescent="0.25">
      <c r="A4" s="702" t="s">
        <v>471</v>
      </c>
      <c r="B4" s="702"/>
      <c r="C4" s="702"/>
      <c r="D4" s="702"/>
      <c r="E4" s="702"/>
    </row>
    <row r="5" spans="1:5" ht="15.75" thickBot="1" x14ac:dyDescent="0.3">
      <c r="A5" s="455"/>
      <c r="B5" s="455"/>
      <c r="C5" s="455"/>
      <c r="D5" s="456"/>
      <c r="E5" s="456"/>
    </row>
    <row r="6" spans="1:5" x14ac:dyDescent="0.25">
      <c r="A6" s="703" t="s">
        <v>51</v>
      </c>
      <c r="B6" s="705" t="s">
        <v>472</v>
      </c>
      <c r="C6" s="707" t="s">
        <v>473</v>
      </c>
      <c r="D6" s="709" t="s">
        <v>474</v>
      </c>
      <c r="E6" s="711" t="s">
        <v>475</v>
      </c>
    </row>
    <row r="7" spans="1:5" x14ac:dyDescent="0.25">
      <c r="A7" s="704"/>
      <c r="B7" s="706"/>
      <c r="C7" s="708"/>
      <c r="D7" s="710"/>
      <c r="E7" s="712"/>
    </row>
    <row r="8" spans="1:5" ht="23.25" customHeight="1" x14ac:dyDescent="0.25">
      <c r="A8" s="457">
        <v>1</v>
      </c>
      <c r="B8" s="458" t="s">
        <v>476</v>
      </c>
      <c r="C8" s="214" t="s">
        <v>473</v>
      </c>
      <c r="D8" s="459">
        <f>'Planilha Final'!I12</f>
        <v>100376.28</v>
      </c>
      <c r="E8" s="460">
        <f>D8/D14*100</f>
        <v>5.94</v>
      </c>
    </row>
    <row r="9" spans="1:5" ht="41.25" customHeight="1" x14ac:dyDescent="0.25">
      <c r="A9" s="457">
        <v>2</v>
      </c>
      <c r="B9" s="458" t="s">
        <v>479</v>
      </c>
      <c r="C9" s="214" t="s">
        <v>473</v>
      </c>
      <c r="D9" s="459">
        <f>'Planilha Final'!I18+'Planilha Final'!I22</f>
        <v>36095.08</v>
      </c>
      <c r="E9" s="460">
        <f>D9/D14*100</f>
        <v>2.14</v>
      </c>
    </row>
    <row r="10" spans="1:5" ht="64.5" customHeight="1" x14ac:dyDescent="0.25">
      <c r="A10" s="457">
        <v>3</v>
      </c>
      <c r="B10" s="458" t="s">
        <v>480</v>
      </c>
      <c r="C10" s="214" t="s">
        <v>473</v>
      </c>
      <c r="D10" s="459">
        <f>'Planilha Final'!I43+'Planilha Final'!I56+'Planilha Final'!I75</f>
        <v>1020552.58</v>
      </c>
      <c r="E10" s="460">
        <f>D10/D14*100</f>
        <v>60.38</v>
      </c>
    </row>
    <row r="11" spans="1:5" ht="20.25" customHeight="1" x14ac:dyDescent="0.25">
      <c r="A11" s="457">
        <v>4</v>
      </c>
      <c r="B11" s="461" t="s">
        <v>481</v>
      </c>
      <c r="C11" s="430" t="s">
        <v>473</v>
      </c>
      <c r="D11" s="462">
        <f>'Planilha Final'!$I$59</f>
        <v>99738.9</v>
      </c>
      <c r="E11" s="460">
        <f>D11/D14*100</f>
        <v>5.9</v>
      </c>
    </row>
    <row r="12" spans="1:5" ht="55.5" customHeight="1" x14ac:dyDescent="0.25">
      <c r="A12" s="457">
        <v>5</v>
      </c>
      <c r="B12" s="461" t="s">
        <v>510</v>
      </c>
      <c r="C12" s="430" t="s">
        <v>473</v>
      </c>
      <c r="D12" s="462">
        <f>'Planilha Final'!$I$99</f>
        <v>424474.1</v>
      </c>
      <c r="E12" s="460">
        <f>D12/D14*100</f>
        <v>25.11</v>
      </c>
    </row>
    <row r="13" spans="1:5" ht="18.75" customHeight="1" x14ac:dyDescent="0.25">
      <c r="A13" s="457">
        <v>6</v>
      </c>
      <c r="B13" s="458" t="s">
        <v>477</v>
      </c>
      <c r="C13" s="430" t="s">
        <v>473</v>
      </c>
      <c r="D13" s="459">
        <f>'Planilha Final'!$I$103</f>
        <v>8937.6</v>
      </c>
      <c r="E13" s="460">
        <f>D13/D14*100</f>
        <v>0.53</v>
      </c>
    </row>
    <row r="14" spans="1:5" ht="16.5" thickBot="1" x14ac:dyDescent="0.3">
      <c r="A14" s="699" t="s">
        <v>478</v>
      </c>
      <c r="B14" s="700"/>
      <c r="C14" s="701"/>
      <c r="D14" s="463">
        <f>SUM(D8:D13)</f>
        <v>1690174.54</v>
      </c>
      <c r="E14" s="464">
        <f>E8+E9+E10+E11+E12+E13</f>
        <v>100</v>
      </c>
    </row>
    <row r="15" spans="1:5" x14ac:dyDescent="0.25">
      <c r="A15" s="122"/>
      <c r="B15" s="122"/>
      <c r="C15" s="122"/>
      <c r="D15" s="122"/>
      <c r="E15" s="465"/>
    </row>
  </sheetData>
  <mergeCells count="7">
    <mergeCell ref="A14:C14"/>
    <mergeCell ref="A4:E4"/>
    <mergeCell ref="A6:A7"/>
    <mergeCell ref="B6:B7"/>
    <mergeCell ref="C6:C7"/>
    <mergeCell ref="D6:D7"/>
    <mergeCell ref="E6:E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3"/>
  <sheetViews>
    <sheetView view="pageBreakPreview" zoomScaleSheetLayoutView="100" workbookViewId="0">
      <selection activeCell="G24" sqref="G24"/>
    </sheetView>
  </sheetViews>
  <sheetFormatPr defaultColWidth="9.140625" defaultRowHeight="14.25" x14ac:dyDescent="0.2"/>
  <cols>
    <col min="1" max="1" width="9.140625" style="20"/>
    <col min="2" max="2" width="12.5703125" style="20" customWidth="1"/>
    <col min="3" max="3" width="9.5703125" style="20" customWidth="1"/>
    <col min="4" max="4" width="16.28515625" style="20" customWidth="1"/>
    <col min="5" max="5" width="18.85546875" style="20" customWidth="1"/>
    <col min="6" max="7" width="9.140625" style="20"/>
    <col min="8" max="8" width="14.5703125" style="20" customWidth="1"/>
    <col min="9" max="9" width="9.140625" style="20"/>
    <col min="10" max="10" width="9.85546875" style="20" bestFit="1" customWidth="1"/>
    <col min="11" max="11" width="9.140625" style="20"/>
    <col min="12" max="12" width="19.7109375" style="20" customWidth="1"/>
    <col min="13" max="16384" width="9.140625" style="20"/>
  </cols>
  <sheetData>
    <row r="1" spans="1:14" ht="18" customHeight="1" x14ac:dyDescent="0.25">
      <c r="A1" s="543"/>
      <c r="B1" s="543"/>
      <c r="C1" s="543"/>
      <c r="D1" s="543"/>
      <c r="E1" s="543"/>
      <c r="F1" s="543"/>
      <c r="G1" s="543"/>
      <c r="H1" s="543"/>
      <c r="I1" s="147"/>
      <c r="J1" s="148"/>
      <c r="K1" s="148"/>
    </row>
    <row r="2" spans="1:14" ht="18" customHeight="1" x14ac:dyDescent="0.25">
      <c r="A2" s="543"/>
      <c r="B2" s="543"/>
      <c r="C2" s="543"/>
      <c r="D2" s="543"/>
      <c r="E2" s="543"/>
      <c r="F2" s="543"/>
      <c r="G2" s="543"/>
      <c r="H2" s="543"/>
      <c r="I2" s="148"/>
      <c r="J2" s="148"/>
      <c r="K2" s="148"/>
    </row>
    <row r="3" spans="1:14" ht="18" customHeight="1" x14ac:dyDescent="0.25">
      <c r="A3" s="543"/>
      <c r="B3" s="543"/>
      <c r="C3" s="543"/>
      <c r="D3" s="543"/>
      <c r="E3" s="543"/>
      <c r="F3" s="543"/>
      <c r="G3" s="543"/>
      <c r="H3" s="543"/>
      <c r="I3" s="147"/>
      <c r="J3" s="149"/>
      <c r="K3" s="149"/>
    </row>
    <row r="4" spans="1:14" ht="32.25" customHeight="1" x14ac:dyDescent="0.25">
      <c r="A4" s="544" t="str">
        <f>'Planilha Final'!A5:I5</f>
        <v>EXECUÇÃO DOS SERVIÇOS DE DRENAGEM E PAVIMENTAÇÃO ASFÁLTICA  - BEM VIVER</v>
      </c>
      <c r="B4" s="544"/>
      <c r="C4" s="544"/>
      <c r="D4" s="544"/>
      <c r="E4" s="544"/>
      <c r="F4" s="544"/>
      <c r="G4" s="544"/>
      <c r="H4" s="544"/>
      <c r="I4" s="544"/>
      <c r="J4" s="544"/>
      <c r="K4" s="149"/>
    </row>
    <row r="6" spans="1:14" ht="15" x14ac:dyDescent="0.2">
      <c r="B6" s="542" t="s">
        <v>0</v>
      </c>
      <c r="C6" s="542"/>
      <c r="D6" s="542"/>
      <c r="E6" s="542"/>
      <c r="F6" s="542"/>
      <c r="G6" s="542"/>
      <c r="H6" s="542"/>
    </row>
    <row r="7" spans="1:14" ht="14.85" customHeight="1" x14ac:dyDescent="0.2">
      <c r="B7" s="54"/>
      <c r="C7" s="54"/>
      <c r="D7" s="54"/>
      <c r="E7" s="54"/>
      <c r="F7" s="54"/>
      <c r="G7" s="54"/>
      <c r="H7" s="54"/>
    </row>
    <row r="8" spans="1:14" ht="14.85" customHeight="1" x14ac:dyDescent="0.2">
      <c r="B8" s="542" t="s">
        <v>1</v>
      </c>
      <c r="C8" s="542"/>
      <c r="D8" s="542"/>
      <c r="E8" s="542"/>
      <c r="F8" s="542"/>
      <c r="G8" s="542"/>
      <c r="H8" s="542"/>
    </row>
    <row r="9" spans="1:14" x14ac:dyDescent="0.2">
      <c r="B9" s="535" t="s">
        <v>147</v>
      </c>
      <c r="C9" s="535"/>
      <c r="D9" s="535"/>
      <c r="E9" s="169" t="s">
        <v>3</v>
      </c>
      <c r="F9" s="169"/>
      <c r="G9" s="168" t="s">
        <v>4</v>
      </c>
      <c r="H9" s="168" t="s">
        <v>5</v>
      </c>
      <c r="N9" s="150"/>
    </row>
    <row r="10" spans="1:14" ht="14.85" customHeight="1" x14ac:dyDescent="0.2">
      <c r="B10" s="535"/>
      <c r="C10" s="535"/>
      <c r="D10" s="535"/>
      <c r="E10" s="143" t="s">
        <v>6</v>
      </c>
      <c r="F10" s="78" t="s">
        <v>7</v>
      </c>
      <c r="G10" s="144" t="s">
        <v>6</v>
      </c>
      <c r="H10" s="144" t="s">
        <v>8</v>
      </c>
    </row>
    <row r="11" spans="1:14" x14ac:dyDescent="0.2">
      <c r="B11" s="539" t="s">
        <v>511</v>
      </c>
      <c r="C11" s="540"/>
      <c r="D11" s="541"/>
      <c r="E11" s="135">
        <v>800</v>
      </c>
      <c r="F11" s="135">
        <f>E11/1000</f>
        <v>0.8</v>
      </c>
      <c r="G11" s="135">
        <v>6.6</v>
      </c>
      <c r="H11" s="135">
        <f>ROUND(E11*G11,2)</f>
        <v>5280</v>
      </c>
    </row>
    <row r="12" spans="1:14" ht="15" x14ac:dyDescent="0.2">
      <c r="B12" s="536"/>
      <c r="C12" s="537"/>
      <c r="D12" s="538"/>
      <c r="E12" s="5">
        <f>SUM(E11:E11)</f>
        <v>800</v>
      </c>
      <c r="F12" s="5">
        <f>ROUND(SUM(F11:F11),2)</f>
        <v>0.8</v>
      </c>
      <c r="G12" s="5"/>
      <c r="H12" s="5">
        <f>ROUND(SUM(H11:H11),2)</f>
        <v>5280</v>
      </c>
    </row>
    <row r="13" spans="1:14" ht="15" x14ac:dyDescent="0.2">
      <c r="B13" s="55"/>
      <c r="C13" s="51"/>
      <c r="D13" s="51"/>
      <c r="E13" s="52"/>
      <c r="F13" s="51"/>
      <c r="G13" s="51"/>
      <c r="H13" s="51"/>
    </row>
    <row r="14" spans="1:14" ht="15" x14ac:dyDescent="0.2">
      <c r="B14" s="55"/>
      <c r="C14" s="51"/>
      <c r="D14" s="51"/>
      <c r="E14" s="51"/>
      <c r="F14" s="51"/>
      <c r="G14" s="51"/>
      <c r="H14" s="51"/>
    </row>
    <row r="15" spans="1:14" ht="15" x14ac:dyDescent="0.2">
      <c r="B15" s="101" t="s">
        <v>10</v>
      </c>
      <c r="C15" s="101"/>
      <c r="D15" s="101"/>
      <c r="E15" s="101"/>
      <c r="F15" s="51"/>
      <c r="G15" s="51"/>
      <c r="H15" s="51"/>
    </row>
    <row r="16" spans="1:14" ht="15" x14ac:dyDescent="0.2">
      <c r="B16" s="535" t="s">
        <v>73</v>
      </c>
      <c r="C16" s="535"/>
      <c r="D16" s="535"/>
      <c r="E16" s="77" t="s">
        <v>74</v>
      </c>
      <c r="F16" s="53"/>
      <c r="G16" s="51"/>
      <c r="H16" s="140"/>
    </row>
    <row r="17" spans="2:10" ht="15" x14ac:dyDescent="0.2">
      <c r="B17" s="535"/>
      <c r="C17" s="535"/>
      <c r="D17" s="535"/>
      <c r="E17" s="78" t="s">
        <v>7</v>
      </c>
      <c r="F17" s="53"/>
      <c r="G17" s="52"/>
      <c r="H17" s="140"/>
    </row>
    <row r="18" spans="2:10" ht="15" x14ac:dyDescent="0.2">
      <c r="B18" s="535" t="s">
        <v>85</v>
      </c>
      <c r="C18" s="535"/>
      <c r="D18" s="535"/>
      <c r="E18" s="78">
        <v>20</v>
      </c>
      <c r="F18" s="53"/>
      <c r="G18" s="52"/>
      <c r="H18" s="140"/>
    </row>
    <row r="19" spans="2:10" ht="15" x14ac:dyDescent="0.2">
      <c r="B19" s="535" t="s">
        <v>97</v>
      </c>
      <c r="C19" s="535"/>
      <c r="D19" s="535"/>
      <c r="E19" s="78">
        <v>10</v>
      </c>
      <c r="F19" s="53"/>
      <c r="G19" s="52"/>
      <c r="H19" s="140"/>
    </row>
    <row r="20" spans="2:10" x14ac:dyDescent="0.2">
      <c r="B20" s="535" t="s">
        <v>98</v>
      </c>
      <c r="C20" s="535"/>
      <c r="D20" s="535"/>
      <c r="E20" s="78">
        <v>25</v>
      </c>
    </row>
    <row r="21" spans="2:10" x14ac:dyDescent="0.2">
      <c r="I21" s="140"/>
      <c r="J21" s="140"/>
    </row>
    <row r="22" spans="2:10" x14ac:dyDescent="0.2">
      <c r="I22" s="140"/>
      <c r="J22" s="140"/>
    </row>
    <row r="23" spans="2:10" x14ac:dyDescent="0.2">
      <c r="I23" s="140"/>
      <c r="J23" s="140"/>
    </row>
    <row r="24" spans="2:10" ht="6.75" customHeight="1" x14ac:dyDescent="0.2"/>
    <row r="33" spans="10:10" x14ac:dyDescent="0.2">
      <c r="J33" s="20">
        <f>46/12</f>
        <v>3.8333333333333299</v>
      </c>
    </row>
  </sheetData>
  <mergeCells count="13">
    <mergeCell ref="B8:H8"/>
    <mergeCell ref="A2:H2"/>
    <mergeCell ref="A1:H1"/>
    <mergeCell ref="A3:H3"/>
    <mergeCell ref="B6:H6"/>
    <mergeCell ref="A4:J4"/>
    <mergeCell ref="B20:D20"/>
    <mergeCell ref="B18:D18"/>
    <mergeCell ref="B19:D19"/>
    <mergeCell ref="B9:D10"/>
    <mergeCell ref="B16:D17"/>
    <mergeCell ref="B12:D12"/>
    <mergeCell ref="B11:D11"/>
  </mergeCells>
  <pageMargins left="0.51181102362204722" right="0.51181102362204722" top="0.78740157480314965" bottom="0.78740157480314965" header="0.31496062992125984" footer="0.31496062992125984"/>
  <pageSetup paperSize="9" scale="79"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5"/>
  <sheetViews>
    <sheetView zoomScaleSheetLayoutView="82" workbookViewId="0">
      <selection activeCell="L11" sqref="L11"/>
    </sheetView>
  </sheetViews>
  <sheetFormatPr defaultRowHeight="15" x14ac:dyDescent="0.25"/>
  <cols>
    <col min="2" max="2" width="11.85546875" customWidth="1"/>
    <col min="3" max="3" width="11.28515625" customWidth="1"/>
    <col min="4" max="4" width="12.140625" customWidth="1"/>
    <col min="5" max="5" width="28.28515625" customWidth="1"/>
    <col min="8" max="8" width="11.85546875" customWidth="1"/>
    <col min="9" max="9" width="16" bestFit="1" customWidth="1"/>
    <col min="11" max="11" width="13.28515625" bestFit="1" customWidth="1"/>
    <col min="12" max="12" width="17" bestFit="1" customWidth="1"/>
    <col min="14" max="14" width="15" bestFit="1" customWidth="1"/>
    <col min="17" max="17" width="15" bestFit="1" customWidth="1"/>
  </cols>
  <sheetData>
    <row r="1" spans="1:17" ht="18.75" customHeight="1" x14ac:dyDescent="0.25">
      <c r="A1" s="553"/>
      <c r="B1" s="553"/>
      <c r="C1" s="553"/>
      <c r="D1" s="553"/>
      <c r="E1" s="553"/>
      <c r="F1" s="553"/>
      <c r="G1" s="553"/>
      <c r="H1" s="553"/>
      <c r="I1" s="130"/>
    </row>
    <row r="2" spans="1:17" ht="18.75" customHeight="1" x14ac:dyDescent="0.25">
      <c r="A2" s="553"/>
      <c r="B2" s="553"/>
      <c r="C2" s="553"/>
      <c r="D2" s="553"/>
      <c r="E2" s="553"/>
      <c r="F2" s="553"/>
      <c r="G2" s="553"/>
      <c r="H2" s="553"/>
      <c r="I2" s="130"/>
    </row>
    <row r="3" spans="1:17" ht="18.75" customHeight="1" x14ac:dyDescent="0.25">
      <c r="A3" s="553"/>
      <c r="B3" s="553"/>
      <c r="C3" s="553"/>
      <c r="D3" s="553"/>
      <c r="E3" s="553"/>
      <c r="F3" s="553"/>
      <c r="G3" s="553"/>
      <c r="H3" s="553"/>
      <c r="I3" s="131"/>
    </row>
    <row r="4" spans="1:17" ht="27" customHeight="1" x14ac:dyDescent="0.25">
      <c r="A4" s="558" t="str">
        <f>'Dados da obra'!A4:J4</f>
        <v>EXECUÇÃO DOS SERVIÇOS DE DRENAGEM E PAVIMENTAÇÃO ASFÁLTICA  - BEM VIVER</v>
      </c>
      <c r="B4" s="558"/>
      <c r="C4" s="558"/>
      <c r="D4" s="558"/>
      <c r="E4" s="558"/>
      <c r="F4" s="558"/>
      <c r="G4" s="558"/>
      <c r="H4" s="558"/>
      <c r="I4" s="558"/>
    </row>
    <row r="5" spans="1:17" x14ac:dyDescent="0.25">
      <c r="I5" s="414">
        <v>44866</v>
      </c>
    </row>
    <row r="6" spans="1:17" x14ac:dyDescent="0.25">
      <c r="A6" s="123">
        <v>1</v>
      </c>
      <c r="B6" s="554" t="str">
        <f>'Planilha Final'!D11</f>
        <v>Adminstração da obra para regional.</v>
      </c>
      <c r="C6" s="554"/>
      <c r="D6" s="554"/>
      <c r="E6" s="554"/>
      <c r="F6" s="554"/>
      <c r="G6" s="554"/>
      <c r="H6" s="554"/>
      <c r="I6" s="555"/>
    </row>
    <row r="7" spans="1:17" x14ac:dyDescent="0.25">
      <c r="K7" s="103"/>
    </row>
    <row r="8" spans="1:17" x14ac:dyDescent="0.25">
      <c r="A8" s="550" t="s">
        <v>86</v>
      </c>
      <c r="B8" s="550"/>
      <c r="C8" s="550"/>
      <c r="D8" s="550"/>
      <c r="E8" s="550"/>
      <c r="F8" s="550"/>
      <c r="G8" s="550"/>
      <c r="H8" s="550"/>
      <c r="I8" s="550"/>
    </row>
    <row r="9" spans="1:17" x14ac:dyDescent="0.25">
      <c r="A9" s="556" t="s">
        <v>54</v>
      </c>
      <c r="B9" s="557" t="s">
        <v>55</v>
      </c>
      <c r="C9" s="556" t="s">
        <v>71</v>
      </c>
      <c r="D9" s="556"/>
      <c r="E9" s="556"/>
      <c r="F9" s="557" t="s">
        <v>87</v>
      </c>
      <c r="G9" s="557" t="s">
        <v>72</v>
      </c>
      <c r="H9" s="557" t="s">
        <v>88</v>
      </c>
      <c r="I9" s="557"/>
      <c r="L9" s="136"/>
    </row>
    <row r="10" spans="1:17" x14ac:dyDescent="0.25">
      <c r="A10" s="556"/>
      <c r="B10" s="557"/>
      <c r="C10" s="556"/>
      <c r="D10" s="556"/>
      <c r="E10" s="556"/>
      <c r="F10" s="557"/>
      <c r="G10" s="557"/>
      <c r="H10" s="82" t="s">
        <v>89</v>
      </c>
      <c r="I10" s="82" t="s">
        <v>9</v>
      </c>
    </row>
    <row r="11" spans="1:17" ht="31.5" customHeight="1" x14ac:dyDescent="0.25">
      <c r="A11" s="83" t="s">
        <v>19</v>
      </c>
      <c r="B11" s="83">
        <v>90778</v>
      </c>
      <c r="C11" s="548" t="s">
        <v>17</v>
      </c>
      <c r="D11" s="548"/>
      <c r="E11" s="548"/>
      <c r="F11" s="84" t="s">
        <v>16</v>
      </c>
      <c r="G11" s="84">
        <f>G18</f>
        <v>480</v>
      </c>
      <c r="H11" s="151">
        <v>93.3</v>
      </c>
      <c r="I11" s="85">
        <f>ROUND(G11*H11,2)</f>
        <v>44784</v>
      </c>
      <c r="K11" s="126"/>
    </row>
    <row r="12" spans="1:17" x14ac:dyDescent="0.25">
      <c r="A12" s="83" t="s">
        <v>19</v>
      </c>
      <c r="B12" s="83">
        <v>90776</v>
      </c>
      <c r="C12" s="548" t="s">
        <v>18</v>
      </c>
      <c r="D12" s="548"/>
      <c r="E12" s="548"/>
      <c r="F12" s="84" t="s">
        <v>16</v>
      </c>
      <c r="G12" s="84">
        <f>G19</f>
        <v>720</v>
      </c>
      <c r="H12" s="151">
        <v>18.510000000000002</v>
      </c>
      <c r="I12" s="85">
        <f>ROUND(G12*H12,2)</f>
        <v>13327.2</v>
      </c>
    </row>
    <row r="13" spans="1:17" x14ac:dyDescent="0.25">
      <c r="A13" s="83" t="s">
        <v>19</v>
      </c>
      <c r="B13" s="83">
        <v>88326</v>
      </c>
      <c r="C13" s="548" t="s">
        <v>90</v>
      </c>
      <c r="D13" s="548"/>
      <c r="E13" s="548"/>
      <c r="F13" s="84" t="s">
        <v>16</v>
      </c>
      <c r="G13" s="84">
        <f>G20</f>
        <v>960</v>
      </c>
      <c r="H13" s="151">
        <v>21.5</v>
      </c>
      <c r="I13" s="85">
        <f>ROUND(G13*H13,2)</f>
        <v>20640</v>
      </c>
    </row>
    <row r="14" spans="1:17" x14ac:dyDescent="0.25">
      <c r="A14" s="549" t="s">
        <v>9</v>
      </c>
      <c r="B14" s="549"/>
      <c r="C14" s="549"/>
      <c r="D14" s="549"/>
      <c r="E14" s="549"/>
      <c r="F14" s="549"/>
      <c r="G14" s="549"/>
      <c r="H14" s="549"/>
      <c r="I14" s="86">
        <f>SUM(I11:I13)</f>
        <v>78751.199999999997</v>
      </c>
      <c r="L14" s="136"/>
      <c r="N14" s="126"/>
      <c r="P14" s="134"/>
      <c r="Q14" s="126"/>
    </row>
    <row r="15" spans="1:17" x14ac:dyDescent="0.25">
      <c r="A15" s="87"/>
      <c r="B15" s="88"/>
      <c r="C15" s="88"/>
      <c r="D15" s="88"/>
      <c r="E15" s="88"/>
      <c r="F15" s="88"/>
      <c r="G15" s="88"/>
      <c r="H15" s="88"/>
      <c r="I15" s="89"/>
    </row>
    <row r="16" spans="1:17" x14ac:dyDescent="0.25">
      <c r="A16" s="550" t="s">
        <v>91</v>
      </c>
      <c r="B16" s="550"/>
      <c r="C16" s="550"/>
      <c r="D16" s="550"/>
      <c r="E16" s="550"/>
      <c r="F16" s="550"/>
      <c r="G16" s="550"/>
      <c r="H16" s="88"/>
      <c r="I16" s="89"/>
      <c r="J16" s="98"/>
    </row>
    <row r="17" spans="1:14" x14ac:dyDescent="0.25">
      <c r="A17" s="551" t="s">
        <v>92</v>
      </c>
      <c r="B17" s="552"/>
      <c r="C17" s="90" t="s">
        <v>11</v>
      </c>
      <c r="D17" s="91" t="s">
        <v>12</v>
      </c>
      <c r="E17" s="546" t="s">
        <v>13</v>
      </c>
      <c r="F17" s="547"/>
      <c r="G17" s="92"/>
      <c r="H17" s="93"/>
      <c r="I17" s="94"/>
      <c r="J17" s="39"/>
    </row>
    <row r="18" spans="1:14" x14ac:dyDescent="0.25">
      <c r="A18" s="545" t="s">
        <v>93</v>
      </c>
      <c r="B18" s="545"/>
      <c r="C18" s="133">
        <v>4</v>
      </c>
      <c r="D18" s="90">
        <v>20</v>
      </c>
      <c r="E18" s="90">
        <v>6</v>
      </c>
      <c r="F18" s="92" t="s">
        <v>30</v>
      </c>
      <c r="G18" s="191">
        <f>ROUND((C18*D18*E18),2)</f>
        <v>480</v>
      </c>
      <c r="H18" s="93"/>
      <c r="I18" s="94"/>
      <c r="J18" s="39"/>
      <c r="L18" s="190"/>
      <c r="N18" s="126"/>
    </row>
    <row r="19" spans="1:14" x14ac:dyDescent="0.25">
      <c r="A19" s="545" t="s">
        <v>94</v>
      </c>
      <c r="B19" s="545"/>
      <c r="C19" s="133">
        <v>6</v>
      </c>
      <c r="D19" s="90">
        <v>20</v>
      </c>
      <c r="E19" s="90">
        <v>6</v>
      </c>
      <c r="F19" s="92" t="s">
        <v>30</v>
      </c>
      <c r="G19" s="92">
        <f>ROUND((C19*D19*E19),2)</f>
        <v>720</v>
      </c>
      <c r="H19" s="93"/>
      <c r="I19" s="94"/>
    </row>
    <row r="20" spans="1:14" x14ac:dyDescent="0.25">
      <c r="A20" s="545" t="s">
        <v>95</v>
      </c>
      <c r="B20" s="545"/>
      <c r="C20" s="133">
        <v>8</v>
      </c>
      <c r="D20" s="90">
        <v>20</v>
      </c>
      <c r="E20" s="90">
        <v>6</v>
      </c>
      <c r="F20" s="92" t="s">
        <v>30</v>
      </c>
      <c r="G20" s="92">
        <f>ROUND((C20*D20*E20),2)</f>
        <v>960</v>
      </c>
      <c r="H20" s="95"/>
      <c r="I20" s="96"/>
      <c r="L20" s="126"/>
    </row>
    <row r="21" spans="1:14" x14ac:dyDescent="0.25">
      <c r="A21" s="97"/>
      <c r="B21" s="98"/>
      <c r="C21" s="98"/>
      <c r="D21" s="98"/>
      <c r="E21" s="98"/>
      <c r="F21" s="98"/>
      <c r="G21" s="98"/>
      <c r="H21" s="98"/>
      <c r="I21" s="98"/>
    </row>
    <row r="22" spans="1:14" x14ac:dyDescent="0.25">
      <c r="A22" s="39"/>
      <c r="B22" s="39"/>
      <c r="C22" s="39"/>
      <c r="D22" s="39"/>
      <c r="E22" s="39"/>
      <c r="F22" s="39"/>
      <c r="G22" s="39"/>
      <c r="H22" s="39"/>
      <c r="I22" s="39"/>
      <c r="L22" s="136"/>
    </row>
    <row r="23" spans="1:14" x14ac:dyDescent="0.25">
      <c r="A23" s="39"/>
      <c r="B23" s="39"/>
      <c r="C23" s="39"/>
      <c r="D23" s="39"/>
      <c r="E23" s="39"/>
      <c r="F23" s="39"/>
      <c r="G23" s="39"/>
      <c r="H23" s="39"/>
      <c r="I23" s="39"/>
      <c r="L23" s="126"/>
    </row>
    <row r="25" spans="1:14" x14ac:dyDescent="0.25">
      <c r="C25">
        <v>3.3450000000000002</v>
      </c>
    </row>
  </sheetData>
  <mergeCells count="22">
    <mergeCell ref="A1:H1"/>
    <mergeCell ref="A2:H2"/>
    <mergeCell ref="A3:H3"/>
    <mergeCell ref="A18:B18"/>
    <mergeCell ref="C11:E11"/>
    <mergeCell ref="B6:I6"/>
    <mergeCell ref="A8:I8"/>
    <mergeCell ref="A9:A10"/>
    <mergeCell ref="B9:B10"/>
    <mergeCell ref="C9:E10"/>
    <mergeCell ref="F9:F10"/>
    <mergeCell ref="G9:G10"/>
    <mergeCell ref="H9:I9"/>
    <mergeCell ref="A4:I4"/>
    <mergeCell ref="A19:B19"/>
    <mergeCell ref="A20:B20"/>
    <mergeCell ref="E17:F17"/>
    <mergeCell ref="C12:E12"/>
    <mergeCell ref="C13:E13"/>
    <mergeCell ref="A14:H14"/>
    <mergeCell ref="A16:G16"/>
    <mergeCell ref="A17:B17"/>
  </mergeCells>
  <pageMargins left="0.51181102362204722" right="0.51181102362204722" top="0.78740157480314965" bottom="0.78740157480314965" header="0.31496062992125984" footer="0.31496062992125984"/>
  <pageSetup paperSize="9" scale="79" orientation="portrait" verticalDpi="360" r:id="rId1"/>
  <colBreaks count="1" manualBreakCount="1">
    <brk id="9" max="1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1"/>
  <sheetViews>
    <sheetView view="pageBreakPreview" topLeftCell="A13" zoomScaleSheetLayoutView="100" workbookViewId="0">
      <selection activeCell="I34" sqref="I34"/>
    </sheetView>
  </sheetViews>
  <sheetFormatPr defaultRowHeight="15" x14ac:dyDescent="0.25"/>
  <cols>
    <col min="1" max="1" width="4.140625" style="122" customWidth="1"/>
    <col min="2" max="2" width="8.5703125" customWidth="1"/>
    <col min="4" max="4" width="13.28515625" customWidth="1"/>
    <col min="5" max="5" width="10" customWidth="1"/>
    <col min="6" max="6" width="11.5703125" customWidth="1"/>
    <col min="7" max="8" width="11.28515625" customWidth="1"/>
    <col min="9" max="9" width="13.7109375" customWidth="1"/>
    <col min="14" max="14" width="19.28515625" customWidth="1"/>
  </cols>
  <sheetData>
    <row r="1" spans="1:12" ht="15.75" x14ac:dyDescent="0.25">
      <c r="A1" s="559"/>
      <c r="B1" s="559"/>
      <c r="C1" s="559"/>
      <c r="D1" s="559"/>
      <c r="E1" s="559"/>
      <c r="F1" s="559"/>
      <c r="G1" s="559"/>
      <c r="H1" s="559"/>
      <c r="I1" s="559"/>
      <c r="J1" s="132"/>
      <c r="K1" s="130"/>
      <c r="L1" s="122"/>
    </row>
    <row r="2" spans="1:12" ht="15.75" x14ac:dyDescent="0.25">
      <c r="A2" s="559"/>
      <c r="B2" s="559"/>
      <c r="C2" s="559"/>
      <c r="D2" s="559"/>
      <c r="E2" s="559"/>
      <c r="F2" s="559"/>
      <c r="G2" s="559"/>
      <c r="H2" s="559"/>
      <c r="I2" s="559"/>
      <c r="J2" s="132"/>
      <c r="K2" s="130"/>
      <c r="L2" s="122"/>
    </row>
    <row r="3" spans="1:12" ht="15.75" x14ac:dyDescent="0.25">
      <c r="A3" s="559"/>
      <c r="B3" s="559"/>
      <c r="C3" s="559"/>
      <c r="D3" s="559"/>
      <c r="E3" s="559"/>
      <c r="F3" s="559"/>
      <c r="G3" s="559"/>
      <c r="H3" s="559"/>
      <c r="I3" s="559"/>
      <c r="J3" s="132"/>
      <c r="K3" s="131"/>
      <c r="L3" s="122"/>
    </row>
    <row r="4" spans="1:12" ht="28.5" customHeight="1" x14ac:dyDescent="0.25">
      <c r="A4" s="567" t="str">
        <f>'1.Adm. Local'!A4:I4</f>
        <v>EXECUÇÃO DOS SERVIÇOS DE DRENAGEM E PAVIMENTAÇÃO ASFÁLTICA  - BEM VIVER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"/>
    </row>
    <row r="5" spans="1:12" s="122" customFormat="1" x14ac:dyDescent="0.25">
      <c r="L5" s="56"/>
    </row>
    <row r="6" spans="1:12" s="122" customFormat="1" x14ac:dyDescent="0.25">
      <c r="B6"/>
      <c r="C6"/>
      <c r="D6"/>
      <c r="E6"/>
      <c r="F6"/>
      <c r="G6"/>
      <c r="H6"/>
      <c r="I6"/>
      <c r="J6"/>
      <c r="K6"/>
      <c r="L6"/>
    </row>
    <row r="7" spans="1:12" s="122" customFormat="1" x14ac:dyDescent="0.25">
      <c r="B7" s="124">
        <v>2</v>
      </c>
      <c r="C7" s="560" t="s">
        <v>20</v>
      </c>
      <c r="D7" s="560"/>
      <c r="E7" s="560"/>
      <c r="F7" s="560"/>
      <c r="G7" s="560"/>
      <c r="H7" s="560"/>
      <c r="I7" s="560"/>
      <c r="J7" s="561"/>
      <c r="K7"/>
      <c r="L7"/>
    </row>
    <row r="8" spans="1:12" s="122" customFormat="1" x14ac:dyDescent="0.25">
      <c r="B8" s="6"/>
      <c r="C8" s="6"/>
      <c r="D8" s="6"/>
      <c r="E8" s="6"/>
      <c r="F8" s="6"/>
      <c r="G8" s="6"/>
      <c r="H8" s="6"/>
      <c r="I8" s="6"/>
      <c r="J8" s="6"/>
      <c r="K8"/>
      <c r="L8"/>
    </row>
    <row r="9" spans="1:12" s="122" customFormat="1" x14ac:dyDescent="0.25">
      <c r="B9" s="40" t="s">
        <v>36</v>
      </c>
      <c r="C9" s="56" t="str">
        <f>'Planilha Final'!D15</f>
        <v>Placa de obra  em lona com plotagem de gráfica.</v>
      </c>
      <c r="D9" s="56"/>
      <c r="E9" s="56"/>
      <c r="F9" s="56"/>
      <c r="G9" s="56"/>
      <c r="H9" s="56"/>
      <c r="I9" s="56"/>
      <c r="J9" s="56"/>
      <c r="K9" s="56"/>
      <c r="L9"/>
    </row>
    <row r="10" spans="1:12" x14ac:dyDescent="0.25">
      <c r="B10" s="6"/>
      <c r="C10" s="6"/>
      <c r="D10" s="6"/>
      <c r="E10" s="6"/>
      <c r="F10" s="6"/>
      <c r="G10" s="6"/>
      <c r="H10" s="6"/>
      <c r="I10" s="6"/>
      <c r="J10" s="6"/>
      <c r="K10" s="122"/>
      <c r="L10" s="122"/>
    </row>
    <row r="11" spans="1:12" x14ac:dyDescent="0.25">
      <c r="B11" s="108" t="s">
        <v>28</v>
      </c>
      <c r="C11" s="106"/>
      <c r="D11" s="108" t="s">
        <v>29</v>
      </c>
      <c r="E11" s="106"/>
      <c r="F11" s="108" t="s">
        <v>23</v>
      </c>
      <c r="G11" s="145"/>
      <c r="H11" s="138" t="s">
        <v>33</v>
      </c>
    </row>
    <row r="12" spans="1:12" x14ac:dyDescent="0.25">
      <c r="B12" s="107">
        <v>4</v>
      </c>
      <c r="C12" s="107" t="s">
        <v>14</v>
      </c>
      <c r="D12" s="107">
        <v>6</v>
      </c>
      <c r="E12" s="107" t="s">
        <v>14</v>
      </c>
      <c r="F12" s="107">
        <v>1</v>
      </c>
      <c r="G12" s="107" t="s">
        <v>30</v>
      </c>
      <c r="H12" s="107">
        <f>B12*D12*F12</f>
        <v>24</v>
      </c>
    </row>
    <row r="13" spans="1:12" x14ac:dyDescent="0.25">
      <c r="B13" s="107">
        <v>2</v>
      </c>
      <c r="C13" s="107" t="s">
        <v>14</v>
      </c>
      <c r="D13" s="107">
        <v>3</v>
      </c>
      <c r="E13" s="107" t="s">
        <v>14</v>
      </c>
      <c r="F13" s="107">
        <v>1</v>
      </c>
      <c r="G13" s="128" t="s">
        <v>30</v>
      </c>
      <c r="H13" s="107">
        <f>B13*D13*F13</f>
        <v>6</v>
      </c>
    </row>
    <row r="14" spans="1:12" x14ac:dyDescent="0.25">
      <c r="B14" s="6"/>
      <c r="C14" s="127"/>
      <c r="D14" s="127"/>
      <c r="E14" s="127"/>
      <c r="F14" s="127"/>
      <c r="G14" s="127"/>
      <c r="H14" s="127"/>
      <c r="I14" s="127"/>
      <c r="J14" s="6"/>
      <c r="K14" s="122"/>
      <c r="L14" s="122"/>
    </row>
    <row r="15" spans="1:12" x14ac:dyDescent="0.25">
      <c r="B15" s="6"/>
      <c r="C15" s="7" t="s">
        <v>15</v>
      </c>
      <c r="D15" s="11">
        <f>SUM(H12:H13)</f>
        <v>30</v>
      </c>
      <c r="E15" s="12" t="s">
        <v>482</v>
      </c>
      <c r="F15" s="6"/>
      <c r="G15" s="6"/>
      <c r="H15" s="6"/>
      <c r="I15" s="6"/>
      <c r="J15" s="6"/>
    </row>
    <row r="16" spans="1:12" s="122" customFormat="1" x14ac:dyDescent="0.25">
      <c r="B16" s="6"/>
      <c r="C16" s="6"/>
      <c r="D16" s="6"/>
      <c r="E16" s="6"/>
      <c r="F16" s="6"/>
      <c r="G16" s="6"/>
      <c r="H16" s="6"/>
      <c r="I16" s="6"/>
      <c r="J16" s="6"/>
      <c r="K16"/>
      <c r="L16"/>
    </row>
    <row r="17" spans="2:12" ht="33" customHeight="1" x14ac:dyDescent="0.25">
      <c r="B17" s="40" t="s">
        <v>37</v>
      </c>
      <c r="C17" s="568" t="str">
        <f>'Planilha Final'!D16</f>
        <v>Execução de depósito em canteiro de obra em chapa de madeira compensada, não incluso mobiliário. AF 04/2016.</v>
      </c>
      <c r="D17" s="568"/>
      <c r="E17" s="568"/>
      <c r="F17" s="568"/>
      <c r="G17" s="568"/>
      <c r="H17" s="568"/>
      <c r="I17" s="568"/>
      <c r="J17" s="568"/>
      <c r="K17" s="57"/>
    </row>
    <row r="18" spans="2:12" x14ac:dyDescent="0.25">
      <c r="B18" s="6"/>
      <c r="C18" s="13"/>
      <c r="D18" s="13"/>
      <c r="E18" s="13"/>
      <c r="F18" s="13"/>
      <c r="G18" s="13"/>
      <c r="H18" s="13"/>
      <c r="I18" s="13"/>
      <c r="J18" s="13"/>
    </row>
    <row r="19" spans="2:12" x14ac:dyDescent="0.25">
      <c r="B19" s="6"/>
      <c r="C19" s="569" t="s">
        <v>178</v>
      </c>
      <c r="D19" s="569"/>
      <c r="E19" s="569"/>
      <c r="F19" s="570"/>
      <c r="G19" s="570" t="s">
        <v>179</v>
      </c>
      <c r="H19" s="570"/>
      <c r="I19" s="570"/>
    </row>
    <row r="20" spans="2:12" x14ac:dyDescent="0.25">
      <c r="B20" s="6"/>
      <c r="C20" s="569"/>
      <c r="D20" s="569"/>
      <c r="E20" s="569"/>
      <c r="F20" s="570"/>
      <c r="G20" s="570"/>
      <c r="H20" s="570"/>
      <c r="I20" s="570"/>
    </row>
    <row r="21" spans="2:12" x14ac:dyDescent="0.25">
      <c r="B21" s="6"/>
      <c r="C21" s="571">
        <v>4</v>
      </c>
      <c r="D21" s="571"/>
      <c r="E21" s="571"/>
      <c r="F21" s="108" t="s">
        <v>84</v>
      </c>
      <c r="G21" s="570">
        <v>4</v>
      </c>
      <c r="H21" s="570"/>
      <c r="I21" s="570"/>
      <c r="J21" s="122"/>
      <c r="K21" s="122"/>
      <c r="L21" s="122"/>
    </row>
    <row r="22" spans="2:12" x14ac:dyDescent="0.25">
      <c r="B22" s="6"/>
      <c r="C22" s="6"/>
      <c r="D22" s="6"/>
      <c r="E22" s="6"/>
      <c r="F22" s="6"/>
      <c r="G22" s="6"/>
      <c r="H22" s="6"/>
      <c r="I22" s="6"/>
      <c r="J22" s="6"/>
    </row>
    <row r="23" spans="2:12" x14ac:dyDescent="0.25">
      <c r="B23" s="6"/>
      <c r="C23" s="7" t="s">
        <v>15</v>
      </c>
      <c r="D23" s="11">
        <f>C21*G21</f>
        <v>16</v>
      </c>
      <c r="E23" s="14" t="s">
        <v>482</v>
      </c>
      <c r="F23" s="6"/>
      <c r="G23" s="170"/>
      <c r="H23" s="170"/>
      <c r="I23" s="6"/>
      <c r="J23" s="6"/>
    </row>
    <row r="24" spans="2:12" x14ac:dyDescent="0.25">
      <c r="B24" s="10"/>
      <c r="C24" s="13"/>
      <c r="D24" s="13"/>
      <c r="E24" s="13"/>
      <c r="F24" s="13"/>
      <c r="G24" s="13"/>
      <c r="H24" s="13"/>
      <c r="I24" s="13"/>
      <c r="J24" s="13"/>
    </row>
    <row r="25" spans="2:12" x14ac:dyDescent="0.25">
      <c r="B25" s="40" t="s">
        <v>38</v>
      </c>
      <c r="C25" s="568" t="str">
        <f>'Planilha Final'!D17</f>
        <v>Locação de pavimentação</v>
      </c>
      <c r="D25" s="568"/>
      <c r="E25" s="568"/>
      <c r="F25" s="568"/>
      <c r="G25" s="568"/>
      <c r="H25" s="568"/>
      <c r="I25" s="568"/>
      <c r="J25" s="568"/>
      <c r="K25" s="57"/>
    </row>
    <row r="26" spans="2:12" x14ac:dyDescent="0.25">
      <c r="B26" s="6"/>
      <c r="C26" s="535" t="s">
        <v>2</v>
      </c>
      <c r="D26" s="535"/>
      <c r="E26" s="535"/>
      <c r="F26" s="562" t="s">
        <v>3</v>
      </c>
      <c r="G26" s="563"/>
      <c r="H26" s="1" t="s">
        <v>4</v>
      </c>
      <c r="I26" s="1" t="s">
        <v>5</v>
      </c>
      <c r="J26" s="6"/>
    </row>
    <row r="27" spans="2:12" x14ac:dyDescent="0.25">
      <c r="B27" s="6"/>
      <c r="C27" s="535"/>
      <c r="D27" s="535"/>
      <c r="E27" s="535"/>
      <c r="F27" s="2" t="s">
        <v>6</v>
      </c>
      <c r="G27" s="3" t="s">
        <v>7</v>
      </c>
      <c r="H27" s="1" t="s">
        <v>6</v>
      </c>
      <c r="I27" s="1" t="s">
        <v>8</v>
      </c>
      <c r="J27" s="6"/>
    </row>
    <row r="28" spans="2:12" ht="24" customHeight="1" x14ac:dyDescent="0.25">
      <c r="B28" s="6"/>
      <c r="C28" s="564" t="str">
        <f>'Dados da obra'!B11</f>
        <v>VIA- BEM VIVER</v>
      </c>
      <c r="D28" s="565"/>
      <c r="E28" s="566"/>
      <c r="F28" s="4">
        <f>'Dados da obra'!E11</f>
        <v>800</v>
      </c>
      <c r="G28" s="4">
        <f>F28/1000</f>
        <v>0.8</v>
      </c>
      <c r="H28" s="4">
        <v>6.6</v>
      </c>
      <c r="I28" s="4">
        <f>ROUND(F28*H28,2)</f>
        <v>5280</v>
      </c>
      <c r="J28" s="6"/>
      <c r="L28" s="129"/>
    </row>
    <row r="29" spans="2:12" x14ac:dyDescent="0.25">
      <c r="B29" s="6"/>
      <c r="C29" s="536" t="s">
        <v>9</v>
      </c>
      <c r="D29" s="537"/>
      <c r="E29" s="538"/>
      <c r="F29" s="5">
        <f>SUM(F28:F28)</f>
        <v>800</v>
      </c>
      <c r="G29" s="5">
        <f>ROUND(SUM(G28:G28),2)</f>
        <v>0.8</v>
      </c>
      <c r="H29" s="5"/>
      <c r="I29" s="5">
        <f>ROUND(SUM(I28:I28),2)</f>
        <v>5280</v>
      </c>
      <c r="J29" s="6"/>
    </row>
    <row r="30" spans="2:12" x14ac:dyDescent="0.25">
      <c r="B30" s="6"/>
      <c r="F30" s="6"/>
      <c r="G30" s="6"/>
      <c r="I30" s="6"/>
      <c r="J30" s="6"/>
    </row>
    <row r="31" spans="2:12" x14ac:dyDescent="0.25">
      <c r="C31" s="7" t="s">
        <v>15</v>
      </c>
      <c r="D31" s="11">
        <f>F28</f>
        <v>800</v>
      </c>
      <c r="E31" s="14" t="s">
        <v>99</v>
      </c>
    </row>
  </sheetData>
  <mergeCells count="16">
    <mergeCell ref="A1:I1"/>
    <mergeCell ref="A2:I2"/>
    <mergeCell ref="A3:I3"/>
    <mergeCell ref="C7:J7"/>
    <mergeCell ref="C29:E29"/>
    <mergeCell ref="F26:G26"/>
    <mergeCell ref="C26:E27"/>
    <mergeCell ref="C28:E28"/>
    <mergeCell ref="A4:K4"/>
    <mergeCell ref="C17:J17"/>
    <mergeCell ref="C25:J25"/>
    <mergeCell ref="C19:E20"/>
    <mergeCell ref="F19:F20"/>
    <mergeCell ref="G19:I20"/>
    <mergeCell ref="C21:E21"/>
    <mergeCell ref="G21:I21"/>
  </mergeCells>
  <pageMargins left="0.51181102362204722" right="0.51181102362204722" top="0.78740157480314965" bottom="0.78740157480314965" header="0.31496062992125984" footer="0.31496062992125984"/>
  <pageSetup paperSize="9" scale="84"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23"/>
  <sheetViews>
    <sheetView topLeftCell="A7" zoomScale="85" zoomScaleNormal="85" zoomScaleSheetLayoutView="75" workbookViewId="0">
      <selection sqref="A1:M1"/>
    </sheetView>
  </sheetViews>
  <sheetFormatPr defaultColWidth="9.140625" defaultRowHeight="14.25" x14ac:dyDescent="0.2"/>
  <cols>
    <col min="1" max="1" width="11.28515625" style="20" customWidth="1"/>
    <col min="2" max="2" width="14.85546875" style="20" customWidth="1"/>
    <col min="3" max="3" width="44.140625" style="20" customWidth="1"/>
    <col min="4" max="4" width="9.42578125" style="20" customWidth="1"/>
    <col min="5" max="5" width="13.42578125" style="20" customWidth="1"/>
    <col min="6" max="6" width="15.42578125" style="20" customWidth="1"/>
    <col min="7" max="7" width="8.28515625" style="20" bestFit="1" customWidth="1"/>
    <col min="8" max="8" width="12.85546875" style="20" bestFit="1" customWidth="1"/>
    <col min="9" max="9" width="5.42578125" style="20" bestFit="1" customWidth="1"/>
    <col min="10" max="10" width="8" style="20" customWidth="1"/>
    <col min="11" max="11" width="5.85546875" style="20" customWidth="1"/>
    <col min="12" max="12" width="10.85546875" style="20" bestFit="1" customWidth="1"/>
    <col min="13" max="13" width="21.7109375" style="20" customWidth="1"/>
    <col min="14" max="14" width="12.42578125" style="20" bestFit="1" customWidth="1"/>
    <col min="15" max="15" width="17.85546875" style="20" customWidth="1"/>
    <col min="16" max="16" width="11.85546875" style="20" bestFit="1" customWidth="1"/>
    <col min="17" max="17" width="12.140625" style="20" customWidth="1"/>
    <col min="18" max="18" width="11.85546875" style="20" bestFit="1" customWidth="1"/>
    <col min="19" max="19" width="13.5703125" style="20" customWidth="1"/>
    <col min="20" max="20" width="10.28515625" style="20" bestFit="1" customWidth="1"/>
    <col min="21" max="21" width="15.42578125" style="20" customWidth="1"/>
    <col min="22" max="16384" width="9.140625" style="20"/>
  </cols>
  <sheetData>
    <row r="1" spans="1:25" s="21" customFormat="1" ht="21.75" customHeight="1" x14ac:dyDescent="0.2">
      <c r="A1" s="559" t="str">
        <f>'2.Ser.Prel.'!A4:K4</f>
        <v>EXECUÇÃO DOS SERVIÇOS DE DRENAGEM E PAVIMENTAÇÃO ASFÁLTICA  - BEM VIVER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</row>
    <row r="2" spans="1:25" s="28" customFormat="1" ht="15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28" t="e">
        <f>#REF!</f>
        <v>#REF!</v>
      </c>
      <c r="Q2" s="76" t="e">
        <f>#REF!</f>
        <v>#REF!</v>
      </c>
    </row>
    <row r="3" spans="1:25" s="28" customFormat="1" ht="18" x14ac:dyDescent="0.25">
      <c r="A3" s="572" t="s">
        <v>101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Q3" s="76"/>
    </row>
    <row r="4" spans="1:25" s="28" customFormat="1" ht="1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Q4" s="28" t="e">
        <f>Q2/10</f>
        <v>#REF!</v>
      </c>
    </row>
    <row r="5" spans="1:25" s="28" customFormat="1" ht="15" x14ac:dyDescent="0.25">
      <c r="A5" s="46" t="s">
        <v>80</v>
      </c>
      <c r="B5" s="75" t="s">
        <v>81</v>
      </c>
      <c r="C5" s="47" t="s">
        <v>105</v>
      </c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25" s="32" customFormat="1" ht="15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25" s="32" customFormat="1" ht="25.5" x14ac:dyDescent="0.25">
      <c r="A7" s="36" t="s">
        <v>54</v>
      </c>
      <c r="B7" s="37" t="s">
        <v>55</v>
      </c>
      <c r="C7" s="38" t="s">
        <v>56</v>
      </c>
      <c r="D7" s="38" t="s">
        <v>57</v>
      </c>
      <c r="E7" s="38" t="s">
        <v>58</v>
      </c>
      <c r="F7" s="36" t="s">
        <v>59</v>
      </c>
      <c r="G7" s="38" t="s">
        <v>60</v>
      </c>
      <c r="H7" s="36" t="s">
        <v>61</v>
      </c>
      <c r="I7" s="576" t="s">
        <v>251</v>
      </c>
      <c r="J7" s="577"/>
      <c r="K7" s="578"/>
      <c r="L7" s="36" t="s">
        <v>62</v>
      </c>
      <c r="M7" s="36" t="s">
        <v>63</v>
      </c>
    </row>
    <row r="8" spans="1:25" s="33" customFormat="1" ht="33" customHeight="1" x14ac:dyDescent="0.25">
      <c r="A8" s="22" t="s">
        <v>21</v>
      </c>
      <c r="B8" s="19" t="s">
        <v>64</v>
      </c>
      <c r="C8" s="23" t="s">
        <v>65</v>
      </c>
      <c r="D8" s="22" t="s">
        <v>82</v>
      </c>
      <c r="E8" s="24" t="s">
        <v>83</v>
      </c>
      <c r="F8" s="25">
        <v>1</v>
      </c>
      <c r="G8" s="25">
        <v>30.95</v>
      </c>
      <c r="H8" s="18">
        <v>40</v>
      </c>
      <c r="I8" s="579">
        <v>22</v>
      </c>
      <c r="J8" s="580"/>
      <c r="K8" s="581"/>
      <c r="L8" s="26">
        <v>265.02999999999997</v>
      </c>
      <c r="M8" s="27">
        <f t="shared" ref="M8:M13" si="0">((G8*F8)/H8)*I8*L8</f>
        <v>4511.47</v>
      </c>
      <c r="O8" s="234"/>
      <c r="Q8" s="34"/>
    </row>
    <row r="9" spans="1:25" s="34" customFormat="1" ht="81" customHeight="1" x14ac:dyDescent="0.25">
      <c r="A9" s="22" t="s">
        <v>19</v>
      </c>
      <c r="B9" s="19">
        <v>5824</v>
      </c>
      <c r="C9" s="29" t="s">
        <v>66</v>
      </c>
      <c r="D9" s="22" t="s">
        <v>82</v>
      </c>
      <c r="E9" s="80" t="s">
        <v>83</v>
      </c>
      <c r="F9" s="25">
        <v>1</v>
      </c>
      <c r="G9" s="79">
        <v>30.95</v>
      </c>
      <c r="H9" s="18">
        <v>40</v>
      </c>
      <c r="I9" s="579">
        <v>2</v>
      </c>
      <c r="J9" s="580"/>
      <c r="K9" s="581"/>
      <c r="L9" s="26">
        <v>173.85</v>
      </c>
      <c r="M9" s="27">
        <f t="shared" si="0"/>
        <v>269.02999999999997</v>
      </c>
      <c r="N9" s="246"/>
      <c r="O9" s="245"/>
      <c r="P9" s="245"/>
      <c r="Q9" s="245"/>
      <c r="R9" s="34">
        <v>5</v>
      </c>
      <c r="S9" s="34">
        <v>0.4</v>
      </c>
      <c r="T9" s="34">
        <f>R9/S9</f>
        <v>12.5</v>
      </c>
      <c r="U9" s="34">
        <v>13</v>
      </c>
      <c r="V9" s="34">
        <f>U9/2</f>
        <v>6.5</v>
      </c>
      <c r="W9" s="34">
        <v>7</v>
      </c>
      <c r="X9" s="34">
        <v>1.6</v>
      </c>
      <c r="Y9" s="34">
        <f>W9*X9</f>
        <v>11.2</v>
      </c>
    </row>
    <row r="10" spans="1:25" s="35" customFormat="1" ht="63.75" x14ac:dyDescent="0.25">
      <c r="A10" s="30" t="s">
        <v>19</v>
      </c>
      <c r="B10" s="31">
        <v>5811</v>
      </c>
      <c r="C10" s="29" t="s">
        <v>67</v>
      </c>
      <c r="D10" s="80" t="s">
        <v>82</v>
      </c>
      <c r="E10" s="80" t="s">
        <v>83</v>
      </c>
      <c r="F10" s="25">
        <v>1</v>
      </c>
      <c r="G10" s="79">
        <v>30.95</v>
      </c>
      <c r="H10" s="18">
        <v>40</v>
      </c>
      <c r="I10" s="579">
        <v>10</v>
      </c>
      <c r="J10" s="580"/>
      <c r="K10" s="581"/>
      <c r="L10" s="26">
        <v>185.57</v>
      </c>
      <c r="M10" s="27">
        <f t="shared" si="0"/>
        <v>1435.85</v>
      </c>
      <c r="N10" s="235"/>
      <c r="O10" s="235"/>
      <c r="Q10" s="35">
        <f>7/0.4</f>
        <v>17.5</v>
      </c>
      <c r="R10" s="146"/>
    </row>
    <row r="11" spans="1:25" ht="69.75" customHeight="1" x14ac:dyDescent="0.2">
      <c r="A11" s="30" t="s">
        <v>19</v>
      </c>
      <c r="B11" s="31">
        <v>91386</v>
      </c>
      <c r="C11" s="29" t="s">
        <v>68</v>
      </c>
      <c r="D11" s="80" t="s">
        <v>82</v>
      </c>
      <c r="E11" s="80" t="s">
        <v>83</v>
      </c>
      <c r="F11" s="25">
        <v>1</v>
      </c>
      <c r="G11" s="79">
        <v>30.95</v>
      </c>
      <c r="H11" s="18">
        <v>40</v>
      </c>
      <c r="I11" s="579">
        <v>10</v>
      </c>
      <c r="J11" s="580"/>
      <c r="K11" s="581"/>
      <c r="L11" s="26">
        <v>232.71</v>
      </c>
      <c r="M11" s="27">
        <f t="shared" si="0"/>
        <v>1800.59</v>
      </c>
      <c r="N11" s="236"/>
      <c r="O11" s="236"/>
      <c r="P11" s="20">
        <f>4*0.4</f>
        <v>1.6</v>
      </c>
      <c r="Q11" s="20">
        <f>P11*9</f>
        <v>14.4</v>
      </c>
      <c r="U11" s="20">
        <v>0.23630000000000001</v>
      </c>
    </row>
    <row r="12" spans="1:25" ht="60.75" customHeight="1" x14ac:dyDescent="0.2">
      <c r="A12" s="30" t="s">
        <v>19</v>
      </c>
      <c r="B12" s="31">
        <v>5901</v>
      </c>
      <c r="C12" s="29" t="s">
        <v>69</v>
      </c>
      <c r="D12" s="80" t="s">
        <v>82</v>
      </c>
      <c r="E12" s="80" t="s">
        <v>83</v>
      </c>
      <c r="F12" s="25">
        <v>1</v>
      </c>
      <c r="G12" s="79">
        <v>30.95</v>
      </c>
      <c r="H12" s="18">
        <v>40</v>
      </c>
      <c r="I12" s="579">
        <v>4</v>
      </c>
      <c r="J12" s="580"/>
      <c r="K12" s="581"/>
      <c r="L12" s="26">
        <v>271.60000000000002</v>
      </c>
      <c r="M12" s="27">
        <f t="shared" si="0"/>
        <v>840.6</v>
      </c>
      <c r="N12" s="236"/>
      <c r="O12" s="236"/>
      <c r="U12" s="20">
        <v>0.28010000000000002</v>
      </c>
    </row>
    <row r="13" spans="1:25" ht="76.5" x14ac:dyDescent="0.2">
      <c r="A13" s="30" t="s">
        <v>19</v>
      </c>
      <c r="B13" s="31">
        <v>83362</v>
      </c>
      <c r="C13" s="29" t="s">
        <v>70</v>
      </c>
      <c r="D13" s="80" t="s">
        <v>82</v>
      </c>
      <c r="E13" s="80" t="s">
        <v>83</v>
      </c>
      <c r="F13" s="25">
        <v>1</v>
      </c>
      <c r="G13" s="79">
        <v>30.95</v>
      </c>
      <c r="H13" s="18">
        <v>40</v>
      </c>
      <c r="I13" s="579">
        <v>4</v>
      </c>
      <c r="J13" s="580"/>
      <c r="K13" s="581"/>
      <c r="L13" s="26">
        <v>267.7</v>
      </c>
      <c r="M13" s="27">
        <f t="shared" si="0"/>
        <v>828.53</v>
      </c>
      <c r="N13" s="236"/>
      <c r="U13" s="20">
        <v>1</v>
      </c>
    </row>
    <row r="14" spans="1:25" ht="15.75" x14ac:dyDescent="0.2">
      <c r="A14" s="573" t="s">
        <v>9</v>
      </c>
      <c r="B14" s="574"/>
      <c r="C14" s="574"/>
      <c r="D14" s="574"/>
      <c r="E14" s="574"/>
      <c r="F14" s="574"/>
      <c r="G14" s="574"/>
      <c r="H14" s="574"/>
      <c r="I14" s="574"/>
      <c r="J14" s="574"/>
      <c r="K14" s="574"/>
      <c r="L14" s="575"/>
      <c r="M14" s="50">
        <f>ROUND(SUM(M8:M13),2)</f>
        <v>9686.07</v>
      </c>
      <c r="U14" s="20">
        <v>1</v>
      </c>
    </row>
    <row r="15" spans="1:25" ht="1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U15" s="20">
        <f>SUM(U11:U14)</f>
        <v>2.5164</v>
      </c>
    </row>
    <row r="19" spans="8:13" x14ac:dyDescent="0.2">
      <c r="H19" s="20">
        <v>500</v>
      </c>
      <c r="M19" s="141">
        <v>94511.42</v>
      </c>
    </row>
    <row r="20" spans="8:13" x14ac:dyDescent="0.2">
      <c r="H20" s="20">
        <f>H19/12</f>
        <v>41.6666666666667</v>
      </c>
      <c r="M20" s="142">
        <f>M19-M14</f>
        <v>84825.35</v>
      </c>
    </row>
    <row r="21" spans="8:13" x14ac:dyDescent="0.2">
      <c r="H21" s="20">
        <f>H20*5</f>
        <v>208.333333333333</v>
      </c>
    </row>
    <row r="22" spans="8:13" x14ac:dyDescent="0.2">
      <c r="H22" s="20">
        <v>291.66666666666703</v>
      </c>
    </row>
    <row r="23" spans="8:13" x14ac:dyDescent="0.2">
      <c r="H23" s="20">
        <f>H22+H21</f>
        <v>500</v>
      </c>
    </row>
  </sheetData>
  <mergeCells count="10">
    <mergeCell ref="A3:M3"/>
    <mergeCell ref="A1:M1"/>
    <mergeCell ref="A14:L14"/>
    <mergeCell ref="I7:K7"/>
    <mergeCell ref="I8:K8"/>
    <mergeCell ref="I9:K9"/>
    <mergeCell ref="I10:K10"/>
    <mergeCell ref="I11:K11"/>
    <mergeCell ref="I12:K12"/>
    <mergeCell ref="I13:K13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O480"/>
  <sheetViews>
    <sheetView topLeftCell="A262" zoomScale="77" zoomScaleNormal="77" zoomScaleSheetLayoutView="91" workbookViewId="0">
      <selection activeCell="D274" sqref="D274"/>
    </sheetView>
  </sheetViews>
  <sheetFormatPr defaultColWidth="9.140625" defaultRowHeight="14.25" x14ac:dyDescent="0.2"/>
  <cols>
    <col min="1" max="1" width="23.5703125" style="66" customWidth="1"/>
    <col min="2" max="2" width="27.85546875" style="66" customWidth="1"/>
    <col min="3" max="3" width="26.28515625" style="66" customWidth="1"/>
    <col min="4" max="4" width="24.7109375" style="66" customWidth="1"/>
    <col min="5" max="5" width="25.85546875" style="162" customWidth="1"/>
    <col min="6" max="6" width="21.140625" style="66" customWidth="1"/>
    <col min="7" max="7" width="19.85546875" style="66" customWidth="1"/>
    <col min="8" max="8" width="13.140625" style="99" customWidth="1"/>
    <col min="9" max="9" width="9.42578125" style="66" customWidth="1"/>
    <col min="10" max="10" width="14.85546875" style="66" customWidth="1"/>
    <col min="11" max="11" width="14.28515625" style="66" customWidth="1"/>
    <col min="12" max="12" width="9.140625" style="20"/>
    <col min="13" max="14" width="9.7109375" style="20" bestFit="1" customWidth="1"/>
    <col min="15" max="15" width="14.7109375" style="20" bestFit="1" customWidth="1"/>
    <col min="16" max="16" width="9.140625" style="20"/>
    <col min="17" max="17" width="16.140625" style="20" bestFit="1" customWidth="1"/>
    <col min="18" max="16384" width="9.140625" style="20"/>
  </cols>
  <sheetData>
    <row r="6" spans="1:15" ht="33" customHeight="1" x14ac:dyDescent="0.2"/>
    <row r="7" spans="1:15" ht="30" customHeight="1" x14ac:dyDescent="0.25">
      <c r="A7" s="585" t="s">
        <v>487</v>
      </c>
      <c r="B7" s="585"/>
      <c r="C7" s="585"/>
      <c r="D7" s="585"/>
      <c r="E7" s="585"/>
      <c r="F7" s="585"/>
      <c r="G7" s="585"/>
      <c r="H7" s="585"/>
      <c r="I7" s="198"/>
      <c r="J7" s="392"/>
      <c r="K7" s="392"/>
      <c r="L7" s="42"/>
      <c r="M7" s="42"/>
      <c r="N7" s="42"/>
      <c r="O7" s="43"/>
    </row>
    <row r="8" spans="1:15" ht="13.9" customHeight="1" x14ac:dyDescent="0.2">
      <c r="A8" s="472"/>
      <c r="B8" s="472"/>
      <c r="C8" s="472"/>
      <c r="D8" s="472"/>
      <c r="E8" s="472"/>
      <c r="F8" s="472"/>
      <c r="G8" s="472"/>
      <c r="H8" s="472"/>
      <c r="I8" s="42"/>
      <c r="L8" s="42"/>
      <c r="M8" s="42"/>
      <c r="N8" s="42"/>
      <c r="O8" s="43"/>
    </row>
    <row r="9" spans="1:15" ht="13.9" customHeight="1" x14ac:dyDescent="0.2">
      <c r="A9" s="125">
        <v>4</v>
      </c>
      <c r="B9" s="582" t="s">
        <v>470</v>
      </c>
      <c r="C9" s="583"/>
      <c r="D9" s="583"/>
      <c r="E9" s="583"/>
      <c r="F9" s="583"/>
      <c r="G9" s="583"/>
      <c r="H9" s="584"/>
      <c r="I9" s="42"/>
      <c r="J9" s="42"/>
      <c r="K9" s="42"/>
      <c r="L9" s="42"/>
      <c r="M9" s="42"/>
      <c r="N9" s="42"/>
      <c r="O9" s="43"/>
    </row>
    <row r="10" spans="1:15" ht="36" customHeight="1" x14ac:dyDescent="0.2">
      <c r="A10" s="371" t="s">
        <v>40</v>
      </c>
      <c r="B10" s="588" t="str">
        <f>'Planilha Final'!D26</f>
        <v>Escavação mecanizada de vala com prof. até 1,50m (média montante e jusante/uma composição por trecho), escavadeira (0,8 m³), larg. de 1,5 m a 2,5 m, em solo de 1ª categoria, em locais locais com alto nível de interferência. AF_02/2021.</v>
      </c>
      <c r="C10" s="588"/>
      <c r="D10" s="588"/>
      <c r="E10" s="588"/>
      <c r="F10" s="588"/>
      <c r="G10" s="588"/>
      <c r="H10" s="588"/>
      <c r="I10" s="42"/>
      <c r="J10" s="42"/>
      <c r="K10" s="346"/>
      <c r="L10" s="42"/>
      <c r="M10" s="42"/>
      <c r="N10" s="42"/>
      <c r="O10" s="43"/>
    </row>
    <row r="11" spans="1:15" x14ac:dyDescent="0.2">
      <c r="A11" s="371"/>
      <c r="B11" s="411"/>
      <c r="C11" s="411"/>
      <c r="D11" s="411"/>
      <c r="E11" s="165"/>
      <c r="F11" s="411"/>
      <c r="G11" s="411"/>
      <c r="H11" s="165"/>
      <c r="I11" s="42"/>
      <c r="J11" s="42"/>
      <c r="K11" s="411"/>
      <c r="L11" s="42"/>
      <c r="M11" s="587"/>
      <c r="N11" s="587"/>
      <c r="O11" s="43"/>
    </row>
    <row r="12" spans="1:15" ht="25.5" x14ac:dyDescent="0.2">
      <c r="A12" s="158" t="s">
        <v>180</v>
      </c>
      <c r="B12" s="360" t="s">
        <v>116</v>
      </c>
      <c r="C12" s="362" t="s">
        <v>310</v>
      </c>
      <c r="D12" s="362" t="s">
        <v>115</v>
      </c>
      <c r="E12" s="339" t="s">
        <v>306</v>
      </c>
      <c r="F12" s="339" t="s">
        <v>307</v>
      </c>
      <c r="G12" s="339" t="s">
        <v>308</v>
      </c>
      <c r="H12" s="362" t="s">
        <v>118</v>
      </c>
      <c r="I12" s="42"/>
      <c r="J12" s="42"/>
      <c r="K12" s="42"/>
      <c r="L12" s="42"/>
      <c r="M12" s="43"/>
    </row>
    <row r="13" spans="1:15" x14ac:dyDescent="0.2">
      <c r="A13" s="158" t="s">
        <v>309</v>
      </c>
      <c r="B13" s="360">
        <v>66.010000000000005</v>
      </c>
      <c r="C13" s="362">
        <v>1.52</v>
      </c>
      <c r="D13" s="363" t="s">
        <v>315</v>
      </c>
      <c r="E13" s="369">
        <v>1.2</v>
      </c>
      <c r="F13" s="370">
        <v>1.47</v>
      </c>
      <c r="G13" s="370">
        <f>(E13+F13)/2</f>
        <v>1.34</v>
      </c>
      <c r="H13" s="337">
        <f>B13*C13*G13</f>
        <v>134.44999999999999</v>
      </c>
      <c r="J13" s="42"/>
      <c r="K13" s="42"/>
      <c r="L13" s="42"/>
      <c r="M13" s="43"/>
    </row>
    <row r="14" spans="1:15" ht="15" x14ac:dyDescent="0.25">
      <c r="A14" s="326" t="s">
        <v>33</v>
      </c>
      <c r="B14" s="340">
        <f>B13</f>
        <v>66</v>
      </c>
      <c r="C14" s="315">
        <f>C13/1</f>
        <v>1.52</v>
      </c>
      <c r="D14" s="316"/>
      <c r="E14" s="401"/>
      <c r="F14" s="341"/>
      <c r="G14" s="311"/>
      <c r="H14" s="312">
        <f>H13</f>
        <v>134.44999999999999</v>
      </c>
      <c r="J14" s="42"/>
      <c r="K14" s="42"/>
      <c r="L14" s="42"/>
      <c r="M14" s="43"/>
    </row>
    <row r="15" spans="1:15" x14ac:dyDescent="0.2">
      <c r="A15" s="371"/>
      <c r="B15" s="20"/>
      <c r="C15" s="20"/>
      <c r="D15" s="20"/>
      <c r="E15" s="20"/>
      <c r="F15" s="20"/>
      <c r="G15" s="20"/>
      <c r="H15" s="20"/>
      <c r="I15" s="328"/>
      <c r="J15" s="42"/>
      <c r="K15" s="42"/>
      <c r="L15" s="42"/>
      <c r="M15" s="43"/>
    </row>
    <row r="16" spans="1:15" x14ac:dyDescent="0.2">
      <c r="A16" s="381" t="s">
        <v>427</v>
      </c>
      <c r="B16" s="345">
        <f>H14</f>
        <v>134.44999999999999</v>
      </c>
      <c r="C16" s="381" t="s">
        <v>26</v>
      </c>
      <c r="E16" s="165"/>
      <c r="F16" s="411"/>
      <c r="G16" s="411"/>
      <c r="H16" s="165"/>
      <c r="I16" s="411"/>
      <c r="J16" s="411"/>
      <c r="K16" s="411"/>
      <c r="L16" s="42"/>
      <c r="M16" s="42"/>
      <c r="N16" s="42"/>
      <c r="O16" s="43"/>
    </row>
    <row r="17" spans="1:15" x14ac:dyDescent="0.2">
      <c r="A17" s="371"/>
      <c r="B17" s="165"/>
      <c r="C17" s="165"/>
      <c r="D17" s="165"/>
      <c r="E17" s="165"/>
      <c r="F17" s="165"/>
      <c r="G17" s="165"/>
      <c r="H17" s="165"/>
      <c r="I17" s="411"/>
      <c r="J17" s="411"/>
      <c r="K17" s="411"/>
      <c r="L17" s="42"/>
      <c r="M17" s="42"/>
      <c r="N17" s="42"/>
      <c r="O17" s="43"/>
    </row>
    <row r="18" spans="1:15" x14ac:dyDescent="0.2">
      <c r="A18" s="371"/>
      <c r="B18" s="165"/>
      <c r="C18" s="165"/>
      <c r="D18" s="165"/>
      <c r="E18" s="165"/>
      <c r="F18" s="165"/>
      <c r="G18" s="165"/>
      <c r="H18" s="165"/>
      <c r="I18" s="411"/>
      <c r="J18" s="411"/>
      <c r="K18" s="411"/>
      <c r="L18" s="42"/>
      <c r="M18" s="42"/>
      <c r="N18" s="42"/>
      <c r="O18" s="43"/>
    </row>
    <row r="19" spans="1:15" x14ac:dyDescent="0.2">
      <c r="A19" s="158" t="s">
        <v>180</v>
      </c>
      <c r="B19" s="360" t="s">
        <v>116</v>
      </c>
      <c r="C19" s="333" t="s">
        <v>53</v>
      </c>
      <c r="D19" s="360" t="s">
        <v>117</v>
      </c>
      <c r="E19" s="158" t="s">
        <v>115</v>
      </c>
      <c r="F19" s="333" t="s">
        <v>118</v>
      </c>
      <c r="H19" s="165"/>
      <c r="I19" s="411"/>
      <c r="J19" s="411"/>
      <c r="K19" s="411"/>
      <c r="L19" s="42"/>
      <c r="M19" s="42"/>
      <c r="N19" s="42"/>
      <c r="O19" s="43"/>
    </row>
    <row r="20" spans="1:15" x14ac:dyDescent="0.2">
      <c r="A20" s="158">
        <v>400</v>
      </c>
      <c r="B20" s="161">
        <f>40*6</f>
        <v>240</v>
      </c>
      <c r="C20" s="161">
        <f>0.48+0.2+0.2</f>
        <v>0.88</v>
      </c>
      <c r="D20" s="161">
        <v>1.2</v>
      </c>
      <c r="E20" s="363" t="s">
        <v>315</v>
      </c>
      <c r="F20" s="336">
        <f>B20*C20*D20</f>
        <v>253.44</v>
      </c>
      <c r="H20" s="165"/>
      <c r="I20" s="411"/>
      <c r="J20" s="411"/>
      <c r="K20" s="411"/>
      <c r="L20" s="42"/>
      <c r="M20" s="42"/>
      <c r="N20" s="42"/>
      <c r="O20" s="43"/>
    </row>
    <row r="21" spans="1:15" x14ac:dyDescent="0.2">
      <c r="A21" s="335"/>
      <c r="B21" s="335"/>
      <c r="C21" s="334"/>
      <c r="D21" s="165"/>
      <c r="E21" s="165"/>
      <c r="F21" s="165"/>
      <c r="H21" s="165"/>
      <c r="I21" s="411"/>
      <c r="J21" s="411"/>
      <c r="K21" s="411"/>
      <c r="L21" s="42"/>
      <c r="M21" s="42"/>
      <c r="N21" s="42"/>
      <c r="O21" s="43"/>
    </row>
    <row r="22" spans="1:15" x14ac:dyDescent="0.2">
      <c r="A22" s="342" t="s">
        <v>428</v>
      </c>
      <c r="B22" s="343">
        <f>F20</f>
        <v>253.44</v>
      </c>
      <c r="C22" s="344" t="s">
        <v>26</v>
      </c>
      <c r="D22" s="165"/>
      <c r="E22" s="165"/>
      <c r="F22" s="165"/>
      <c r="H22" s="165"/>
      <c r="I22" s="411"/>
      <c r="J22" s="411"/>
      <c r="K22" s="411"/>
      <c r="L22" s="42"/>
      <c r="M22" s="42"/>
      <c r="N22" s="42"/>
      <c r="O22" s="43"/>
    </row>
    <row r="23" spans="1:15" x14ac:dyDescent="0.2">
      <c r="A23" s="165"/>
      <c r="B23" s="165"/>
      <c r="C23" s="165"/>
      <c r="D23" s="165"/>
      <c r="E23" s="165" t="s">
        <v>483</v>
      </c>
      <c r="F23" s="165"/>
      <c r="H23" s="165"/>
      <c r="I23" s="411"/>
      <c r="J23" s="411"/>
      <c r="K23" s="411"/>
      <c r="L23" s="42"/>
      <c r="M23" s="42"/>
      <c r="N23" s="42"/>
      <c r="O23" s="43"/>
    </row>
    <row r="24" spans="1:15" x14ac:dyDescent="0.2">
      <c r="A24" s="342" t="s">
        <v>429</v>
      </c>
      <c r="B24" s="343">
        <f>B16+B22</f>
        <v>387.89</v>
      </c>
      <c r="C24" s="344" t="s">
        <v>26</v>
      </c>
      <c r="D24" s="165"/>
      <c r="E24" s="165"/>
      <c r="F24" s="165"/>
      <c r="H24" s="165"/>
      <c r="I24" s="411"/>
      <c r="J24" s="411"/>
      <c r="K24" s="411"/>
      <c r="L24" s="42"/>
      <c r="M24" s="42"/>
      <c r="N24" s="42"/>
      <c r="O24" s="43"/>
    </row>
    <row r="25" spans="1:15" x14ac:dyDescent="0.2">
      <c r="A25" s="371"/>
      <c r="B25" s="347"/>
      <c r="C25" s="348"/>
      <c r="D25" s="347"/>
      <c r="E25" s="349"/>
      <c r="F25" s="349"/>
      <c r="G25" s="349"/>
      <c r="H25" s="349"/>
      <c r="I25" s="411"/>
      <c r="J25" s="411"/>
      <c r="K25" s="411"/>
      <c r="L25" s="42"/>
      <c r="M25" s="42"/>
      <c r="N25" s="42"/>
      <c r="O25" s="43"/>
    </row>
    <row r="26" spans="1:15" ht="37.5" customHeight="1" x14ac:dyDescent="0.2">
      <c r="A26" s="371" t="s">
        <v>41</v>
      </c>
      <c r="B26" s="586" t="str">
        <f>'Planilha Final'!D27</f>
        <v>Escavação mecanizada de vala com profundidade maior que 1,5m até 3,0 m (média entremontante e jusante/uma composição por trecho) com retro escavadeira (capacidade da caçamba da retro: 0,26m³/potência:88HP), largura menor que 0,8m, em solo de 1º categoria, locais com baixo nível de interferência. AF_02/2021.</v>
      </c>
      <c r="C26" s="586"/>
      <c r="D26" s="586"/>
      <c r="E26" s="586"/>
      <c r="F26" s="586"/>
      <c r="G26" s="586"/>
      <c r="H26" s="586"/>
      <c r="I26" s="346"/>
      <c r="J26" s="346"/>
      <c r="K26" s="346"/>
      <c r="L26" s="42"/>
      <c r="M26" s="42"/>
      <c r="N26" s="42"/>
      <c r="O26" s="43"/>
    </row>
    <row r="27" spans="1:15" ht="33.75" customHeight="1" x14ac:dyDescent="0.2">
      <c r="A27" s="371"/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2"/>
      <c r="M27" s="42"/>
      <c r="N27" s="42"/>
      <c r="O27" s="43"/>
    </row>
    <row r="28" spans="1:15" ht="28.5" customHeight="1" x14ac:dyDescent="0.2">
      <c r="A28" s="326" t="s">
        <v>180</v>
      </c>
      <c r="B28" s="402" t="s">
        <v>116</v>
      </c>
      <c r="C28" s="327" t="s">
        <v>310</v>
      </c>
      <c r="D28" s="329" t="s">
        <v>115</v>
      </c>
      <c r="E28" s="403" t="s">
        <v>306</v>
      </c>
      <c r="F28" s="403" t="s">
        <v>307</v>
      </c>
      <c r="G28" s="403" t="s">
        <v>308</v>
      </c>
      <c r="H28" s="329" t="s">
        <v>118</v>
      </c>
      <c r="J28" s="411"/>
      <c r="K28" s="411"/>
      <c r="L28" s="42"/>
      <c r="M28" s="42"/>
      <c r="N28" s="42"/>
      <c r="O28" s="43"/>
    </row>
    <row r="29" spans="1:15" ht="23.25" customHeight="1" x14ac:dyDescent="0.2">
      <c r="A29" s="158" t="s">
        <v>311</v>
      </c>
      <c r="B29" s="360">
        <v>66.010000000000005</v>
      </c>
      <c r="C29" s="362">
        <v>1.52</v>
      </c>
      <c r="D29" s="363" t="s">
        <v>315</v>
      </c>
      <c r="E29" s="370">
        <v>1.47</v>
      </c>
      <c r="F29" s="370">
        <v>1.73</v>
      </c>
      <c r="G29" s="370">
        <f>(E29+F29)/2</f>
        <v>1.6</v>
      </c>
      <c r="H29" s="338">
        <f>B29*C29*G29</f>
        <v>160.54</v>
      </c>
      <c r="J29" s="411"/>
      <c r="K29" s="411"/>
      <c r="L29" s="42"/>
      <c r="M29" s="42"/>
      <c r="N29" s="42"/>
      <c r="O29" s="43"/>
    </row>
    <row r="30" spans="1:15" ht="24.75" customHeight="1" x14ac:dyDescent="0.2">
      <c r="A30" s="158" t="s">
        <v>312</v>
      </c>
      <c r="B30" s="360">
        <v>66.010000000000005</v>
      </c>
      <c r="C30" s="362">
        <v>1.52</v>
      </c>
      <c r="D30" s="363" t="s">
        <v>315</v>
      </c>
      <c r="E30" s="370">
        <v>1.73</v>
      </c>
      <c r="F30" s="370">
        <v>2</v>
      </c>
      <c r="G30" s="370">
        <f t="shared" ref="G30:G36" si="0">(E30+F30)/2</f>
        <v>1.87</v>
      </c>
      <c r="H30" s="338">
        <f t="shared" ref="H30:H36" si="1">B30*C30*G30</f>
        <v>187.63</v>
      </c>
      <c r="J30" s="411"/>
      <c r="K30" s="189"/>
      <c r="L30" s="42"/>
      <c r="M30" s="42"/>
      <c r="N30" s="42"/>
      <c r="O30" s="43"/>
    </row>
    <row r="31" spans="1:15" ht="27" customHeight="1" x14ac:dyDescent="0.2">
      <c r="A31" s="158" t="s">
        <v>313</v>
      </c>
      <c r="B31" s="360">
        <v>89.81</v>
      </c>
      <c r="C31" s="362">
        <v>1.52</v>
      </c>
      <c r="D31" s="363" t="s">
        <v>315</v>
      </c>
      <c r="E31" s="370">
        <v>2</v>
      </c>
      <c r="F31" s="370">
        <v>2.2999999999999998</v>
      </c>
      <c r="G31" s="370">
        <f t="shared" si="0"/>
        <v>2.15</v>
      </c>
      <c r="H31" s="338">
        <f t="shared" si="1"/>
        <v>293.5</v>
      </c>
      <c r="J31" s="411"/>
      <c r="K31" s="411"/>
      <c r="L31" s="42"/>
      <c r="M31" s="42"/>
      <c r="N31" s="42"/>
      <c r="O31" s="43"/>
    </row>
    <row r="32" spans="1:15" ht="27.75" customHeight="1" x14ac:dyDescent="0.2">
      <c r="A32" s="158" t="s">
        <v>314</v>
      </c>
      <c r="B32" s="360">
        <v>35.26</v>
      </c>
      <c r="C32" s="362">
        <v>1.52</v>
      </c>
      <c r="D32" s="363" t="s">
        <v>315</v>
      </c>
      <c r="E32" s="370">
        <v>2.35</v>
      </c>
      <c r="F32" s="370">
        <v>2.4500000000000002</v>
      </c>
      <c r="G32" s="370">
        <f t="shared" si="0"/>
        <v>2.4</v>
      </c>
      <c r="H32" s="338">
        <f t="shared" si="1"/>
        <v>128.63</v>
      </c>
      <c r="J32" s="411"/>
      <c r="K32" s="411"/>
      <c r="L32" s="42"/>
      <c r="M32" s="42"/>
      <c r="N32" s="42"/>
      <c r="O32" s="43"/>
    </row>
    <row r="33" spans="1:15" ht="27.75" customHeight="1" x14ac:dyDescent="0.25">
      <c r="A33" s="310" t="s">
        <v>33</v>
      </c>
      <c r="B33" s="313">
        <f>SUM(B29:B32)</f>
        <v>257.10000000000002</v>
      </c>
      <c r="C33" s="418">
        <f>(C29+C30+C31+C32)/4</f>
        <v>1.52</v>
      </c>
      <c r="D33" s="316"/>
      <c r="E33" s="308"/>
      <c r="F33" s="307"/>
      <c r="G33" s="311"/>
      <c r="H33" s="332">
        <f>H29+H30+H31+H32</f>
        <v>770.3</v>
      </c>
      <c r="J33" s="478"/>
      <c r="K33" s="478"/>
      <c r="L33" s="42"/>
      <c r="M33" s="42"/>
      <c r="N33" s="42"/>
      <c r="O33" s="43"/>
    </row>
    <row r="34" spans="1:15" ht="27.75" customHeight="1" x14ac:dyDescent="0.2">
      <c r="A34" s="589"/>
      <c r="B34" s="590"/>
      <c r="C34" s="590"/>
      <c r="D34" s="590"/>
      <c r="E34" s="590"/>
      <c r="F34" s="590"/>
      <c r="G34" s="590"/>
      <c r="H34" s="591"/>
      <c r="J34" s="478"/>
      <c r="K34" s="478"/>
      <c r="L34" s="42"/>
      <c r="M34" s="42"/>
      <c r="N34" s="42"/>
      <c r="O34" s="43"/>
    </row>
    <row r="35" spans="1:15" ht="27.75" customHeight="1" x14ac:dyDescent="0.2">
      <c r="A35" s="326" t="s">
        <v>180</v>
      </c>
      <c r="B35" s="402" t="s">
        <v>116</v>
      </c>
      <c r="C35" s="327" t="s">
        <v>310</v>
      </c>
      <c r="D35" s="329" t="s">
        <v>115</v>
      </c>
      <c r="E35" s="403" t="s">
        <v>306</v>
      </c>
      <c r="F35" s="403" t="s">
        <v>307</v>
      </c>
      <c r="G35" s="403" t="s">
        <v>308</v>
      </c>
      <c r="H35" s="329" t="s">
        <v>118</v>
      </c>
      <c r="J35" s="478"/>
      <c r="K35" s="478"/>
      <c r="L35" s="42"/>
      <c r="M35" s="42"/>
      <c r="N35" s="42"/>
      <c r="O35" s="43"/>
    </row>
    <row r="36" spans="1:15" ht="27" customHeight="1" x14ac:dyDescent="0.2">
      <c r="A36" s="158" t="s">
        <v>433</v>
      </c>
      <c r="B36" s="360">
        <v>59.58</v>
      </c>
      <c r="C36" s="362">
        <f>0.96+0.4+0.4</f>
        <v>1.76</v>
      </c>
      <c r="D36" s="363" t="s">
        <v>315</v>
      </c>
      <c r="E36" s="370">
        <v>2.4500000000000002</v>
      </c>
      <c r="F36" s="370">
        <v>2.77</v>
      </c>
      <c r="G36" s="370">
        <f t="shared" si="0"/>
        <v>2.61</v>
      </c>
      <c r="H36" s="338">
        <f t="shared" si="1"/>
        <v>273.69</v>
      </c>
      <c r="J36" s="411"/>
      <c r="K36" s="411"/>
      <c r="L36" s="42"/>
      <c r="M36" s="42"/>
      <c r="N36" s="42"/>
      <c r="O36" s="43"/>
    </row>
    <row r="37" spans="1:15" ht="27" customHeight="1" x14ac:dyDescent="0.2">
      <c r="A37" s="158" t="s">
        <v>490</v>
      </c>
      <c r="B37" s="360">
        <v>64.47</v>
      </c>
      <c r="C37" s="362">
        <f>0.96+0.4+0.4</f>
        <v>1.76</v>
      </c>
      <c r="D37" s="363" t="s">
        <v>315</v>
      </c>
      <c r="E37" s="370">
        <v>2.77</v>
      </c>
      <c r="F37" s="370">
        <v>3.1</v>
      </c>
      <c r="G37" s="370">
        <f t="shared" ref="G37" si="2">(E37+F37)/2</f>
        <v>2.94</v>
      </c>
      <c r="H37" s="338">
        <f t="shared" ref="H37" si="3">B37*C37*G37</f>
        <v>333.59</v>
      </c>
      <c r="J37" s="478"/>
      <c r="K37" s="478"/>
      <c r="L37" s="42"/>
      <c r="M37" s="42"/>
      <c r="N37" s="42"/>
      <c r="O37" s="43"/>
    </row>
    <row r="38" spans="1:15" ht="27" customHeight="1" x14ac:dyDescent="0.25">
      <c r="A38" s="310" t="s">
        <v>33</v>
      </c>
      <c r="B38" s="481">
        <f>SUM(B36:B37)</f>
        <v>124.05</v>
      </c>
      <c r="C38" s="418">
        <f>(C36+C37)/2</f>
        <v>1.76</v>
      </c>
      <c r="D38" s="316"/>
      <c r="E38" s="308"/>
      <c r="F38" s="307"/>
      <c r="G38" s="311"/>
      <c r="H38" s="332">
        <f>SUM(H36:H37)</f>
        <v>607.28</v>
      </c>
      <c r="J38" s="478"/>
      <c r="K38" s="478"/>
      <c r="L38" s="42"/>
      <c r="M38" s="42"/>
      <c r="N38" s="42"/>
      <c r="O38" s="43"/>
    </row>
    <row r="39" spans="1:15" ht="27" customHeight="1" x14ac:dyDescent="0.2">
      <c r="A39" s="589"/>
      <c r="B39" s="590"/>
      <c r="C39" s="590"/>
      <c r="D39" s="590"/>
      <c r="E39" s="590"/>
      <c r="F39" s="590"/>
      <c r="G39" s="590"/>
      <c r="H39" s="591"/>
      <c r="J39" s="478"/>
      <c r="K39" s="478"/>
      <c r="L39" s="42"/>
      <c r="M39" s="42"/>
      <c r="N39" s="42"/>
      <c r="O39" s="43"/>
    </row>
    <row r="40" spans="1:15" ht="27" customHeight="1" x14ac:dyDescent="0.2">
      <c r="A40" s="326" t="s">
        <v>180</v>
      </c>
      <c r="B40" s="402" t="s">
        <v>116</v>
      </c>
      <c r="C40" s="327" t="s">
        <v>310</v>
      </c>
      <c r="D40" s="329" t="s">
        <v>115</v>
      </c>
      <c r="E40" s="403" t="s">
        <v>306</v>
      </c>
      <c r="F40" s="403" t="s">
        <v>307</v>
      </c>
      <c r="G40" s="403" t="s">
        <v>308</v>
      </c>
      <c r="H40" s="329" t="s">
        <v>118</v>
      </c>
      <c r="J40" s="478"/>
      <c r="K40" s="478"/>
      <c r="L40" s="42"/>
      <c r="M40" s="42"/>
      <c r="N40" s="42"/>
      <c r="O40" s="43"/>
    </row>
    <row r="41" spans="1:15" ht="27" customHeight="1" x14ac:dyDescent="0.2">
      <c r="A41" s="158" t="s">
        <v>489</v>
      </c>
      <c r="B41" s="360">
        <v>74.13</v>
      </c>
      <c r="C41" s="362">
        <f>1.43+0.4+0.4</f>
        <v>2.23</v>
      </c>
      <c r="D41" s="363" t="s">
        <v>315</v>
      </c>
      <c r="E41" s="370">
        <v>3.35</v>
      </c>
      <c r="F41" s="370">
        <v>2.1</v>
      </c>
      <c r="G41" s="370">
        <f t="shared" ref="G41" si="4">(E41+F41)/2</f>
        <v>2.73</v>
      </c>
      <c r="H41" s="338">
        <f t="shared" ref="H41" si="5">B41*C41*G41</f>
        <v>451.3</v>
      </c>
      <c r="J41" s="478"/>
      <c r="K41" s="478"/>
      <c r="L41" s="42"/>
      <c r="M41" s="42"/>
      <c r="N41" s="42"/>
      <c r="O41" s="43"/>
    </row>
    <row r="42" spans="1:15" ht="27" customHeight="1" x14ac:dyDescent="0.2">
      <c r="A42" s="158" t="s">
        <v>488</v>
      </c>
      <c r="B42" s="360">
        <v>74.03</v>
      </c>
      <c r="C42" s="362">
        <f>1.43+0.4+0.4</f>
        <v>2.23</v>
      </c>
      <c r="D42" s="363" t="s">
        <v>315</v>
      </c>
      <c r="E42" s="370">
        <v>2.1</v>
      </c>
      <c r="F42" s="370">
        <v>2.48</v>
      </c>
      <c r="G42" s="370">
        <f t="shared" ref="G42" si="6">(E42+F42)/2</f>
        <v>2.29</v>
      </c>
      <c r="H42" s="338">
        <f t="shared" ref="H42" si="7">B42*C42*G42</f>
        <v>378.05</v>
      </c>
      <c r="J42" s="478"/>
      <c r="K42" s="478"/>
      <c r="L42" s="42"/>
      <c r="M42" s="42"/>
      <c r="N42" s="42"/>
      <c r="O42" s="43"/>
    </row>
    <row r="43" spans="1:15" ht="27" customHeight="1" x14ac:dyDescent="0.2">
      <c r="A43" s="158" t="s">
        <v>491</v>
      </c>
      <c r="B43" s="360">
        <v>74.03</v>
      </c>
      <c r="C43" s="362">
        <f>1.43+0.4+0.4</f>
        <v>2.23</v>
      </c>
      <c r="D43" s="363" t="s">
        <v>315</v>
      </c>
      <c r="E43" s="370">
        <v>2.48</v>
      </c>
      <c r="F43" s="370">
        <v>2.85</v>
      </c>
      <c r="G43" s="370">
        <f t="shared" ref="G43" si="8">(E43+F43)/2</f>
        <v>2.67</v>
      </c>
      <c r="H43" s="338">
        <f t="shared" ref="H43" si="9">B43*C43*G43</f>
        <v>440.78</v>
      </c>
      <c r="J43" s="478"/>
      <c r="K43" s="478"/>
      <c r="L43" s="42"/>
      <c r="M43" s="42"/>
      <c r="N43" s="42"/>
      <c r="O43" s="43"/>
    </row>
    <row r="44" spans="1:15" ht="27" customHeight="1" x14ac:dyDescent="0.2">
      <c r="A44" s="158" t="s">
        <v>492</v>
      </c>
      <c r="B44" s="360">
        <v>100</v>
      </c>
      <c r="C44" s="362">
        <f>1.43+0.4+0.4</f>
        <v>2.23</v>
      </c>
      <c r="D44" s="363" t="s">
        <v>315</v>
      </c>
      <c r="E44" s="370">
        <v>3.34</v>
      </c>
      <c r="F44" s="370">
        <v>1.49</v>
      </c>
      <c r="G44" s="370">
        <f t="shared" ref="G44" si="10">(E44+F44)/2</f>
        <v>2.42</v>
      </c>
      <c r="H44" s="338">
        <f t="shared" ref="H44" si="11">B44*C44*G44</f>
        <v>539.66</v>
      </c>
      <c r="J44" s="478"/>
      <c r="K44" s="478"/>
      <c r="L44" s="42"/>
      <c r="M44" s="42"/>
      <c r="N44" s="42"/>
      <c r="O44" s="43"/>
    </row>
    <row r="45" spans="1:15" ht="24.75" customHeight="1" x14ac:dyDescent="0.25">
      <c r="A45" s="310" t="s">
        <v>33</v>
      </c>
      <c r="B45" s="313">
        <f>SUM(B41:B44)</f>
        <v>322.2</v>
      </c>
      <c r="C45" s="418">
        <f>(C41+C42+C43+C44)/4</f>
        <v>2.23</v>
      </c>
      <c r="D45" s="316"/>
      <c r="E45" s="308"/>
      <c r="F45" s="307"/>
      <c r="G45" s="311"/>
      <c r="H45" s="332">
        <f>SUM(H41:H44)</f>
        <v>1809.79</v>
      </c>
      <c r="J45" s="328"/>
      <c r="K45" s="411"/>
      <c r="L45" s="42"/>
      <c r="M45" s="42"/>
      <c r="N45" s="42"/>
      <c r="O45" s="43"/>
    </row>
    <row r="46" spans="1:15" ht="24.75" customHeight="1" x14ac:dyDescent="0.2">
      <c r="A46" s="478"/>
      <c r="B46" s="478"/>
      <c r="C46" s="478"/>
      <c r="D46" s="478"/>
      <c r="E46" s="478"/>
      <c r="F46" s="478"/>
      <c r="G46" s="478"/>
      <c r="H46" s="478"/>
      <c r="I46" s="478"/>
      <c r="J46" s="328"/>
      <c r="K46" s="478"/>
      <c r="L46" s="42"/>
      <c r="M46" s="42"/>
      <c r="N46" s="42"/>
      <c r="O46" s="43"/>
    </row>
    <row r="47" spans="1:15" ht="14.25" customHeight="1" x14ac:dyDescent="0.2">
      <c r="A47" s="411"/>
      <c r="B47" s="411"/>
      <c r="C47" s="411"/>
      <c r="D47" s="165"/>
      <c r="E47" s="411"/>
      <c r="F47" s="411"/>
      <c r="G47" s="165"/>
      <c r="H47" s="411"/>
      <c r="J47" s="411"/>
      <c r="K47" s="411"/>
      <c r="L47" s="42"/>
      <c r="M47" s="42"/>
      <c r="N47" s="42"/>
      <c r="O47" s="43"/>
    </row>
    <row r="48" spans="1:15" ht="14.25" customHeight="1" x14ac:dyDescent="0.2">
      <c r="A48" s="342" t="s">
        <v>96</v>
      </c>
      <c r="B48" s="343">
        <f>H33+H38+H45</f>
        <v>3187.37</v>
      </c>
      <c r="C48" s="344" t="s">
        <v>26</v>
      </c>
      <c r="D48" s="165"/>
      <c r="E48" s="411"/>
      <c r="F48" s="411"/>
      <c r="G48" s="165"/>
      <c r="H48" s="411"/>
      <c r="J48" s="411"/>
      <c r="K48" s="411"/>
      <c r="L48" s="42"/>
      <c r="M48" s="42"/>
      <c r="N48" s="42"/>
      <c r="O48" s="43"/>
    </row>
    <row r="49" spans="1:15" ht="14.25" customHeight="1" x14ac:dyDescent="0.2">
      <c r="A49" s="371"/>
      <c r="B49" s="411"/>
      <c r="C49" s="411"/>
      <c r="D49" s="411"/>
      <c r="E49" s="165"/>
      <c r="F49" s="411"/>
      <c r="G49" s="411"/>
      <c r="H49" s="165"/>
      <c r="I49" s="411"/>
      <c r="J49" s="411"/>
      <c r="K49" s="411"/>
      <c r="L49" s="42"/>
      <c r="M49" s="42"/>
      <c r="N49" s="42"/>
      <c r="O49" s="43"/>
    </row>
    <row r="50" spans="1:15" ht="14.25" customHeight="1" x14ac:dyDescent="0.2">
      <c r="A50" s="371"/>
      <c r="B50" s="411"/>
      <c r="C50" s="411"/>
      <c r="D50" s="411"/>
      <c r="E50" s="165"/>
      <c r="F50" s="411"/>
      <c r="G50" s="411"/>
      <c r="H50" s="165"/>
      <c r="I50" s="411"/>
      <c r="J50" s="411"/>
      <c r="K50" s="411"/>
      <c r="L50" s="42"/>
      <c r="M50" s="42"/>
      <c r="N50" s="42"/>
      <c r="O50" s="43"/>
    </row>
    <row r="51" spans="1:15" ht="43.5" customHeight="1" x14ac:dyDescent="0.2">
      <c r="A51" s="371" t="s">
        <v>42</v>
      </c>
      <c r="B51" s="586" t="str">
        <f>'Planilha Final'!D28</f>
        <v>Escavação mecanizada de vala com profundidade 3,0 m até 4,50m (média entremontante e jusante/uma composição por trecho) escavadeira (1,2 m3), larg. de
 1,5 m a 2,5 m, em solo de 1ª categoria, em locais com alto nível de interferência. AF_02/2021</v>
      </c>
      <c r="C51" s="586"/>
      <c r="D51" s="586"/>
      <c r="E51" s="586"/>
      <c r="F51" s="586"/>
      <c r="G51" s="586"/>
      <c r="H51" s="586"/>
      <c r="I51" s="346"/>
      <c r="J51" s="346"/>
      <c r="K51" s="346"/>
      <c r="L51" s="42"/>
      <c r="M51" s="42"/>
      <c r="N51" s="42"/>
      <c r="O51" s="174"/>
    </row>
    <row r="52" spans="1:15" ht="14.25" customHeight="1" x14ac:dyDescent="0.2">
      <c r="A52" s="371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2"/>
      <c r="M52" s="42"/>
      <c r="N52" s="42"/>
      <c r="O52" s="174"/>
    </row>
    <row r="53" spans="1:15" ht="25.5" x14ac:dyDescent="0.2">
      <c r="A53" s="158" t="s">
        <v>180</v>
      </c>
      <c r="B53" s="159" t="s">
        <v>116</v>
      </c>
      <c r="C53" s="362" t="s">
        <v>310</v>
      </c>
      <c r="D53" s="362" t="s">
        <v>115</v>
      </c>
      <c r="E53" s="305" t="s">
        <v>306</v>
      </c>
      <c r="F53" s="305" t="s">
        <v>307</v>
      </c>
      <c r="G53" s="305" t="s">
        <v>308</v>
      </c>
      <c r="H53" s="362" t="s">
        <v>118</v>
      </c>
      <c r="J53" s="411"/>
      <c r="K53" s="411"/>
      <c r="L53" s="42"/>
      <c r="M53" s="42"/>
      <c r="N53" s="42"/>
      <c r="O53" s="174"/>
    </row>
    <row r="54" spans="1:15" x14ac:dyDescent="0.2">
      <c r="A54" s="158" t="s">
        <v>493</v>
      </c>
      <c r="B54" s="159">
        <v>53.08</v>
      </c>
      <c r="C54" s="362">
        <v>1.76</v>
      </c>
      <c r="D54" s="317" t="s">
        <v>315</v>
      </c>
      <c r="E54" s="306">
        <v>3.1</v>
      </c>
      <c r="F54" s="306">
        <v>3.1</v>
      </c>
      <c r="G54" s="175">
        <f>(E54+F54)/2</f>
        <v>3.1</v>
      </c>
      <c r="H54" s="421">
        <f>B54*C54*G54</f>
        <v>289.60000000000002</v>
      </c>
      <c r="J54" s="411"/>
      <c r="K54" s="411"/>
      <c r="L54" s="42"/>
      <c r="M54" s="42"/>
      <c r="N54" s="42"/>
      <c r="O54" s="174"/>
    </row>
    <row r="55" spans="1:15" x14ac:dyDescent="0.2">
      <c r="A55" s="158" t="s">
        <v>502</v>
      </c>
      <c r="B55" s="159">
        <v>74.12</v>
      </c>
      <c r="C55" s="362">
        <v>2.23</v>
      </c>
      <c r="D55" s="317" t="s">
        <v>315</v>
      </c>
      <c r="E55" s="306">
        <v>3.1</v>
      </c>
      <c r="F55" s="306">
        <v>3.35</v>
      </c>
      <c r="G55" s="175">
        <f>(E55+F55)/2</f>
        <v>3.23</v>
      </c>
      <c r="H55" s="421">
        <f>B55*C55*G55</f>
        <v>533.88</v>
      </c>
      <c r="J55" s="478"/>
      <c r="K55" s="478"/>
      <c r="L55" s="42"/>
      <c r="M55" s="42"/>
      <c r="N55" s="42"/>
      <c r="O55" s="174"/>
    </row>
    <row r="56" spans="1:15" ht="15" x14ac:dyDescent="0.25">
      <c r="A56" s="310" t="s">
        <v>33</v>
      </c>
      <c r="B56" s="313">
        <f>SUM(B54:B55)</f>
        <v>127.2</v>
      </c>
      <c r="C56" s="315"/>
      <c r="D56" s="325"/>
      <c r="E56" s="307"/>
      <c r="F56" s="311"/>
      <c r="G56" s="312">
        <f>(G54+G55)/2</f>
        <v>3.17</v>
      </c>
      <c r="H56" s="312">
        <f>H54+H55</f>
        <v>823.48</v>
      </c>
      <c r="J56" s="411"/>
      <c r="K56" s="411"/>
      <c r="L56" s="42"/>
      <c r="M56" s="42"/>
      <c r="N56" s="42"/>
      <c r="O56" s="174"/>
    </row>
    <row r="57" spans="1:15" ht="15" x14ac:dyDescent="0.25">
      <c r="A57" s="371"/>
      <c r="B57" s="318"/>
      <c r="C57" s="319"/>
      <c r="D57" s="320"/>
      <c r="E57" s="321"/>
      <c r="F57" s="322"/>
      <c r="G57" s="323"/>
      <c r="H57" s="324"/>
      <c r="I57" s="324"/>
      <c r="J57" s="411"/>
      <c r="K57" s="411"/>
      <c r="L57" s="42"/>
      <c r="M57" s="42"/>
      <c r="N57" s="42"/>
      <c r="O57" s="174"/>
    </row>
    <row r="58" spans="1:15" ht="15" x14ac:dyDescent="0.25">
      <c r="A58" s="371"/>
      <c r="B58" s="318"/>
      <c r="C58" s="319"/>
      <c r="D58" s="320"/>
      <c r="E58" s="321"/>
      <c r="F58" s="322"/>
      <c r="G58" s="323"/>
      <c r="H58" s="324"/>
      <c r="I58" s="324"/>
      <c r="J58" s="411"/>
      <c r="K58" s="411"/>
      <c r="L58" s="42"/>
      <c r="M58" s="42"/>
      <c r="N58" s="42"/>
      <c r="O58" s="174"/>
    </row>
    <row r="59" spans="1:15" x14ac:dyDescent="0.2">
      <c r="A59" s="342" t="s">
        <v>96</v>
      </c>
      <c r="B59" s="343">
        <f>H56</f>
        <v>823.48</v>
      </c>
      <c r="C59" s="344" t="s">
        <v>26</v>
      </c>
      <c r="D59" s="165"/>
      <c r="E59" s="411"/>
      <c r="F59" s="411"/>
      <c r="G59" s="165"/>
      <c r="H59" s="20"/>
      <c r="J59" s="411"/>
      <c r="K59" s="328"/>
      <c r="L59" s="42"/>
      <c r="M59" s="42"/>
      <c r="N59" s="42"/>
      <c r="O59" s="174"/>
    </row>
    <row r="60" spans="1:15" x14ac:dyDescent="0.2">
      <c r="A60" s="371"/>
      <c r="B60" s="165"/>
      <c r="C60" s="165"/>
      <c r="D60" s="165"/>
      <c r="E60" s="165"/>
      <c r="F60" s="165"/>
      <c r="G60" s="411"/>
      <c r="H60" s="165"/>
      <c r="I60" s="20"/>
      <c r="J60" s="411"/>
      <c r="K60" s="328"/>
      <c r="L60" s="42"/>
      <c r="M60" s="42"/>
      <c r="N60" s="42"/>
      <c r="O60" s="174"/>
    </row>
    <row r="61" spans="1:15" x14ac:dyDescent="0.2">
      <c r="A61" s="371"/>
      <c r="B61" s="165"/>
      <c r="C61" s="165"/>
      <c r="D61" s="165"/>
      <c r="E61" s="165"/>
      <c r="F61" s="165"/>
      <c r="G61" s="411"/>
      <c r="H61" s="165"/>
      <c r="I61" s="20"/>
      <c r="J61" s="411"/>
      <c r="K61" s="328"/>
      <c r="L61" s="42"/>
      <c r="M61" s="42"/>
      <c r="N61" s="42"/>
      <c r="O61" s="174"/>
    </row>
    <row r="62" spans="1:15" x14ac:dyDescent="0.2">
      <c r="A62" s="371" t="s">
        <v>110</v>
      </c>
      <c r="B62" s="586" t="s">
        <v>316</v>
      </c>
      <c r="C62" s="586"/>
      <c r="D62" s="586"/>
      <c r="E62" s="586"/>
      <c r="F62" s="586"/>
      <c r="G62" s="586"/>
      <c r="H62" s="586"/>
      <c r="I62" s="586"/>
      <c r="J62" s="411"/>
      <c r="K62" s="411"/>
      <c r="L62" s="42"/>
      <c r="M62" s="42"/>
      <c r="N62" s="42"/>
      <c r="O62" s="174"/>
    </row>
    <row r="63" spans="1:15" ht="31.5" customHeight="1" x14ac:dyDescent="0.2">
      <c r="A63" s="371" t="s">
        <v>253</v>
      </c>
      <c r="B63" s="586" t="s">
        <v>189</v>
      </c>
      <c r="C63" s="586"/>
      <c r="D63" s="586"/>
      <c r="E63" s="586"/>
      <c r="F63" s="586"/>
      <c r="G63" s="586"/>
      <c r="H63" s="586"/>
      <c r="I63" s="346"/>
      <c r="J63" s="346"/>
      <c r="K63" s="346"/>
      <c r="L63" s="42"/>
      <c r="M63" s="42"/>
      <c r="N63" s="42"/>
      <c r="O63" s="174"/>
    </row>
    <row r="64" spans="1:15" x14ac:dyDescent="0.2">
      <c r="A64" s="371"/>
      <c r="B64" s="411"/>
      <c r="C64" s="411"/>
      <c r="D64" s="411"/>
      <c r="E64" s="165"/>
      <c r="F64" s="411"/>
      <c r="G64" s="411"/>
      <c r="H64" s="165"/>
      <c r="I64" s="411"/>
      <c r="J64" s="411"/>
      <c r="K64" s="411"/>
      <c r="L64" s="42"/>
      <c r="M64" s="42"/>
      <c r="N64" s="42"/>
      <c r="O64" s="174"/>
    </row>
    <row r="65" spans="1:15" ht="25.5" x14ac:dyDescent="0.2">
      <c r="A65" s="351" t="s">
        <v>318</v>
      </c>
      <c r="B65" s="351" t="s">
        <v>319</v>
      </c>
      <c r="C65" s="354" t="s">
        <v>320</v>
      </c>
      <c r="D65" s="355" t="s">
        <v>430</v>
      </c>
      <c r="E65" s="362" t="s">
        <v>317</v>
      </c>
      <c r="G65" s="165"/>
      <c r="H65" s="165"/>
      <c r="I65" s="411"/>
      <c r="J65" s="411"/>
      <c r="K65" s="411"/>
      <c r="L65" s="42"/>
      <c r="M65" s="42"/>
      <c r="N65" s="42"/>
      <c r="O65" s="174"/>
    </row>
    <row r="66" spans="1:15" x14ac:dyDescent="0.2">
      <c r="A66" s="350">
        <f>B24</f>
        <v>387.89</v>
      </c>
      <c r="B66" s="473">
        <f>B48</f>
        <v>3187.37</v>
      </c>
      <c r="C66" s="356">
        <f>B59</f>
        <v>823.48</v>
      </c>
      <c r="D66" s="356">
        <f>A66+B66+C66</f>
        <v>4398.74</v>
      </c>
      <c r="E66" s="356">
        <f>D66*0.3</f>
        <v>1319.62</v>
      </c>
      <c r="G66" s="165"/>
      <c r="H66" s="165"/>
      <c r="I66" s="411"/>
      <c r="J66" s="411"/>
      <c r="K66" s="411"/>
      <c r="L66" s="42"/>
      <c r="M66" s="42"/>
      <c r="N66" s="42"/>
      <c r="O66" s="174"/>
    </row>
    <row r="67" spans="1:15" x14ac:dyDescent="0.2">
      <c r="A67" s="411"/>
      <c r="B67" s="411"/>
      <c r="C67" s="411"/>
      <c r="D67" s="165"/>
      <c r="E67" s="411"/>
      <c r="G67" s="165"/>
      <c r="H67" s="165"/>
      <c r="I67" s="411"/>
      <c r="J67" s="411"/>
      <c r="K67" s="411"/>
      <c r="L67" s="42"/>
      <c r="M67" s="42"/>
      <c r="N67" s="42"/>
      <c r="O67" s="174"/>
    </row>
    <row r="68" spans="1:15" x14ac:dyDescent="0.2">
      <c r="A68" s="44" t="s">
        <v>96</v>
      </c>
      <c r="B68" s="352">
        <f>E66</f>
        <v>1319.62</v>
      </c>
      <c r="C68" s="45" t="s">
        <v>323</v>
      </c>
      <c r="D68" s="165"/>
      <c r="E68" s="411"/>
      <c r="G68" s="411"/>
      <c r="H68" s="165"/>
      <c r="I68" s="411"/>
      <c r="J68" s="411"/>
      <c r="K68" s="411"/>
      <c r="L68" s="42"/>
      <c r="M68" s="42"/>
      <c r="N68" s="42"/>
      <c r="O68" s="174"/>
    </row>
    <row r="69" spans="1:15" x14ac:dyDescent="0.2">
      <c r="A69" s="371"/>
      <c r="B69" s="411"/>
      <c r="C69" s="411"/>
      <c r="D69" s="411"/>
      <c r="E69" s="165"/>
      <c r="F69" s="411"/>
      <c r="G69" s="411"/>
      <c r="H69" s="165"/>
      <c r="I69" s="411"/>
      <c r="J69" s="411"/>
      <c r="K69" s="411"/>
      <c r="L69" s="42"/>
      <c r="M69" s="42"/>
      <c r="N69" s="42"/>
      <c r="O69" s="174"/>
    </row>
    <row r="70" spans="1:15" x14ac:dyDescent="0.2">
      <c r="A70" s="371"/>
      <c r="B70" s="411"/>
      <c r="C70" s="411"/>
      <c r="D70" s="411"/>
      <c r="E70" s="165"/>
      <c r="F70" s="411"/>
      <c r="G70" s="411"/>
      <c r="H70" s="165"/>
      <c r="I70" s="411"/>
      <c r="J70" s="411"/>
      <c r="K70" s="411"/>
      <c r="L70" s="42"/>
      <c r="M70" s="42"/>
      <c r="N70" s="42"/>
      <c r="O70" s="174"/>
    </row>
    <row r="71" spans="1:15" x14ac:dyDescent="0.2">
      <c r="A71" s="371" t="s">
        <v>112</v>
      </c>
      <c r="B71" s="586" t="s">
        <v>321</v>
      </c>
      <c r="C71" s="586"/>
      <c r="D71" s="586"/>
      <c r="E71" s="586"/>
      <c r="F71" s="586"/>
      <c r="G71" s="586"/>
      <c r="H71" s="586"/>
      <c r="I71" s="586"/>
      <c r="J71" s="411"/>
      <c r="K71" s="411"/>
      <c r="L71" s="42"/>
      <c r="M71" s="42"/>
      <c r="N71" s="42"/>
      <c r="O71" s="174"/>
    </row>
    <row r="72" spans="1:15" ht="33" customHeight="1" x14ac:dyDescent="0.2">
      <c r="A72" s="371" t="s">
        <v>302</v>
      </c>
      <c r="B72" s="586" t="s">
        <v>322</v>
      </c>
      <c r="C72" s="586"/>
      <c r="D72" s="586"/>
      <c r="E72" s="586"/>
      <c r="F72" s="586"/>
      <c r="G72" s="586"/>
      <c r="H72" s="586"/>
      <c r="I72" s="346"/>
      <c r="J72" s="411"/>
      <c r="K72" s="411"/>
      <c r="L72" s="42"/>
      <c r="M72" s="42"/>
      <c r="N72" s="42"/>
      <c r="O72" s="174"/>
    </row>
    <row r="73" spans="1:15" x14ac:dyDescent="0.2">
      <c r="A73" s="371"/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2"/>
      <c r="M73" s="42"/>
      <c r="N73" s="42"/>
      <c r="O73" s="174"/>
    </row>
    <row r="74" spans="1:15" ht="25.5" x14ac:dyDescent="0.2">
      <c r="A74" s="351" t="s">
        <v>318</v>
      </c>
      <c r="B74" s="351" t="s">
        <v>319</v>
      </c>
      <c r="C74" s="354" t="s">
        <v>320</v>
      </c>
      <c r="D74" s="355" t="s">
        <v>430</v>
      </c>
      <c r="E74" s="362" t="s">
        <v>324</v>
      </c>
      <c r="G74" s="411"/>
      <c r="H74" s="411"/>
      <c r="I74" s="411"/>
      <c r="J74" s="411"/>
      <c r="K74" s="411"/>
      <c r="L74" s="42"/>
      <c r="M74" s="42"/>
      <c r="N74" s="42"/>
      <c r="O74" s="174"/>
    </row>
    <row r="75" spans="1:15" x14ac:dyDescent="0.2">
      <c r="A75" s="350">
        <f>B24</f>
        <v>387.89</v>
      </c>
      <c r="B75" s="473">
        <f>B48</f>
        <v>3187.37</v>
      </c>
      <c r="C75" s="356">
        <f>B59</f>
        <v>823.48</v>
      </c>
      <c r="D75" s="356">
        <f>A75+B75+C75</f>
        <v>4398.74</v>
      </c>
      <c r="E75" s="356">
        <f>(A75+B75+C75)*0.7</f>
        <v>3079.12</v>
      </c>
      <c r="G75" s="411"/>
      <c r="H75" s="411"/>
      <c r="I75" s="411"/>
      <c r="J75" s="411"/>
      <c r="K75" s="411"/>
      <c r="L75" s="42"/>
      <c r="M75" s="42"/>
      <c r="N75" s="42"/>
      <c r="O75" s="174"/>
    </row>
    <row r="76" spans="1:15" x14ac:dyDescent="0.2">
      <c r="A76" s="411"/>
      <c r="B76" s="411"/>
      <c r="C76" s="411"/>
      <c r="D76" s="165"/>
      <c r="E76" s="411"/>
      <c r="G76" s="411"/>
      <c r="H76" s="411"/>
      <c r="I76" s="411"/>
      <c r="J76" s="411"/>
      <c r="K76" s="411"/>
      <c r="L76" s="42"/>
      <c r="M76" s="42"/>
      <c r="N76" s="42"/>
      <c r="O76" s="174"/>
    </row>
    <row r="77" spans="1:15" x14ac:dyDescent="0.2">
      <c r="A77" s="353" t="s">
        <v>96</v>
      </c>
      <c r="B77" s="352">
        <f>E75</f>
        <v>3079.12</v>
      </c>
      <c r="C77" s="45" t="s">
        <v>323</v>
      </c>
      <c r="D77" s="165"/>
      <c r="E77" s="411"/>
      <c r="G77" s="411"/>
      <c r="H77" s="411"/>
      <c r="I77" s="411"/>
      <c r="J77" s="411"/>
      <c r="K77" s="411"/>
      <c r="L77" s="42"/>
      <c r="M77" s="42"/>
      <c r="N77" s="42"/>
      <c r="O77" s="174"/>
    </row>
    <row r="78" spans="1:15" x14ac:dyDescent="0.2">
      <c r="A78" s="37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2"/>
      <c r="M78" s="42"/>
      <c r="N78" s="42"/>
      <c r="O78" s="174"/>
    </row>
    <row r="79" spans="1:15" x14ac:dyDescent="0.2">
      <c r="A79" s="371"/>
      <c r="B79" s="411"/>
      <c r="C79" s="411"/>
      <c r="D79" s="411"/>
      <c r="E79" s="165"/>
      <c r="F79" s="411"/>
      <c r="G79" s="411"/>
      <c r="H79" s="165"/>
      <c r="I79" s="411"/>
      <c r="J79" s="411"/>
      <c r="K79" s="411"/>
      <c r="L79" s="42"/>
      <c r="M79" s="42"/>
      <c r="N79" s="42"/>
      <c r="O79" s="174"/>
    </row>
    <row r="80" spans="1:15" ht="25.5" customHeight="1" x14ac:dyDescent="0.2">
      <c r="A80" s="371" t="s">
        <v>303</v>
      </c>
      <c r="B80" s="586" t="s">
        <v>192</v>
      </c>
      <c r="C80" s="586"/>
      <c r="D80" s="586"/>
      <c r="E80" s="586"/>
      <c r="F80" s="586"/>
      <c r="G80" s="586"/>
      <c r="H80" s="586"/>
      <c r="I80" s="346"/>
      <c r="J80" s="411"/>
      <c r="K80" s="411"/>
      <c r="L80" s="42"/>
      <c r="M80" s="42"/>
      <c r="N80" s="42"/>
      <c r="O80" s="174"/>
    </row>
    <row r="81" spans="1:15" x14ac:dyDescent="0.2">
      <c r="A81" s="37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2"/>
      <c r="M81" s="42"/>
      <c r="N81" s="42"/>
      <c r="O81" s="174"/>
    </row>
    <row r="82" spans="1:15" ht="29.25" customHeight="1" x14ac:dyDescent="0.2">
      <c r="A82" s="351" t="s">
        <v>325</v>
      </c>
      <c r="B82" s="354" t="s">
        <v>326</v>
      </c>
      <c r="C82" s="351" t="s">
        <v>363</v>
      </c>
      <c r="D82" s="114" t="s">
        <v>327</v>
      </c>
      <c r="E82" s="411"/>
      <c r="F82" s="411"/>
      <c r="G82" s="411"/>
      <c r="H82" s="411"/>
      <c r="I82" s="411"/>
      <c r="J82" s="411"/>
      <c r="K82" s="411"/>
      <c r="L82" s="42"/>
      <c r="M82" s="42"/>
      <c r="N82" s="42"/>
      <c r="O82" s="174"/>
    </row>
    <row r="83" spans="1:15" x14ac:dyDescent="0.2">
      <c r="A83" s="350">
        <f>B77</f>
        <v>3079.12</v>
      </c>
      <c r="B83" s="160">
        <v>20</v>
      </c>
      <c r="C83" s="390">
        <v>1.25</v>
      </c>
      <c r="D83" s="373">
        <f>A83*B83*C83</f>
        <v>76978</v>
      </c>
      <c r="E83" s="411"/>
      <c r="F83" s="411"/>
      <c r="G83" s="411"/>
      <c r="H83" s="411"/>
      <c r="I83" s="411"/>
      <c r="J83" s="411"/>
      <c r="K83" s="411"/>
      <c r="L83" s="42"/>
      <c r="M83" s="42"/>
      <c r="N83" s="42"/>
      <c r="O83" s="174"/>
    </row>
    <row r="84" spans="1:15" x14ac:dyDescent="0.2">
      <c r="A84" s="371"/>
      <c r="B84" s="411"/>
      <c r="C84" s="411"/>
      <c r="D84" s="411"/>
      <c r="E84" s="165"/>
      <c r="F84" s="411"/>
      <c r="G84" s="411"/>
      <c r="H84" s="411"/>
      <c r="I84" s="411"/>
      <c r="J84" s="411"/>
      <c r="K84" s="411"/>
      <c r="L84" s="42"/>
      <c r="M84" s="42"/>
      <c r="N84" s="42"/>
      <c r="O84" s="174"/>
    </row>
    <row r="85" spans="1:15" x14ac:dyDescent="0.2">
      <c r="A85" s="353" t="s">
        <v>96</v>
      </c>
      <c r="B85" s="352">
        <f>D83</f>
        <v>76978</v>
      </c>
      <c r="C85" s="45" t="s">
        <v>323</v>
      </c>
      <c r="E85" s="165"/>
      <c r="F85" s="411"/>
      <c r="G85" s="411"/>
      <c r="H85" s="411"/>
      <c r="I85" s="411"/>
      <c r="J85" s="411"/>
      <c r="K85" s="411"/>
      <c r="L85" s="42"/>
      <c r="M85" s="42"/>
      <c r="N85" s="42"/>
      <c r="O85" s="174"/>
    </row>
    <row r="86" spans="1:15" x14ac:dyDescent="0.2">
      <c r="A86" s="371"/>
      <c r="B86" s="411"/>
      <c r="C86" s="411"/>
      <c r="D86" s="411"/>
      <c r="E86" s="165"/>
      <c r="F86" s="411"/>
      <c r="G86" s="411"/>
      <c r="H86" s="165"/>
      <c r="I86" s="411"/>
      <c r="J86" s="411"/>
      <c r="K86" s="411"/>
      <c r="L86" s="42"/>
      <c r="M86" s="42"/>
      <c r="N86" s="42"/>
      <c r="O86" s="174"/>
    </row>
    <row r="87" spans="1:15" x14ac:dyDescent="0.2">
      <c r="A87" s="371"/>
      <c r="B87" s="411"/>
      <c r="C87" s="411"/>
      <c r="D87" s="411"/>
      <c r="E87" s="165"/>
      <c r="F87" s="411"/>
      <c r="G87" s="411"/>
      <c r="H87" s="165"/>
      <c r="I87" s="411"/>
      <c r="J87" s="411"/>
      <c r="K87" s="411"/>
      <c r="L87" s="42"/>
      <c r="M87" s="42"/>
      <c r="N87" s="42"/>
      <c r="O87" s="174"/>
    </row>
    <row r="88" spans="1:15" ht="27.75" customHeight="1" x14ac:dyDescent="0.2">
      <c r="A88" s="371" t="s">
        <v>304</v>
      </c>
      <c r="B88" s="586" t="s">
        <v>194</v>
      </c>
      <c r="C88" s="586"/>
      <c r="D88" s="586"/>
      <c r="E88" s="586"/>
      <c r="F88" s="586"/>
      <c r="G88" s="586"/>
      <c r="H88" s="586"/>
      <c r="I88" s="586"/>
      <c r="J88" s="411"/>
      <c r="K88" s="411"/>
      <c r="L88" s="42"/>
      <c r="M88" s="42"/>
      <c r="N88" s="42"/>
      <c r="O88" s="174"/>
    </row>
    <row r="89" spans="1:15" x14ac:dyDescent="0.2">
      <c r="A89" s="371"/>
      <c r="B89" s="411"/>
      <c r="C89" s="411"/>
      <c r="D89" s="411"/>
      <c r="E89" s="411"/>
      <c r="F89" s="411"/>
      <c r="G89" s="411"/>
      <c r="H89" s="411"/>
      <c r="I89" s="411"/>
      <c r="J89" s="411"/>
      <c r="K89" s="411"/>
      <c r="L89" s="42"/>
      <c r="M89" s="42"/>
      <c r="N89" s="42"/>
      <c r="O89" s="174"/>
    </row>
    <row r="90" spans="1:15" ht="25.5" x14ac:dyDescent="0.2">
      <c r="A90" s="351" t="s">
        <v>328</v>
      </c>
      <c r="B90" s="351" t="s">
        <v>329</v>
      </c>
      <c r="C90" s="411"/>
      <c r="E90" s="411"/>
      <c r="F90" s="411"/>
      <c r="G90" s="411"/>
      <c r="H90" s="411"/>
      <c r="I90" s="411"/>
      <c r="J90" s="411"/>
      <c r="K90" s="411"/>
      <c r="L90" s="42"/>
      <c r="M90" s="42"/>
      <c r="N90" s="42"/>
      <c r="O90" s="174"/>
    </row>
    <row r="91" spans="1:15" x14ac:dyDescent="0.2">
      <c r="A91" s="350">
        <f>E75</f>
        <v>3079.12</v>
      </c>
      <c r="B91" s="374">
        <f>A91</f>
        <v>3079.12</v>
      </c>
      <c r="C91" s="411"/>
      <c r="E91" s="411"/>
      <c r="F91" s="411"/>
      <c r="G91" s="411"/>
      <c r="H91" s="411"/>
      <c r="I91" s="411"/>
      <c r="J91" s="411"/>
      <c r="K91" s="411"/>
      <c r="L91" s="42"/>
      <c r="M91" s="42"/>
      <c r="N91" s="42"/>
      <c r="O91" s="174"/>
    </row>
    <row r="92" spans="1:15" x14ac:dyDescent="0.2">
      <c r="A92" s="411"/>
      <c r="B92" s="411"/>
      <c r="C92" s="411"/>
      <c r="E92" s="165"/>
      <c r="F92" s="411"/>
      <c r="G92" s="411"/>
      <c r="H92" s="411"/>
      <c r="I92" s="411"/>
      <c r="J92" s="411"/>
      <c r="K92" s="411"/>
      <c r="L92" s="42"/>
      <c r="M92" s="42"/>
      <c r="N92" s="42"/>
      <c r="O92" s="174"/>
    </row>
    <row r="93" spans="1:15" x14ac:dyDescent="0.2">
      <c r="A93" s="353" t="s">
        <v>96</v>
      </c>
      <c r="B93" s="352">
        <f>B91</f>
        <v>3079.12</v>
      </c>
      <c r="C93" s="45" t="s">
        <v>323</v>
      </c>
      <c r="E93" s="165"/>
      <c r="F93" s="411"/>
      <c r="G93" s="411"/>
      <c r="H93" s="411"/>
      <c r="I93" s="411"/>
      <c r="J93" s="411"/>
      <c r="K93" s="411"/>
      <c r="L93" s="42"/>
      <c r="M93" s="42"/>
      <c r="N93" s="42"/>
      <c r="O93" s="174"/>
    </row>
    <row r="94" spans="1:15" x14ac:dyDescent="0.2">
      <c r="A94" s="371"/>
      <c r="B94" s="411"/>
      <c r="C94" s="411"/>
      <c r="D94" s="411"/>
      <c r="E94" s="165"/>
      <c r="F94" s="411"/>
      <c r="G94" s="411"/>
      <c r="H94" s="165"/>
      <c r="I94" s="411"/>
      <c r="J94" s="411"/>
      <c r="K94" s="411"/>
      <c r="L94" s="42"/>
      <c r="M94" s="42"/>
      <c r="N94" s="42"/>
      <c r="O94" s="174"/>
    </row>
    <row r="95" spans="1:15" x14ac:dyDescent="0.2">
      <c r="A95" s="371"/>
      <c r="B95" s="411"/>
      <c r="C95" s="411"/>
      <c r="D95" s="411"/>
      <c r="E95" s="165"/>
      <c r="F95" s="411"/>
      <c r="G95" s="411"/>
      <c r="H95" s="165"/>
      <c r="I95" s="411"/>
      <c r="J95" s="411"/>
      <c r="K95" s="411"/>
      <c r="L95" s="42"/>
      <c r="M95" s="42"/>
      <c r="N95" s="42"/>
      <c r="O95" s="174"/>
    </row>
    <row r="96" spans="1:15" ht="15.75" customHeight="1" x14ac:dyDescent="0.2">
      <c r="A96" s="371" t="s">
        <v>305</v>
      </c>
      <c r="B96" s="586" t="str">
        <f>'Planilha Final'!D35</f>
        <v>Preparo de fundo de vala com largura maior ou igual a 1,5m e menor que 2,5m (acerto de solo natural). AF_08/2020.</v>
      </c>
      <c r="C96" s="586"/>
      <c r="D96" s="586"/>
      <c r="E96" s="586"/>
      <c r="F96" s="586"/>
      <c r="G96" s="586"/>
      <c r="H96" s="586"/>
      <c r="I96" s="586"/>
      <c r="J96" s="346"/>
      <c r="K96" s="346"/>
      <c r="L96" s="42"/>
      <c r="M96" s="42"/>
      <c r="N96" s="42"/>
      <c r="O96" s="174"/>
    </row>
    <row r="97" spans="1:15" x14ac:dyDescent="0.2">
      <c r="A97" s="371"/>
      <c r="B97" s="411"/>
      <c r="C97" s="411"/>
      <c r="D97" s="411"/>
      <c r="E97" s="165"/>
      <c r="F97" s="411"/>
      <c r="G97" s="411"/>
      <c r="H97" s="165"/>
      <c r="I97" s="411"/>
      <c r="J97" s="411"/>
      <c r="K97" s="411"/>
      <c r="L97" s="42"/>
      <c r="M97" s="42"/>
      <c r="N97" s="42"/>
      <c r="O97" s="174"/>
    </row>
    <row r="98" spans="1:15" x14ac:dyDescent="0.2">
      <c r="A98" s="594" t="s">
        <v>119</v>
      </c>
      <c r="B98" s="158" t="s">
        <v>180</v>
      </c>
      <c r="C98" s="360" t="s">
        <v>116</v>
      </c>
      <c r="D98" s="362" t="s">
        <v>53</v>
      </c>
      <c r="E98" s="362" t="s">
        <v>120</v>
      </c>
      <c r="H98" s="165"/>
      <c r="I98" s="411"/>
      <c r="J98" s="411"/>
      <c r="K98" s="411"/>
      <c r="L98" s="42"/>
      <c r="M98" s="42"/>
      <c r="N98" s="42"/>
      <c r="O98" s="43"/>
    </row>
    <row r="99" spans="1:15" x14ac:dyDescent="0.2">
      <c r="A99" s="595"/>
      <c r="B99" s="158">
        <v>600</v>
      </c>
      <c r="C99" s="356">
        <f>B14+B33</f>
        <v>323.10000000000002</v>
      </c>
      <c r="D99" s="356">
        <f>C14</f>
        <v>1.52</v>
      </c>
      <c r="E99" s="356">
        <f>C99*D99</f>
        <v>491.11</v>
      </c>
      <c r="H99" s="165"/>
      <c r="I99" s="411"/>
      <c r="J99" s="411"/>
      <c r="K99" s="411"/>
      <c r="L99" s="42"/>
      <c r="M99" s="42"/>
      <c r="N99" s="42"/>
      <c r="O99" s="43"/>
    </row>
    <row r="100" spans="1:15" x14ac:dyDescent="0.2">
      <c r="A100" s="595"/>
      <c r="B100" s="158">
        <v>800</v>
      </c>
      <c r="C100" s="356">
        <f>B38+B56</f>
        <v>251.25</v>
      </c>
      <c r="D100" s="356">
        <f>C38</f>
        <v>1.76</v>
      </c>
      <c r="E100" s="356">
        <f>C100*D100</f>
        <v>442.2</v>
      </c>
      <c r="H100" s="165"/>
      <c r="I100" s="411"/>
      <c r="J100" s="411"/>
      <c r="K100" s="411"/>
      <c r="L100" s="42"/>
      <c r="M100" s="42"/>
      <c r="N100" s="42"/>
      <c r="O100" s="43"/>
    </row>
    <row r="101" spans="1:15" x14ac:dyDescent="0.2">
      <c r="A101" s="596"/>
      <c r="B101" s="158">
        <v>1200</v>
      </c>
      <c r="C101" s="356">
        <f>B45</f>
        <v>322.2</v>
      </c>
      <c r="D101" s="356">
        <v>2.23</v>
      </c>
      <c r="E101" s="356">
        <f>C101*D101</f>
        <v>718.51</v>
      </c>
      <c r="H101" s="165"/>
      <c r="I101" s="479"/>
      <c r="J101" s="479"/>
      <c r="K101" s="479"/>
      <c r="L101" s="42"/>
      <c r="M101" s="42"/>
      <c r="N101" s="42"/>
      <c r="O101" s="43"/>
    </row>
    <row r="102" spans="1:15" x14ac:dyDescent="0.2">
      <c r="A102" s="412" t="s">
        <v>121</v>
      </c>
      <c r="B102" s="158" t="s">
        <v>2</v>
      </c>
      <c r="C102" s="360" t="s">
        <v>116</v>
      </c>
      <c r="D102" s="362" t="s">
        <v>53</v>
      </c>
      <c r="E102" s="362"/>
      <c r="H102" s="165"/>
      <c r="I102" s="411"/>
      <c r="J102" s="411"/>
      <c r="K102" s="411"/>
      <c r="L102" s="42"/>
      <c r="M102" s="42"/>
      <c r="N102" s="42"/>
      <c r="O102" s="43"/>
    </row>
    <row r="103" spans="1:15" x14ac:dyDescent="0.2">
      <c r="A103" s="412"/>
      <c r="B103" s="158">
        <f>A20</f>
        <v>400</v>
      </c>
      <c r="C103" s="356">
        <f>B20</f>
        <v>240</v>
      </c>
      <c r="D103" s="356">
        <f>C20</f>
        <v>0.88</v>
      </c>
      <c r="E103" s="356">
        <f>C103*D103</f>
        <v>211.2</v>
      </c>
      <c r="H103" s="165"/>
      <c r="I103" s="411"/>
      <c r="J103" s="411"/>
      <c r="K103" s="411"/>
      <c r="L103" s="42"/>
      <c r="M103" s="42"/>
      <c r="N103" s="42"/>
      <c r="O103" s="43"/>
    </row>
    <row r="104" spans="1:15" x14ac:dyDescent="0.2">
      <c r="A104" s="371"/>
      <c r="B104" s="411"/>
      <c r="C104" s="411"/>
      <c r="D104" s="411"/>
      <c r="E104" s="165"/>
      <c r="F104" s="411"/>
      <c r="G104" s="411"/>
      <c r="H104" s="165"/>
      <c r="I104" s="411"/>
      <c r="J104" s="411"/>
      <c r="K104" s="411"/>
      <c r="L104" s="42"/>
      <c r="M104" s="42"/>
      <c r="N104" s="42"/>
      <c r="O104" s="43"/>
    </row>
    <row r="105" spans="1:15" x14ac:dyDescent="0.2">
      <c r="A105" s="44" t="s">
        <v>96</v>
      </c>
      <c r="B105" s="352">
        <f>SUM(E99:E103)</f>
        <v>1863.02</v>
      </c>
      <c r="C105" s="45" t="s">
        <v>24</v>
      </c>
      <c r="E105" s="165"/>
      <c r="F105" s="314"/>
      <c r="G105" s="411"/>
      <c r="H105" s="165"/>
      <c r="I105" s="411"/>
      <c r="J105" s="411"/>
      <c r="K105" s="411"/>
      <c r="L105" s="42"/>
      <c r="M105" s="42"/>
      <c r="N105" s="42"/>
      <c r="O105" s="43"/>
    </row>
    <row r="106" spans="1:15" x14ac:dyDescent="0.2">
      <c r="A106" s="371"/>
      <c r="B106" s="411"/>
      <c r="C106" s="411"/>
      <c r="D106" s="411"/>
      <c r="E106" s="165"/>
      <c r="F106" s="411"/>
      <c r="G106" s="411"/>
      <c r="H106" s="165"/>
      <c r="I106" s="411"/>
      <c r="J106" s="411"/>
      <c r="K106" s="411"/>
      <c r="L106" s="42"/>
      <c r="M106" s="42"/>
      <c r="N106" s="42"/>
      <c r="O106" s="43"/>
    </row>
    <row r="107" spans="1:15" ht="22.5" customHeight="1" x14ac:dyDescent="0.2">
      <c r="A107" s="371" t="s">
        <v>331</v>
      </c>
      <c r="B107" s="586" t="str">
        <f>'Planilha Final'!D36</f>
        <v>Lastro com material granular (areia média), aplicado em pisos ou lajes sobre solo, espessura de *10 cm*. AF_07/2019</v>
      </c>
      <c r="C107" s="586"/>
      <c r="D107" s="586"/>
      <c r="E107" s="586"/>
      <c r="F107" s="586"/>
      <c r="G107" s="586"/>
      <c r="H107" s="586"/>
      <c r="I107" s="586"/>
      <c r="J107" s="346"/>
      <c r="K107" s="346"/>
      <c r="L107" s="42"/>
      <c r="M107" s="42"/>
      <c r="N107" s="42"/>
      <c r="O107" s="43"/>
    </row>
    <row r="108" spans="1:15" x14ac:dyDescent="0.2">
      <c r="A108" s="371"/>
      <c r="B108" s="411"/>
      <c r="C108" s="411"/>
      <c r="D108" s="411"/>
      <c r="E108" s="165"/>
      <c r="F108" s="411"/>
      <c r="G108" s="411"/>
      <c r="H108" s="165"/>
      <c r="I108" s="411"/>
      <c r="J108" s="411"/>
      <c r="K108" s="411"/>
      <c r="L108" s="42"/>
      <c r="M108" s="42"/>
      <c r="N108" s="42"/>
      <c r="O108" s="43"/>
    </row>
    <row r="109" spans="1:15" x14ac:dyDescent="0.2">
      <c r="A109" s="594" t="s">
        <v>119</v>
      </c>
      <c r="B109" s="158" t="s">
        <v>180</v>
      </c>
      <c r="C109" s="360" t="s">
        <v>116</v>
      </c>
      <c r="D109" s="362" t="s">
        <v>53</v>
      </c>
      <c r="E109" s="363" t="s">
        <v>32</v>
      </c>
      <c r="F109" s="362" t="s">
        <v>118</v>
      </c>
      <c r="I109" s="411"/>
      <c r="J109" s="411"/>
      <c r="K109" s="411"/>
      <c r="L109" s="42"/>
      <c r="M109" s="42"/>
      <c r="N109" s="42"/>
      <c r="O109" s="43"/>
    </row>
    <row r="110" spans="1:15" x14ac:dyDescent="0.2">
      <c r="A110" s="595"/>
      <c r="B110" s="158">
        <f t="shared" ref="B110:D112" si="12">B99</f>
        <v>600</v>
      </c>
      <c r="C110" s="161">
        <f t="shared" si="12"/>
        <v>323.10000000000002</v>
      </c>
      <c r="D110" s="100">
        <f t="shared" si="12"/>
        <v>1.52</v>
      </c>
      <c r="E110" s="363">
        <v>0.1</v>
      </c>
      <c r="F110" s="356">
        <f>C110*D110*E110</f>
        <v>49.11</v>
      </c>
      <c r="I110" s="411"/>
      <c r="J110" s="411"/>
      <c r="K110" s="411"/>
      <c r="L110" s="42"/>
      <c r="M110" s="42"/>
      <c r="N110" s="42"/>
      <c r="O110" s="43"/>
    </row>
    <row r="111" spans="1:15" x14ac:dyDescent="0.2">
      <c r="A111" s="595"/>
      <c r="B111" s="158">
        <f t="shared" si="12"/>
        <v>800</v>
      </c>
      <c r="C111" s="356">
        <f t="shared" si="12"/>
        <v>251.25</v>
      </c>
      <c r="D111" s="356">
        <f t="shared" si="12"/>
        <v>1.76</v>
      </c>
      <c r="E111" s="363">
        <v>0.1</v>
      </c>
      <c r="F111" s="356">
        <f>C111*D111*E111</f>
        <v>44.22</v>
      </c>
      <c r="I111" s="411"/>
      <c r="J111" s="411"/>
      <c r="K111" s="411"/>
      <c r="L111" s="42"/>
      <c r="M111" s="42"/>
      <c r="N111" s="42"/>
      <c r="O111" s="43"/>
    </row>
    <row r="112" spans="1:15" x14ac:dyDescent="0.2">
      <c r="A112" s="596"/>
      <c r="B112" s="158">
        <f t="shared" si="12"/>
        <v>1200</v>
      </c>
      <c r="C112" s="356">
        <f t="shared" si="12"/>
        <v>322.2</v>
      </c>
      <c r="D112" s="356">
        <f t="shared" si="12"/>
        <v>2.23</v>
      </c>
      <c r="E112" s="363">
        <v>0.1</v>
      </c>
      <c r="F112" s="356">
        <f>C112*D112*E112</f>
        <v>71.849999999999994</v>
      </c>
      <c r="I112" s="479"/>
      <c r="J112" s="479"/>
      <c r="K112" s="479"/>
      <c r="L112" s="42"/>
      <c r="M112" s="42"/>
      <c r="N112" s="42"/>
      <c r="O112" s="43"/>
    </row>
    <row r="113" spans="1:15" ht="15" customHeight="1" x14ac:dyDescent="0.2">
      <c r="A113" s="593" t="s">
        <v>121</v>
      </c>
      <c r="B113" s="158">
        <f>B103</f>
        <v>400</v>
      </c>
      <c r="C113" s="360" t="s">
        <v>116</v>
      </c>
      <c r="D113" s="362" t="s">
        <v>53</v>
      </c>
      <c r="E113" s="363"/>
      <c r="F113" s="362"/>
      <c r="I113" s="411"/>
      <c r="J113" s="411"/>
      <c r="K113" s="411"/>
      <c r="L113" s="42"/>
      <c r="M113" s="42"/>
      <c r="N113" s="42"/>
      <c r="O113" s="43"/>
    </row>
    <row r="114" spans="1:15" x14ac:dyDescent="0.2">
      <c r="A114" s="593"/>
      <c r="B114" s="158"/>
      <c r="C114" s="356">
        <f>C103</f>
        <v>240</v>
      </c>
      <c r="D114" s="356">
        <f>D103</f>
        <v>0.88</v>
      </c>
      <c r="E114" s="363">
        <f>E111</f>
        <v>0.1</v>
      </c>
      <c r="F114" s="356">
        <f>C114*D114*E114</f>
        <v>21.12</v>
      </c>
      <c r="I114" s="411"/>
      <c r="J114" s="411"/>
      <c r="K114" s="411"/>
      <c r="L114" s="42"/>
      <c r="M114" s="42"/>
      <c r="N114" s="42"/>
      <c r="O114" s="43"/>
    </row>
    <row r="115" spans="1:15" x14ac:dyDescent="0.2">
      <c r="A115" s="371"/>
      <c r="B115" s="411"/>
      <c r="C115" s="411"/>
      <c r="D115" s="411"/>
      <c r="E115" s="165"/>
      <c r="F115" s="411"/>
      <c r="G115" s="411"/>
      <c r="H115" s="165"/>
      <c r="I115" s="411"/>
      <c r="J115" s="411"/>
      <c r="K115" s="411"/>
      <c r="L115" s="42"/>
      <c r="M115" s="42"/>
      <c r="N115" s="42"/>
      <c r="O115" s="43"/>
    </row>
    <row r="116" spans="1:15" x14ac:dyDescent="0.2">
      <c r="A116" s="44" t="s">
        <v>96</v>
      </c>
      <c r="B116" s="352">
        <f>SUM(F110:F114)</f>
        <v>186.3</v>
      </c>
      <c r="C116" s="45" t="s">
        <v>26</v>
      </c>
      <c r="E116" s="165"/>
      <c r="F116" s="411"/>
      <c r="G116" s="411"/>
      <c r="H116" s="165"/>
      <c r="I116" s="411"/>
      <c r="J116" s="411"/>
      <c r="K116" s="411"/>
      <c r="L116" s="42"/>
      <c r="M116" s="42"/>
      <c r="N116" s="42"/>
      <c r="O116" s="43"/>
    </row>
    <row r="117" spans="1:15" x14ac:dyDescent="0.2">
      <c r="A117" s="371"/>
      <c r="B117" s="411"/>
      <c r="C117" s="411"/>
      <c r="D117" s="411"/>
      <c r="E117" s="165"/>
      <c r="F117" s="411"/>
      <c r="G117" s="411"/>
      <c r="H117" s="165"/>
      <c r="I117" s="411"/>
      <c r="J117" s="411"/>
      <c r="K117" s="411"/>
      <c r="L117" s="42"/>
      <c r="M117" s="42"/>
      <c r="N117" s="42"/>
      <c r="O117" s="43"/>
    </row>
    <row r="118" spans="1:15" x14ac:dyDescent="0.2">
      <c r="A118" s="371" t="s">
        <v>113</v>
      </c>
      <c r="B118" s="586" t="s">
        <v>195</v>
      </c>
      <c r="C118" s="586"/>
      <c r="D118" s="586"/>
      <c r="E118" s="586"/>
      <c r="F118" s="586"/>
      <c r="G118" s="586"/>
      <c r="H118" s="586"/>
      <c r="I118" s="586"/>
      <c r="J118" s="346"/>
      <c r="K118" s="346"/>
      <c r="L118" s="42"/>
      <c r="M118" s="42"/>
      <c r="N118" s="42"/>
      <c r="O118" s="43"/>
    </row>
    <row r="119" spans="1:15" ht="25.5" customHeight="1" x14ac:dyDescent="0.2">
      <c r="A119" s="371" t="s">
        <v>254</v>
      </c>
      <c r="B119" s="586" t="s">
        <v>333</v>
      </c>
      <c r="C119" s="586"/>
      <c r="D119" s="586"/>
      <c r="E119" s="586"/>
      <c r="F119" s="586"/>
      <c r="G119" s="586"/>
      <c r="H119" s="586"/>
      <c r="I119" s="346"/>
      <c r="J119" s="346"/>
      <c r="K119" s="346"/>
      <c r="L119" s="42"/>
      <c r="M119" s="42"/>
      <c r="N119" s="42"/>
      <c r="O119" s="43"/>
    </row>
    <row r="120" spans="1:15" x14ac:dyDescent="0.2">
      <c r="A120" s="371"/>
      <c r="B120" s="411"/>
      <c r="C120" s="411"/>
      <c r="D120" s="411"/>
      <c r="E120" s="165"/>
      <c r="F120" s="411"/>
      <c r="G120" s="411"/>
      <c r="H120" s="165"/>
      <c r="I120" s="411"/>
      <c r="J120" s="411"/>
      <c r="K120" s="411"/>
      <c r="L120" s="42"/>
      <c r="M120" s="42"/>
      <c r="N120" s="42"/>
      <c r="O120" s="43"/>
    </row>
    <row r="121" spans="1:15" ht="25.5" x14ac:dyDescent="0.2">
      <c r="A121" s="351" t="s">
        <v>318</v>
      </c>
      <c r="B121" s="351" t="s">
        <v>319</v>
      </c>
      <c r="C121" s="372" t="s">
        <v>320</v>
      </c>
      <c r="D121" s="362" t="s">
        <v>324</v>
      </c>
      <c r="G121" s="411"/>
      <c r="H121" s="165"/>
      <c r="I121" s="411"/>
      <c r="J121" s="411"/>
      <c r="K121" s="411"/>
      <c r="L121" s="42"/>
      <c r="M121" s="42"/>
      <c r="N121" s="42"/>
      <c r="O121" s="43"/>
    </row>
    <row r="122" spans="1:15" x14ac:dyDescent="0.2">
      <c r="A122" s="350">
        <f>A66</f>
        <v>387.89</v>
      </c>
      <c r="B122" s="473">
        <f>B75</f>
        <v>3187.37</v>
      </c>
      <c r="C122" s="396">
        <f>C75</f>
        <v>823.48</v>
      </c>
      <c r="D122" s="356">
        <f>(A122+B122+C122)*0.7</f>
        <v>3079.12</v>
      </c>
      <c r="G122" s="411"/>
      <c r="H122" s="165"/>
      <c r="I122" s="411"/>
      <c r="J122" s="411"/>
      <c r="K122" s="411"/>
      <c r="L122" s="42"/>
      <c r="M122" s="42"/>
      <c r="N122" s="42"/>
      <c r="O122" s="43"/>
    </row>
    <row r="123" spans="1:15" x14ac:dyDescent="0.2">
      <c r="A123" s="371"/>
      <c r="B123" s="411"/>
      <c r="C123" s="411"/>
      <c r="D123" s="411"/>
      <c r="E123" s="165"/>
      <c r="F123" s="411"/>
      <c r="G123" s="411"/>
      <c r="H123" s="165"/>
      <c r="I123" s="411"/>
      <c r="J123" s="411"/>
      <c r="K123" s="411"/>
      <c r="L123" s="42"/>
      <c r="M123" s="42"/>
      <c r="N123" s="42"/>
      <c r="O123" s="43"/>
    </row>
    <row r="124" spans="1:15" x14ac:dyDescent="0.2">
      <c r="A124" s="353" t="s">
        <v>96</v>
      </c>
      <c r="B124" s="352">
        <f>D122</f>
        <v>3079.12</v>
      </c>
      <c r="C124" s="45" t="s">
        <v>323</v>
      </c>
      <c r="E124" s="165"/>
      <c r="F124" s="411"/>
      <c r="G124" s="411"/>
      <c r="H124" s="165"/>
      <c r="I124" s="411"/>
      <c r="J124" s="411"/>
      <c r="K124" s="411"/>
      <c r="L124" s="42"/>
      <c r="M124" s="42"/>
      <c r="N124" s="42"/>
      <c r="O124" s="43"/>
    </row>
    <row r="125" spans="1:15" x14ac:dyDescent="0.2">
      <c r="A125" s="371"/>
      <c r="B125" s="411"/>
      <c r="C125" s="411"/>
      <c r="D125" s="411"/>
      <c r="E125" s="165"/>
      <c r="F125" s="411"/>
      <c r="G125" s="411"/>
      <c r="H125" s="165"/>
      <c r="I125" s="411"/>
      <c r="J125" s="411"/>
      <c r="K125" s="411"/>
      <c r="L125" s="42"/>
      <c r="M125" s="42"/>
      <c r="N125" s="42"/>
      <c r="O125" s="43"/>
    </row>
    <row r="126" spans="1:15" ht="27" customHeight="1" x14ac:dyDescent="0.2">
      <c r="A126" s="371" t="s">
        <v>255</v>
      </c>
      <c r="B126" s="586" t="s">
        <v>334</v>
      </c>
      <c r="C126" s="586"/>
      <c r="D126" s="586"/>
      <c r="E126" s="586"/>
      <c r="F126" s="586"/>
      <c r="G126" s="586"/>
      <c r="H126" s="586"/>
      <c r="I126" s="346"/>
      <c r="J126" s="411"/>
      <c r="K126" s="411"/>
      <c r="L126" s="42"/>
      <c r="M126" s="42"/>
      <c r="N126" s="42"/>
      <c r="O126" s="43"/>
    </row>
    <row r="127" spans="1:15" x14ac:dyDescent="0.2">
      <c r="A127" s="371"/>
      <c r="B127" s="411"/>
      <c r="C127" s="411"/>
      <c r="D127" s="411"/>
      <c r="E127" s="165"/>
      <c r="F127" s="411"/>
      <c r="G127" s="411"/>
      <c r="H127" s="165"/>
      <c r="I127" s="411"/>
      <c r="J127" s="411"/>
      <c r="K127" s="411"/>
      <c r="L127" s="42"/>
      <c r="M127" s="42"/>
      <c r="N127" s="42"/>
      <c r="O127" s="43"/>
    </row>
    <row r="128" spans="1:15" ht="41.25" customHeight="1" x14ac:dyDescent="0.2">
      <c r="A128" s="351" t="s">
        <v>335</v>
      </c>
      <c r="B128" s="351" t="s">
        <v>326</v>
      </c>
      <c r="C128" s="351" t="s">
        <v>363</v>
      </c>
      <c r="D128" s="114" t="s">
        <v>327</v>
      </c>
      <c r="E128" s="411"/>
      <c r="F128" s="411"/>
      <c r="G128" s="411"/>
      <c r="H128" s="165"/>
      <c r="I128" s="411"/>
      <c r="J128" s="411"/>
      <c r="K128" s="411"/>
      <c r="L128" s="42"/>
      <c r="M128" s="42"/>
      <c r="N128" s="42"/>
      <c r="O128" s="43"/>
    </row>
    <row r="129" spans="1:15" x14ac:dyDescent="0.2">
      <c r="A129" s="350">
        <f>B124</f>
        <v>3079.12</v>
      </c>
      <c r="B129" s="158">
        <v>10</v>
      </c>
      <c r="C129" s="363">
        <v>1.25</v>
      </c>
      <c r="D129" s="373">
        <f>A129*B129*C129</f>
        <v>38489</v>
      </c>
      <c r="E129" s="411"/>
      <c r="F129" s="411"/>
      <c r="G129" s="411"/>
      <c r="H129" s="165"/>
      <c r="I129" s="411"/>
      <c r="J129" s="411"/>
      <c r="K129" s="411"/>
      <c r="L129" s="42"/>
      <c r="M129" s="42"/>
      <c r="N129" s="42"/>
      <c r="O129" s="43"/>
    </row>
    <row r="130" spans="1:15" x14ac:dyDescent="0.2">
      <c r="A130" s="371"/>
      <c r="B130" s="411"/>
      <c r="C130" s="411"/>
      <c r="D130" s="411"/>
      <c r="E130" s="165"/>
      <c r="F130" s="411"/>
      <c r="G130" s="411"/>
      <c r="H130" s="165"/>
      <c r="I130" s="411"/>
      <c r="J130" s="411"/>
      <c r="K130" s="411"/>
      <c r="L130" s="42"/>
      <c r="M130" s="42"/>
      <c r="N130" s="42"/>
      <c r="O130" s="43"/>
    </row>
    <row r="131" spans="1:15" x14ac:dyDescent="0.2">
      <c r="A131" s="353" t="s">
        <v>96</v>
      </c>
      <c r="B131" s="352">
        <f>D129</f>
        <v>38489</v>
      </c>
      <c r="C131" s="45" t="s">
        <v>323</v>
      </c>
      <c r="E131" s="165"/>
      <c r="F131" s="411"/>
      <c r="G131" s="411"/>
      <c r="H131" s="165"/>
      <c r="I131" s="411"/>
      <c r="J131" s="411"/>
      <c r="K131" s="411"/>
      <c r="L131" s="42"/>
      <c r="M131" s="42"/>
      <c r="N131" s="42"/>
      <c r="O131" s="43"/>
    </row>
    <row r="132" spans="1:15" x14ac:dyDescent="0.2">
      <c r="A132" s="371"/>
      <c r="B132" s="411"/>
      <c r="C132" s="411"/>
      <c r="D132" s="411"/>
      <c r="E132" s="165"/>
      <c r="F132" s="411"/>
      <c r="G132" s="411"/>
      <c r="H132" s="165"/>
      <c r="I132" s="411"/>
      <c r="J132" s="411"/>
      <c r="K132" s="411"/>
      <c r="L132" s="42"/>
      <c r="M132" s="42"/>
      <c r="N132" s="42"/>
      <c r="O132" s="43"/>
    </row>
    <row r="133" spans="1:15" ht="29.25" customHeight="1" x14ac:dyDescent="0.2">
      <c r="A133" s="371" t="s">
        <v>256</v>
      </c>
      <c r="B133" s="586" t="str">
        <f>'Planilha Final'!D40</f>
        <v>Escoramento de vala tipo pontaleteamento, com profundidade de 0 a 1,5 m, largura maior ou igual a que 1,5 m e menor que 2,5m. AF_08/2020.(Reaproveitamento 3x)</v>
      </c>
      <c r="C133" s="586"/>
      <c r="D133" s="586"/>
      <c r="E133" s="586"/>
      <c r="F133" s="586"/>
      <c r="G133" s="586"/>
      <c r="H133" s="586"/>
      <c r="I133" s="346"/>
      <c r="J133" s="411"/>
      <c r="K133" s="411"/>
      <c r="L133" s="42"/>
      <c r="M133" s="42"/>
      <c r="N133" s="42"/>
      <c r="O133" s="43"/>
    </row>
    <row r="134" spans="1:15" x14ac:dyDescent="0.2">
      <c r="A134" s="371"/>
      <c r="B134" s="411"/>
      <c r="C134" s="411"/>
      <c r="D134" s="411"/>
      <c r="E134" s="165"/>
      <c r="F134" s="411"/>
      <c r="G134" s="411"/>
      <c r="H134" s="165"/>
      <c r="I134" s="411"/>
      <c r="J134" s="411"/>
      <c r="K134" s="411"/>
      <c r="L134" s="42"/>
      <c r="M134" s="42"/>
      <c r="N134" s="42"/>
      <c r="O134" s="43"/>
    </row>
    <row r="135" spans="1:15" ht="14.25" customHeight="1" x14ac:dyDescent="0.2">
      <c r="A135" s="158" t="s">
        <v>180</v>
      </c>
      <c r="B135" s="363" t="s">
        <v>423</v>
      </c>
      <c r="C135" s="363" t="s">
        <v>435</v>
      </c>
      <c r="D135" s="363" t="s">
        <v>424</v>
      </c>
      <c r="E135" s="411"/>
      <c r="F135" s="411"/>
      <c r="G135" s="411"/>
      <c r="H135" s="411"/>
      <c r="I135" s="411"/>
      <c r="J135" s="411"/>
      <c r="K135" s="411"/>
      <c r="L135" s="42"/>
      <c r="M135" s="42"/>
      <c r="N135" s="42"/>
      <c r="O135" s="43"/>
    </row>
    <row r="136" spans="1:15" ht="22.5" customHeight="1" x14ac:dyDescent="0.2">
      <c r="A136" s="158" t="s">
        <v>309</v>
      </c>
      <c r="B136" s="360">
        <f>B13</f>
        <v>66.010000000000005</v>
      </c>
      <c r="C136" s="482">
        <f>G13</f>
        <v>1.34</v>
      </c>
      <c r="D136" s="420">
        <f>B136*C136</f>
        <v>88.45</v>
      </c>
      <c r="E136" s="411"/>
      <c r="F136" s="411"/>
      <c r="G136" s="411"/>
      <c r="H136" s="411"/>
      <c r="I136" s="411"/>
      <c r="J136" s="411"/>
      <c r="K136" s="411"/>
      <c r="L136" s="42"/>
      <c r="M136" s="42"/>
      <c r="N136" s="42"/>
      <c r="O136" s="43"/>
    </row>
    <row r="137" spans="1:15" ht="23.25" customHeight="1" x14ac:dyDescent="0.2">
      <c r="A137" s="158" t="s">
        <v>311</v>
      </c>
      <c r="B137" s="360">
        <f>B29</f>
        <v>66.010000000000005</v>
      </c>
      <c r="C137" s="370">
        <f>G29</f>
        <v>1.6</v>
      </c>
      <c r="D137" s="420">
        <f t="shared" ref="D137:D140" si="13">B137*C137</f>
        <v>105.62</v>
      </c>
      <c r="E137" s="411"/>
      <c r="F137" s="411"/>
      <c r="G137" s="411"/>
      <c r="H137" s="411"/>
      <c r="I137" s="411"/>
      <c r="J137" s="411"/>
      <c r="K137" s="411"/>
      <c r="L137" s="42"/>
      <c r="M137" s="42"/>
      <c r="N137" s="42"/>
      <c r="O137" s="43"/>
    </row>
    <row r="138" spans="1:15" ht="21.75" customHeight="1" x14ac:dyDescent="0.2">
      <c r="A138" s="158" t="s">
        <v>312</v>
      </c>
      <c r="B138" s="360">
        <f>B30</f>
        <v>66.010000000000005</v>
      </c>
      <c r="C138" s="370">
        <f>G30</f>
        <v>1.87</v>
      </c>
      <c r="D138" s="420">
        <f t="shared" si="13"/>
        <v>123.44</v>
      </c>
      <c r="E138" s="411"/>
      <c r="F138" s="411"/>
      <c r="G138" s="411"/>
      <c r="H138" s="411"/>
      <c r="I138" s="411"/>
      <c r="J138" s="411"/>
      <c r="K138" s="411"/>
      <c r="L138" s="42"/>
      <c r="M138" s="42"/>
      <c r="N138" s="42"/>
      <c r="O138" s="43"/>
    </row>
    <row r="139" spans="1:15" ht="21.75" customHeight="1" x14ac:dyDescent="0.2">
      <c r="A139" s="158" t="str">
        <f>A31</f>
        <v>600 (PV4-PV5)</v>
      </c>
      <c r="B139" s="360">
        <f>B31</f>
        <v>89.81</v>
      </c>
      <c r="C139" s="370">
        <f>G31</f>
        <v>2.15</v>
      </c>
      <c r="D139" s="420">
        <f t="shared" si="13"/>
        <v>193.09</v>
      </c>
      <c r="E139" s="479"/>
      <c r="F139" s="479"/>
      <c r="G139" s="479"/>
      <c r="H139" s="479"/>
      <c r="I139" s="479"/>
      <c r="J139" s="479"/>
      <c r="K139" s="479"/>
      <c r="L139" s="42"/>
      <c r="M139" s="42"/>
      <c r="N139" s="42"/>
      <c r="O139" s="43"/>
    </row>
    <row r="140" spans="1:15" ht="21.75" customHeight="1" x14ac:dyDescent="0.2">
      <c r="A140" s="158" t="str">
        <f>A32</f>
        <v>600 (PV5-PV6)</v>
      </c>
      <c r="B140" s="360">
        <f>B32</f>
        <v>35.26</v>
      </c>
      <c r="C140" s="370">
        <f>G32</f>
        <v>2.4</v>
      </c>
      <c r="D140" s="420">
        <f t="shared" si="13"/>
        <v>84.62</v>
      </c>
      <c r="E140" s="479"/>
      <c r="F140" s="479"/>
      <c r="G140" s="479"/>
      <c r="H140" s="479"/>
      <c r="I140" s="479"/>
      <c r="J140" s="479"/>
      <c r="K140" s="479"/>
      <c r="L140" s="42"/>
      <c r="M140" s="42"/>
      <c r="N140" s="42"/>
      <c r="O140" s="43"/>
    </row>
    <row r="141" spans="1:15" ht="27.75" customHeight="1" x14ac:dyDescent="0.2">
      <c r="A141" s="326" t="s">
        <v>33</v>
      </c>
      <c r="B141" s="340">
        <f>SUM(B136:B140)</f>
        <v>323.10000000000002</v>
      </c>
      <c r="C141" s="340"/>
      <c r="D141" s="421">
        <f>SUM(D136:D140)</f>
        <v>595.22</v>
      </c>
      <c r="E141" s="411"/>
      <c r="F141" s="411"/>
      <c r="G141" s="411"/>
      <c r="H141" s="411"/>
      <c r="I141" s="411"/>
      <c r="J141" s="411"/>
      <c r="K141" s="411"/>
      <c r="L141" s="42"/>
      <c r="M141" s="42"/>
      <c r="N141" s="42"/>
      <c r="O141" s="43"/>
    </row>
    <row r="142" spans="1:15" ht="27.75" customHeight="1" x14ac:dyDescent="0.2">
      <c r="A142" s="371"/>
      <c r="B142" s="164"/>
      <c r="C142" s="411"/>
      <c r="D142" s="411"/>
      <c r="E142" s="411"/>
      <c r="F142" s="411"/>
      <c r="G142" s="411"/>
      <c r="H142" s="411"/>
      <c r="I142" s="411"/>
      <c r="J142" s="411"/>
      <c r="K142" s="411"/>
      <c r="L142" s="42"/>
      <c r="M142" s="42"/>
      <c r="N142" s="42"/>
      <c r="O142" s="43"/>
    </row>
    <row r="143" spans="1:15" ht="27.75" customHeight="1" x14ac:dyDescent="0.2">
      <c r="A143" s="158" t="s">
        <v>180</v>
      </c>
      <c r="B143" s="363" t="s">
        <v>423</v>
      </c>
      <c r="C143" s="363" t="s">
        <v>417</v>
      </c>
      <c r="D143" s="363" t="s">
        <v>424</v>
      </c>
      <c r="E143" s="411"/>
      <c r="F143" s="411"/>
      <c r="G143" s="411"/>
      <c r="H143" s="411"/>
      <c r="I143" s="411"/>
      <c r="J143" s="411"/>
      <c r="K143" s="411"/>
      <c r="L143" s="42"/>
      <c r="M143" s="42"/>
      <c r="N143" s="42"/>
      <c r="O143" s="43"/>
    </row>
    <row r="144" spans="1:15" ht="27.75" customHeight="1" x14ac:dyDescent="0.2">
      <c r="A144" s="158">
        <v>400</v>
      </c>
      <c r="B144" s="161">
        <v>216</v>
      </c>
      <c r="C144" s="161">
        <f>0.48+0.2+0.2</f>
        <v>0.88</v>
      </c>
      <c r="D144" s="420">
        <f>B144*C144</f>
        <v>190.08</v>
      </c>
      <c r="E144" s="411"/>
      <c r="F144" s="411"/>
      <c r="G144" s="411"/>
      <c r="H144" s="411"/>
      <c r="I144" s="411"/>
      <c r="J144" s="411"/>
      <c r="K144" s="411"/>
      <c r="L144" s="42"/>
      <c r="M144" s="42"/>
      <c r="N144" s="42"/>
      <c r="O144" s="43"/>
    </row>
    <row r="145" spans="1:15" ht="27.75" customHeight="1" x14ac:dyDescent="0.2">
      <c r="A145" s="418" t="s">
        <v>9</v>
      </c>
      <c r="B145" s="419">
        <f>SUM(B142:B144)</f>
        <v>216</v>
      </c>
      <c r="C145" s="422">
        <f>C144</f>
        <v>0.88</v>
      </c>
      <c r="D145" s="421">
        <f>D144</f>
        <v>190.08</v>
      </c>
      <c r="E145" s="411"/>
      <c r="F145" s="411"/>
      <c r="G145" s="411"/>
      <c r="H145" s="411"/>
      <c r="I145" s="411"/>
      <c r="J145" s="411"/>
      <c r="K145" s="411"/>
      <c r="L145" s="42"/>
      <c r="M145" s="42"/>
      <c r="N145" s="42"/>
      <c r="O145" s="43"/>
    </row>
    <row r="146" spans="1:15" ht="31.5" customHeight="1" x14ac:dyDescent="0.2">
      <c r="A146" s="371"/>
      <c r="B146" s="164"/>
      <c r="C146" s="411"/>
      <c r="D146" s="411"/>
      <c r="E146" s="411"/>
      <c r="F146" s="411"/>
      <c r="G146" s="411"/>
      <c r="H146" s="411"/>
      <c r="I146" s="411"/>
      <c r="J146" s="411"/>
      <c r="K146" s="411"/>
      <c r="L146" s="42"/>
      <c r="M146" s="42"/>
      <c r="N146" s="42"/>
      <c r="O146" s="43"/>
    </row>
    <row r="147" spans="1:15" ht="34.5" customHeight="1" x14ac:dyDescent="0.2">
      <c r="A147" s="423" t="s">
        <v>425</v>
      </c>
      <c r="B147" s="345">
        <f>D141+D145</f>
        <v>785.3</v>
      </c>
      <c r="C147" s="381" t="s">
        <v>323</v>
      </c>
      <c r="D147" s="411"/>
      <c r="E147" s="411"/>
      <c r="F147" s="411"/>
      <c r="G147" s="163"/>
      <c r="H147" s="167"/>
      <c r="I147" s="411"/>
      <c r="J147" s="411"/>
      <c r="K147" s="411"/>
      <c r="L147" s="42"/>
      <c r="M147" s="42"/>
      <c r="N147" s="42"/>
      <c r="O147" s="43"/>
    </row>
    <row r="148" spans="1:15" ht="32.25" customHeight="1" x14ac:dyDescent="0.2">
      <c r="A148" s="371"/>
      <c r="B148" s="411"/>
      <c r="C148" s="411"/>
      <c r="D148" s="411"/>
      <c r="E148" s="165"/>
      <c r="F148" s="411"/>
      <c r="G148" s="411"/>
      <c r="H148" s="165"/>
      <c r="I148" s="411"/>
      <c r="J148" s="411"/>
      <c r="K148" s="411"/>
      <c r="L148" s="42"/>
      <c r="M148" s="42"/>
      <c r="N148" s="42"/>
      <c r="O148" s="43"/>
    </row>
    <row r="149" spans="1:15" ht="29.25" customHeight="1" x14ac:dyDescent="0.2">
      <c r="A149" s="423" t="s">
        <v>426</v>
      </c>
      <c r="B149" s="345">
        <f>B147/3</f>
        <v>261.77</v>
      </c>
      <c r="C149" s="381" t="s">
        <v>323</v>
      </c>
      <c r="D149" s="411"/>
      <c r="E149" s="165"/>
      <c r="F149" s="411"/>
      <c r="G149" s="411"/>
      <c r="H149" s="165"/>
      <c r="I149" s="411"/>
      <c r="J149" s="411"/>
      <c r="K149" s="411"/>
      <c r="L149" s="42"/>
      <c r="M149" s="42"/>
      <c r="N149" s="42"/>
      <c r="O149" s="43"/>
    </row>
    <row r="150" spans="1:15" x14ac:dyDescent="0.2">
      <c r="A150" s="371"/>
      <c r="B150" s="411"/>
      <c r="C150" s="411"/>
      <c r="D150" s="411"/>
      <c r="E150" s="165"/>
      <c r="F150" s="411"/>
      <c r="G150" s="411"/>
      <c r="H150" s="165"/>
      <c r="I150" s="411"/>
      <c r="J150" s="346"/>
      <c r="K150" s="346"/>
      <c r="L150" s="42"/>
      <c r="M150" s="42"/>
      <c r="N150" s="42"/>
      <c r="O150" s="43"/>
    </row>
    <row r="151" spans="1:15" x14ac:dyDescent="0.2">
      <c r="A151" s="371"/>
      <c r="B151" s="411"/>
      <c r="C151" s="411"/>
      <c r="D151" s="411"/>
      <c r="E151" s="165"/>
      <c r="F151" s="411"/>
      <c r="G151" s="411"/>
      <c r="H151" s="165"/>
      <c r="I151" s="411"/>
      <c r="J151" s="346"/>
      <c r="K151" s="346"/>
      <c r="L151" s="42"/>
      <c r="M151" s="42"/>
      <c r="N151" s="42"/>
      <c r="O151" s="43"/>
    </row>
    <row r="152" spans="1:15" ht="24" customHeight="1" x14ac:dyDescent="0.2">
      <c r="A152" s="371" t="s">
        <v>418</v>
      </c>
      <c r="B152" s="586" t="str">
        <f>'Planilha Final'!D41</f>
        <v>Escoramento de vala tipo pontaleteamento, com profundidade de 1,5 a 3,0 m, largura maior ou igual a que 1,5 m, e menor que 2,5m. AF_08/2020.(Reaproveitamento 3x)</v>
      </c>
      <c r="C152" s="586"/>
      <c r="D152" s="586"/>
      <c r="E152" s="586"/>
      <c r="F152" s="586"/>
      <c r="G152" s="586"/>
      <c r="H152" s="586"/>
      <c r="I152" s="411"/>
      <c r="J152" s="346"/>
      <c r="K152" s="346"/>
      <c r="L152" s="42"/>
      <c r="M152" s="42"/>
      <c r="N152" s="42"/>
      <c r="O152" s="43"/>
    </row>
    <row r="153" spans="1:15" x14ac:dyDescent="0.2">
      <c r="A153" s="371"/>
      <c r="B153" s="411"/>
      <c r="C153" s="411"/>
      <c r="D153" s="411"/>
      <c r="E153" s="165"/>
      <c r="F153" s="411"/>
      <c r="G153" s="411"/>
      <c r="H153" s="165"/>
      <c r="I153" s="411"/>
      <c r="J153" s="346"/>
      <c r="K153" s="346"/>
      <c r="L153" s="42"/>
      <c r="M153" s="42"/>
      <c r="N153" s="42"/>
      <c r="O153" s="43"/>
    </row>
    <row r="154" spans="1:15" x14ac:dyDescent="0.2">
      <c r="A154" s="326" t="s">
        <v>180</v>
      </c>
      <c r="B154" s="402" t="s">
        <v>116</v>
      </c>
      <c r="C154" s="327" t="s">
        <v>436</v>
      </c>
      <c r="D154" s="363" t="s">
        <v>424</v>
      </c>
      <c r="E154" s="165"/>
      <c r="F154" s="411"/>
      <c r="G154" s="411"/>
      <c r="H154" s="165"/>
      <c r="I154" s="411"/>
      <c r="J154" s="346"/>
      <c r="K154" s="346"/>
      <c r="L154" s="42"/>
      <c r="M154" s="42"/>
      <c r="N154" s="42"/>
      <c r="O154" s="43"/>
    </row>
    <row r="155" spans="1:15" x14ac:dyDescent="0.2">
      <c r="A155" s="158" t="str">
        <f>A36</f>
        <v>800 (PV6-PV7)</v>
      </c>
      <c r="B155" s="360">
        <f>B36</f>
        <v>59.58</v>
      </c>
      <c r="C155" s="370">
        <f>G36</f>
        <v>2.61</v>
      </c>
      <c r="D155" s="420">
        <f>B155*C155</f>
        <v>155.5</v>
      </c>
      <c r="E155" s="165"/>
      <c r="F155" s="411"/>
      <c r="G155" s="411"/>
      <c r="H155" s="165"/>
      <c r="I155" s="411"/>
      <c r="J155" s="346"/>
      <c r="K155" s="346"/>
      <c r="L155" s="42"/>
      <c r="M155" s="42"/>
      <c r="N155" s="42"/>
      <c r="O155" s="43"/>
    </row>
    <row r="156" spans="1:15" x14ac:dyDescent="0.2">
      <c r="A156" s="158" t="str">
        <f>A37</f>
        <v>800 (PV7-PV8)</v>
      </c>
      <c r="B156" s="360">
        <f>B37</f>
        <v>64.47</v>
      </c>
      <c r="C156" s="370">
        <f>G37</f>
        <v>2.94</v>
      </c>
      <c r="D156" s="420">
        <f t="shared" ref="D156" si="14">B156*C156</f>
        <v>189.54</v>
      </c>
      <c r="E156" s="165"/>
      <c r="F156" s="411"/>
      <c r="G156" s="411"/>
      <c r="H156" s="165"/>
      <c r="I156" s="411"/>
      <c r="J156" s="346"/>
      <c r="K156" s="346"/>
      <c r="L156" s="42"/>
      <c r="M156" s="42"/>
      <c r="N156" s="42"/>
      <c r="O156" s="43"/>
    </row>
    <row r="157" spans="1:15" x14ac:dyDescent="0.2">
      <c r="A157" s="310" t="s">
        <v>33</v>
      </c>
      <c r="B157" s="313">
        <f>SUM(B155:B156)</f>
        <v>124.1</v>
      </c>
      <c r="C157" s="418">
        <f>(SUM(C155:C156))/2</f>
        <v>2.78</v>
      </c>
      <c r="D157" s="421">
        <f>SUM(D155:D156)</f>
        <v>345.04</v>
      </c>
      <c r="E157" s="165"/>
      <c r="F157" s="411"/>
      <c r="G157" s="411"/>
      <c r="H157" s="165"/>
      <c r="I157" s="411"/>
      <c r="J157" s="346"/>
      <c r="K157" s="346"/>
      <c r="L157" s="42"/>
      <c r="M157" s="42"/>
      <c r="N157" s="42"/>
      <c r="O157" s="43"/>
    </row>
    <row r="158" spans="1:15" x14ac:dyDescent="0.2">
      <c r="A158" s="158"/>
      <c r="B158" s="159"/>
      <c r="C158" s="20"/>
      <c r="D158" s="411"/>
      <c r="E158" s="165"/>
      <c r="F158" s="411"/>
      <c r="G158" s="411"/>
      <c r="H158" s="165"/>
      <c r="I158" s="411"/>
      <c r="J158" s="346"/>
      <c r="K158" s="346"/>
      <c r="L158" s="42"/>
      <c r="M158" s="42"/>
      <c r="N158" s="42"/>
      <c r="O158" s="43"/>
    </row>
    <row r="159" spans="1:15" x14ac:dyDescent="0.2">
      <c r="A159" s="326" t="s">
        <v>180</v>
      </c>
      <c r="B159" s="402" t="s">
        <v>116</v>
      </c>
      <c r="C159" s="327" t="s">
        <v>436</v>
      </c>
      <c r="D159" s="363" t="s">
        <v>424</v>
      </c>
      <c r="E159" s="165"/>
      <c r="F159" s="411"/>
      <c r="G159" s="411"/>
      <c r="H159" s="165"/>
      <c r="I159" s="411"/>
      <c r="J159" s="346"/>
      <c r="K159" s="346"/>
      <c r="L159" s="42"/>
      <c r="M159" s="42"/>
      <c r="N159" s="42"/>
      <c r="O159" s="43"/>
    </row>
    <row r="160" spans="1:15" x14ac:dyDescent="0.2">
      <c r="A160" s="158" t="str">
        <f t="shared" ref="A160:B163" si="15">A41</f>
        <v>1200 (PV10-PV11)</v>
      </c>
      <c r="B160" s="360">
        <f t="shared" si="15"/>
        <v>74.13</v>
      </c>
      <c r="C160" s="428">
        <f>G41</f>
        <v>2.73</v>
      </c>
      <c r="D160" s="420">
        <f>B160*C160</f>
        <v>202.37</v>
      </c>
      <c r="E160" s="165"/>
      <c r="F160" s="411"/>
      <c r="G160" s="411"/>
      <c r="H160" s="165"/>
      <c r="I160" s="411"/>
      <c r="J160" s="346"/>
      <c r="K160" s="346"/>
      <c r="L160" s="42"/>
      <c r="M160" s="42"/>
      <c r="N160" s="42"/>
      <c r="O160" s="43"/>
    </row>
    <row r="161" spans="1:15" x14ac:dyDescent="0.2">
      <c r="A161" s="158" t="str">
        <f t="shared" si="15"/>
        <v>1200 (PV11-PV12)</v>
      </c>
      <c r="B161" s="360">
        <f t="shared" si="15"/>
        <v>74.03</v>
      </c>
      <c r="C161" s="428">
        <f>G42</f>
        <v>2.29</v>
      </c>
      <c r="D161" s="420">
        <f t="shared" ref="D161:D163" si="16">B161*C161</f>
        <v>169.53</v>
      </c>
      <c r="E161" s="165"/>
      <c r="F161" s="411"/>
      <c r="G161" s="411"/>
      <c r="H161" s="165"/>
      <c r="I161" s="411"/>
      <c r="J161" s="346"/>
      <c r="K161" s="346"/>
      <c r="L161" s="42"/>
      <c r="M161" s="42"/>
      <c r="N161" s="42"/>
      <c r="O161" s="43"/>
    </row>
    <row r="162" spans="1:15" x14ac:dyDescent="0.2">
      <c r="A162" s="158" t="str">
        <f t="shared" si="15"/>
        <v>1200 (PV12-PV13)</v>
      </c>
      <c r="B162" s="360">
        <f t="shared" si="15"/>
        <v>74.03</v>
      </c>
      <c r="C162" s="428">
        <f>G43</f>
        <v>2.67</v>
      </c>
      <c r="D162" s="420">
        <f t="shared" si="16"/>
        <v>197.66</v>
      </c>
      <c r="E162" s="165"/>
      <c r="F162" s="411"/>
      <c r="G162" s="411"/>
      <c r="H162" s="165"/>
      <c r="I162" s="411"/>
      <c r="J162" s="346"/>
      <c r="K162" s="346"/>
      <c r="L162" s="42"/>
      <c r="M162" s="42"/>
      <c r="N162" s="42"/>
      <c r="O162" s="43"/>
    </row>
    <row r="163" spans="1:15" x14ac:dyDescent="0.2">
      <c r="A163" s="158" t="str">
        <f t="shared" si="15"/>
        <v>1200 (PV13-PVL1)</v>
      </c>
      <c r="B163" s="483">
        <f t="shared" si="15"/>
        <v>100</v>
      </c>
      <c r="C163" s="428">
        <f>G44</f>
        <v>2.42</v>
      </c>
      <c r="D163" s="420">
        <f t="shared" si="16"/>
        <v>242</v>
      </c>
      <c r="E163" s="165"/>
      <c r="F163" s="479"/>
      <c r="G163" s="479"/>
      <c r="H163" s="165"/>
      <c r="I163" s="479"/>
      <c r="J163" s="346"/>
      <c r="K163" s="346"/>
      <c r="L163" s="42"/>
      <c r="M163" s="42"/>
      <c r="N163" s="42"/>
      <c r="O163" s="43"/>
    </row>
    <row r="164" spans="1:15" x14ac:dyDescent="0.2">
      <c r="A164" s="326" t="s">
        <v>33</v>
      </c>
      <c r="B164" s="340">
        <f>SUM(B160:B163)</f>
        <v>322.2</v>
      </c>
      <c r="C164" s="418">
        <f>(C160+C161+C162)/4</f>
        <v>1.92</v>
      </c>
      <c r="D164" s="424">
        <f>SUM(D160:D163)</f>
        <v>811.56</v>
      </c>
      <c r="E164" s="165"/>
      <c r="F164" s="411"/>
      <c r="G164" s="411"/>
      <c r="H164" s="165"/>
      <c r="I164" s="411"/>
      <c r="J164" s="346"/>
      <c r="K164" s="346"/>
      <c r="L164" s="42"/>
      <c r="M164" s="42"/>
      <c r="N164" s="42"/>
      <c r="O164" s="43"/>
    </row>
    <row r="165" spans="1:15" x14ac:dyDescent="0.2">
      <c r="A165" s="371"/>
      <c r="B165" s="411"/>
      <c r="C165" s="411"/>
      <c r="D165" s="425"/>
      <c r="E165" s="165"/>
      <c r="F165" s="411"/>
      <c r="G165" s="411"/>
      <c r="H165" s="165"/>
      <c r="I165" s="411"/>
      <c r="J165" s="346"/>
      <c r="K165" s="346"/>
      <c r="L165" s="42"/>
      <c r="M165" s="42"/>
      <c r="N165" s="42"/>
      <c r="O165" s="43"/>
    </row>
    <row r="166" spans="1:15" ht="25.5" x14ac:dyDescent="0.2">
      <c r="A166" s="423" t="s">
        <v>425</v>
      </c>
      <c r="B166" s="345">
        <f>D157+D164</f>
        <v>1156.5999999999999</v>
      </c>
      <c r="C166" s="381" t="s">
        <v>323</v>
      </c>
      <c r="D166" s="413"/>
      <c r="E166" s="165"/>
      <c r="F166" s="411"/>
      <c r="G166" s="411"/>
      <c r="H166" s="165"/>
      <c r="I166" s="411"/>
      <c r="J166" s="346"/>
      <c r="K166" s="346"/>
      <c r="L166" s="42"/>
      <c r="M166" s="42"/>
      <c r="N166" s="42"/>
      <c r="O166" s="43"/>
    </row>
    <row r="167" spans="1:15" x14ac:dyDescent="0.2">
      <c r="A167" s="371"/>
      <c r="B167" s="411"/>
      <c r="C167" s="411"/>
      <c r="D167" s="411"/>
      <c r="E167" s="165"/>
      <c r="F167" s="411"/>
      <c r="G167" s="411"/>
      <c r="H167" s="165"/>
      <c r="I167" s="411"/>
      <c r="J167" s="346"/>
      <c r="K167" s="346"/>
      <c r="L167" s="42"/>
      <c r="M167" s="42"/>
      <c r="N167" s="42"/>
      <c r="O167" s="43"/>
    </row>
    <row r="168" spans="1:15" ht="25.5" x14ac:dyDescent="0.2">
      <c r="A168" s="423" t="s">
        <v>426</v>
      </c>
      <c r="B168" s="345">
        <f>B166/3</f>
        <v>385.53</v>
      </c>
      <c r="C168" s="381" t="s">
        <v>323</v>
      </c>
      <c r="D168" s="411"/>
      <c r="E168" s="165"/>
      <c r="F168" s="411"/>
      <c r="G168" s="411"/>
      <c r="H168" s="165"/>
      <c r="I168" s="411"/>
      <c r="J168" s="346"/>
      <c r="K168" s="346"/>
      <c r="L168" s="42"/>
      <c r="M168" s="42"/>
      <c r="N168" s="42"/>
      <c r="O168" s="43"/>
    </row>
    <row r="169" spans="1:15" x14ac:dyDescent="0.2">
      <c r="A169" s="371"/>
      <c r="B169" s="411"/>
      <c r="C169" s="411"/>
      <c r="D169" s="411"/>
      <c r="E169" s="165"/>
      <c r="F169" s="411"/>
      <c r="G169" s="411"/>
      <c r="H169" s="165"/>
      <c r="I169" s="411"/>
      <c r="J169" s="346"/>
      <c r="K169" s="346"/>
      <c r="L169" s="42"/>
      <c r="M169" s="42"/>
      <c r="N169" s="42"/>
      <c r="O169" s="43"/>
    </row>
    <row r="170" spans="1:15" x14ac:dyDescent="0.2">
      <c r="A170" s="371"/>
      <c r="B170" s="411"/>
      <c r="C170" s="411"/>
      <c r="D170" s="411"/>
      <c r="E170" s="165"/>
      <c r="F170" s="411"/>
      <c r="G170" s="411"/>
      <c r="H170" s="165"/>
      <c r="I170" s="411"/>
      <c r="J170" s="346"/>
      <c r="K170" s="346"/>
      <c r="L170" s="42"/>
      <c r="M170" s="42"/>
      <c r="N170" s="42"/>
      <c r="O170" s="43"/>
    </row>
    <row r="171" spans="1:15" ht="24" customHeight="1" x14ac:dyDescent="0.2">
      <c r="A171" s="371" t="s">
        <v>419</v>
      </c>
      <c r="B171" s="586" t="str">
        <f>'Planilha Final'!D42</f>
        <v>Escoramento de vala tipo pontaleteamento, com profundidade de 3,0 a 4,5 m, largura maior ou igual a que 1,5 m, e menor que 2,5m. AF_08/2020.(Reaproveitamento 3x)</v>
      </c>
      <c r="C171" s="586"/>
      <c r="D171" s="586"/>
      <c r="E171" s="586"/>
      <c r="F171" s="586"/>
      <c r="G171" s="586"/>
      <c r="H171" s="586"/>
      <c r="I171" s="411"/>
      <c r="J171" s="346"/>
      <c r="K171" s="346"/>
      <c r="L171" s="42"/>
      <c r="M171" s="42"/>
      <c r="N171" s="42"/>
      <c r="O171" s="43"/>
    </row>
    <row r="172" spans="1:15" x14ac:dyDescent="0.2">
      <c r="A172" s="371"/>
      <c r="B172" s="411"/>
      <c r="C172" s="411"/>
      <c r="D172" s="411"/>
      <c r="E172" s="165"/>
      <c r="F172" s="411"/>
      <c r="G172" s="411"/>
      <c r="H172" s="165"/>
      <c r="I172" s="411"/>
      <c r="J172" s="346"/>
      <c r="K172" s="346"/>
      <c r="L172" s="42"/>
      <c r="M172" s="42"/>
      <c r="N172" s="42"/>
      <c r="O172" s="43"/>
    </row>
    <row r="173" spans="1:15" x14ac:dyDescent="0.2">
      <c r="A173" s="158" t="s">
        <v>180</v>
      </c>
      <c r="B173" s="360" t="s">
        <v>116</v>
      </c>
      <c r="C173" s="362" t="s">
        <v>434</v>
      </c>
      <c r="D173" s="363" t="s">
        <v>424</v>
      </c>
      <c r="E173" s="165"/>
      <c r="F173" s="411"/>
      <c r="G173" s="411"/>
      <c r="H173" s="165"/>
      <c r="I173" s="411"/>
      <c r="J173" s="346"/>
      <c r="K173" s="346"/>
      <c r="L173" s="42"/>
      <c r="M173" s="42"/>
      <c r="N173" s="42"/>
      <c r="O173" s="43"/>
    </row>
    <row r="174" spans="1:15" x14ac:dyDescent="0.2">
      <c r="A174" s="158" t="str">
        <f>A54</f>
        <v>800 (PV8-PV9)</v>
      </c>
      <c r="B174" s="356">
        <f>B54</f>
        <v>53.08</v>
      </c>
      <c r="C174" s="356">
        <f>G54</f>
        <v>3.1</v>
      </c>
      <c r="D174" s="420">
        <f>B174*C174</f>
        <v>164.55</v>
      </c>
      <c r="E174" s="165"/>
      <c r="F174" s="411"/>
      <c r="G174" s="411"/>
      <c r="H174" s="165"/>
      <c r="I174" s="411"/>
      <c r="J174" s="346"/>
      <c r="K174" s="346"/>
      <c r="L174" s="42"/>
      <c r="M174" s="42"/>
      <c r="N174" s="42"/>
      <c r="O174" s="43"/>
    </row>
    <row r="175" spans="1:15" x14ac:dyDescent="0.2">
      <c r="A175" s="158" t="str">
        <f>A55</f>
        <v>1200 (PV9-PV10)</v>
      </c>
      <c r="B175" s="356">
        <f>B55</f>
        <v>74.12</v>
      </c>
      <c r="C175" s="356">
        <f>G55</f>
        <v>3.23</v>
      </c>
      <c r="D175" s="420">
        <f t="shared" ref="D175" si="17">B175*C175</f>
        <v>239.41</v>
      </c>
      <c r="E175" s="165"/>
      <c r="F175" s="411"/>
      <c r="G175" s="411"/>
      <c r="H175" s="165"/>
      <c r="I175" s="411"/>
      <c r="J175" s="346"/>
      <c r="K175" s="346"/>
      <c r="L175" s="42"/>
      <c r="M175" s="42"/>
      <c r="N175" s="42"/>
      <c r="O175" s="43"/>
    </row>
    <row r="176" spans="1:15" x14ac:dyDescent="0.2">
      <c r="A176" s="326" t="s">
        <v>33</v>
      </c>
      <c r="B176" s="340">
        <f>SUM(B174:B175)</f>
        <v>127.2</v>
      </c>
      <c r="C176" s="484">
        <f>(C174+C175)/2</f>
        <v>3.17</v>
      </c>
      <c r="D176" s="424">
        <f>SUM(D174:D175)</f>
        <v>403.96</v>
      </c>
      <c r="E176" s="165"/>
      <c r="F176" s="411"/>
      <c r="G176" s="411"/>
      <c r="H176" s="165"/>
      <c r="I176" s="411"/>
      <c r="J176" s="346"/>
      <c r="K176" s="346"/>
      <c r="L176" s="42"/>
      <c r="M176" s="42"/>
      <c r="N176" s="42"/>
      <c r="O176" s="43"/>
    </row>
    <row r="177" spans="1:15" x14ac:dyDescent="0.2">
      <c r="A177" s="371"/>
      <c r="B177" s="314"/>
      <c r="C177" s="411"/>
      <c r="D177" s="411"/>
      <c r="E177" s="165"/>
      <c r="F177" s="411"/>
      <c r="G177" s="411"/>
      <c r="H177" s="165"/>
      <c r="I177" s="411"/>
      <c r="J177" s="346"/>
      <c r="K177" s="346"/>
      <c r="L177" s="42"/>
      <c r="M177" s="42"/>
      <c r="N177" s="42"/>
      <c r="O177" s="43"/>
    </row>
    <row r="178" spans="1:15" ht="25.5" x14ac:dyDescent="0.2">
      <c r="A178" s="423" t="s">
        <v>425</v>
      </c>
      <c r="B178" s="345">
        <f>D176</f>
        <v>403.96</v>
      </c>
      <c r="C178" s="381" t="s">
        <v>323</v>
      </c>
      <c r="D178" s="411"/>
      <c r="E178" s="165"/>
      <c r="F178" s="411"/>
      <c r="G178" s="411"/>
      <c r="H178" s="165"/>
      <c r="I178" s="411"/>
      <c r="J178" s="346"/>
      <c r="K178" s="346"/>
      <c r="L178" s="42"/>
      <c r="M178" s="42"/>
      <c r="N178" s="42"/>
      <c r="O178" s="43"/>
    </row>
    <row r="179" spans="1:15" x14ac:dyDescent="0.2">
      <c r="A179" s="371"/>
      <c r="B179" s="411"/>
      <c r="C179" s="411"/>
      <c r="D179" s="411"/>
      <c r="E179" s="165"/>
      <c r="F179" s="411"/>
      <c r="G179" s="411"/>
      <c r="H179" s="165"/>
      <c r="I179" s="411"/>
      <c r="J179" s="346"/>
      <c r="K179" s="346"/>
      <c r="L179" s="42"/>
      <c r="M179" s="42"/>
      <c r="N179" s="42"/>
      <c r="O179" s="43"/>
    </row>
    <row r="180" spans="1:15" ht="25.5" x14ac:dyDescent="0.2">
      <c r="A180" s="423" t="s">
        <v>426</v>
      </c>
      <c r="B180" s="345">
        <f>B178/3</f>
        <v>134.65</v>
      </c>
      <c r="C180" s="381" t="s">
        <v>323</v>
      </c>
      <c r="D180" s="411"/>
      <c r="E180" s="165"/>
      <c r="F180" s="411"/>
      <c r="G180" s="411"/>
      <c r="H180" s="165"/>
      <c r="I180" s="411"/>
      <c r="J180" s="346"/>
      <c r="K180" s="346"/>
      <c r="L180" s="42"/>
      <c r="M180" s="42"/>
      <c r="N180" s="42"/>
      <c r="O180" s="43"/>
    </row>
    <row r="181" spans="1:15" x14ac:dyDescent="0.2">
      <c r="A181" s="371"/>
      <c r="B181" s="411"/>
      <c r="C181" s="411"/>
      <c r="D181" s="411"/>
      <c r="E181" s="165"/>
      <c r="F181" s="411"/>
      <c r="G181" s="411"/>
      <c r="H181" s="165"/>
      <c r="I181" s="411"/>
      <c r="J181" s="346"/>
      <c r="K181" s="346"/>
      <c r="L181" s="42"/>
      <c r="M181" s="42"/>
      <c r="N181" s="42"/>
      <c r="O181" s="43"/>
    </row>
    <row r="182" spans="1:15" x14ac:dyDescent="0.2">
      <c r="A182" s="371"/>
      <c r="B182" s="411"/>
      <c r="C182" s="411"/>
      <c r="D182" s="411"/>
      <c r="E182" s="165"/>
      <c r="F182" s="411"/>
      <c r="G182" s="411"/>
      <c r="H182" s="165"/>
      <c r="I182" s="411"/>
      <c r="J182" s="346"/>
      <c r="K182" s="346"/>
      <c r="L182" s="42"/>
      <c r="M182" s="42"/>
      <c r="N182" s="42"/>
      <c r="O182" s="43"/>
    </row>
    <row r="183" spans="1:15" x14ac:dyDescent="0.2">
      <c r="A183" s="371"/>
      <c r="B183" s="411"/>
      <c r="C183" s="411"/>
      <c r="D183" s="411"/>
      <c r="E183" s="165"/>
      <c r="F183" s="411"/>
      <c r="G183" s="411"/>
      <c r="H183" s="165"/>
      <c r="I183" s="411"/>
      <c r="J183" s="346"/>
      <c r="K183" s="346"/>
      <c r="L183" s="42"/>
      <c r="M183" s="42"/>
      <c r="N183" s="42"/>
      <c r="O183" s="43"/>
    </row>
    <row r="184" spans="1:15" ht="14.25" customHeight="1" x14ac:dyDescent="0.2">
      <c r="A184" s="393" t="s">
        <v>337</v>
      </c>
      <c r="B184" s="592" t="s">
        <v>336</v>
      </c>
      <c r="C184" s="592"/>
      <c r="D184" s="592"/>
      <c r="E184" s="592"/>
      <c r="F184" s="592"/>
      <c r="G184" s="592"/>
      <c r="H184" s="592"/>
      <c r="I184" s="592"/>
      <c r="J184" s="346"/>
      <c r="K184" s="346"/>
      <c r="L184" s="42"/>
      <c r="M184" s="42"/>
      <c r="N184" s="42"/>
      <c r="O184" s="43"/>
    </row>
    <row r="185" spans="1:15" x14ac:dyDescent="0.2">
      <c r="A185" s="371"/>
      <c r="B185" s="411"/>
      <c r="C185" s="411"/>
      <c r="D185" s="411"/>
      <c r="E185" s="165"/>
      <c r="F185" s="411"/>
      <c r="G185" s="411"/>
      <c r="H185" s="165"/>
      <c r="I185" s="411"/>
      <c r="J185" s="346"/>
      <c r="K185" s="346"/>
      <c r="L185" s="42"/>
      <c r="M185" s="42"/>
      <c r="N185" s="42"/>
      <c r="O185" s="43"/>
    </row>
    <row r="186" spans="1:15" ht="45" customHeight="1" x14ac:dyDescent="0.2">
      <c r="A186" s="371" t="s">
        <v>43</v>
      </c>
      <c r="B186" s="586" t="str">
        <f>'Planilha Final'!D45</f>
        <v>Escavação mecanizada de vala com profundidade maior que 1,5m até 3,0 m (média entremontante e jusante/uma composição por trecho) com retro escavadeira (capacidade da caçamba da retro: 0,26m³/potência:88HP), largura menor que 0,8m, em solo de 1º categoria, locais com baixo nível de interferência. AF_02/2021.</v>
      </c>
      <c r="C186" s="586"/>
      <c r="D186" s="586"/>
      <c r="E186" s="586"/>
      <c r="F186" s="586"/>
      <c r="G186" s="586"/>
      <c r="H186" s="586"/>
      <c r="I186" s="346"/>
      <c r="J186" s="346"/>
      <c r="K186" s="346"/>
      <c r="L186" s="42"/>
      <c r="M186" s="42"/>
      <c r="N186" s="42"/>
      <c r="O186" s="43"/>
    </row>
    <row r="187" spans="1:15" x14ac:dyDescent="0.2">
      <c r="A187" s="371"/>
      <c r="B187" s="411"/>
      <c r="C187" s="411"/>
      <c r="D187" s="411"/>
      <c r="E187" s="165"/>
      <c r="F187" s="411"/>
      <c r="G187" s="411"/>
      <c r="H187" s="165"/>
      <c r="I187" s="411"/>
      <c r="J187" s="411"/>
      <c r="K187" s="411"/>
      <c r="L187" s="42"/>
      <c r="M187" s="42"/>
      <c r="N187" s="42"/>
      <c r="O187" s="43"/>
    </row>
    <row r="188" spans="1:15" ht="25.5" x14ac:dyDescent="0.2">
      <c r="A188" s="158" t="s">
        <v>341</v>
      </c>
      <c r="B188" s="356" t="s">
        <v>181</v>
      </c>
      <c r="C188" s="362" t="s">
        <v>338</v>
      </c>
      <c r="D188" s="362" t="s">
        <v>179</v>
      </c>
      <c r="E188" s="339" t="s">
        <v>347</v>
      </c>
      <c r="F188" s="305" t="s">
        <v>339</v>
      </c>
      <c r="H188" s="42"/>
      <c r="I188" s="42"/>
      <c r="J188" s="42"/>
      <c r="K188" s="42"/>
      <c r="L188" s="42"/>
      <c r="M188" s="42"/>
      <c r="N188" s="42"/>
      <c r="O188" s="43"/>
    </row>
    <row r="189" spans="1:15" x14ac:dyDescent="0.2">
      <c r="A189" s="158" t="s">
        <v>340</v>
      </c>
      <c r="B189" s="159">
        <v>1</v>
      </c>
      <c r="C189" s="362">
        <v>2.2000000000000002</v>
      </c>
      <c r="D189" s="364">
        <v>1.6</v>
      </c>
      <c r="E189" s="309">
        <v>1.45</v>
      </c>
      <c r="F189" s="306">
        <f>B189*C189*D189*E189</f>
        <v>5.0999999999999996</v>
      </c>
      <c r="H189" s="42"/>
      <c r="I189" s="42"/>
      <c r="J189" s="42"/>
      <c r="K189" s="42"/>
      <c r="L189" s="42"/>
      <c r="M189" s="42"/>
      <c r="N189" s="42"/>
      <c r="O189" s="43"/>
    </row>
    <row r="190" spans="1:15" x14ac:dyDescent="0.2">
      <c r="A190" s="158" t="s">
        <v>342</v>
      </c>
      <c r="B190" s="159">
        <v>1</v>
      </c>
      <c r="C190" s="362">
        <v>2.2000000000000002</v>
      </c>
      <c r="D190" s="364">
        <v>1.6</v>
      </c>
      <c r="E190" s="309">
        <v>1.63</v>
      </c>
      <c r="F190" s="306">
        <f t="shared" ref="F190:F198" si="18">B190*C190*D190*E190</f>
        <v>5.74</v>
      </c>
      <c r="H190" s="42"/>
      <c r="I190" s="42"/>
      <c r="J190" s="42"/>
      <c r="K190" s="42"/>
      <c r="L190" s="42"/>
      <c r="M190" s="42"/>
      <c r="N190" s="42"/>
      <c r="O190" s="43"/>
    </row>
    <row r="191" spans="1:15" x14ac:dyDescent="0.2">
      <c r="A191" s="158" t="s">
        <v>343</v>
      </c>
      <c r="B191" s="159">
        <v>1</v>
      </c>
      <c r="C191" s="362">
        <v>2.2000000000000002</v>
      </c>
      <c r="D191" s="364">
        <v>1.6</v>
      </c>
      <c r="E191" s="309">
        <v>1.82</v>
      </c>
      <c r="F191" s="306">
        <f t="shared" si="18"/>
        <v>6.41</v>
      </c>
      <c r="H191" s="42"/>
      <c r="I191" s="42"/>
      <c r="J191" s="42"/>
      <c r="K191" s="42"/>
      <c r="L191" s="42"/>
      <c r="M191" s="42"/>
      <c r="N191" s="42"/>
      <c r="O191" s="43"/>
    </row>
    <row r="192" spans="1:15" x14ac:dyDescent="0.2">
      <c r="A192" s="158" t="s">
        <v>344</v>
      </c>
      <c r="B192" s="159">
        <v>1</v>
      </c>
      <c r="C192" s="362">
        <v>2.2000000000000002</v>
      </c>
      <c r="D192" s="364">
        <v>1.6</v>
      </c>
      <c r="E192" s="309">
        <v>2</v>
      </c>
      <c r="F192" s="306">
        <f t="shared" si="18"/>
        <v>7.04</v>
      </c>
      <c r="H192" s="42"/>
      <c r="I192" s="42"/>
      <c r="J192" s="42"/>
      <c r="K192" s="42"/>
      <c r="L192" s="42"/>
      <c r="M192" s="42"/>
      <c r="N192" s="42"/>
      <c r="O192" s="43"/>
    </row>
    <row r="193" spans="1:15" x14ac:dyDescent="0.2">
      <c r="A193" s="158" t="s">
        <v>345</v>
      </c>
      <c r="B193" s="159">
        <v>1</v>
      </c>
      <c r="C193" s="362">
        <v>2.2000000000000002</v>
      </c>
      <c r="D193" s="364">
        <v>1.6</v>
      </c>
      <c r="E193" s="309">
        <v>2.35</v>
      </c>
      <c r="F193" s="306">
        <f t="shared" si="18"/>
        <v>8.27</v>
      </c>
      <c r="H193" s="42"/>
      <c r="I193" s="42"/>
      <c r="J193" s="42"/>
      <c r="K193" s="42"/>
      <c r="L193" s="42"/>
      <c r="M193" s="42"/>
      <c r="N193" s="42"/>
      <c r="O193" s="43"/>
    </row>
    <row r="194" spans="1:15" x14ac:dyDescent="0.2">
      <c r="A194" s="158" t="s">
        <v>346</v>
      </c>
      <c r="B194" s="159">
        <v>1</v>
      </c>
      <c r="C194" s="362">
        <v>2.2000000000000002</v>
      </c>
      <c r="D194" s="364">
        <v>1.6</v>
      </c>
      <c r="E194" s="309">
        <v>2.4500000000000002</v>
      </c>
      <c r="F194" s="306">
        <f t="shared" si="18"/>
        <v>8.6199999999999992</v>
      </c>
      <c r="H194" s="42"/>
      <c r="I194" s="42"/>
      <c r="J194" s="42"/>
      <c r="K194" s="42"/>
      <c r="L194" s="42"/>
      <c r="M194" s="42"/>
      <c r="N194" s="42"/>
      <c r="O194" s="43"/>
    </row>
    <row r="195" spans="1:15" x14ac:dyDescent="0.2">
      <c r="A195" s="158" t="s">
        <v>494</v>
      </c>
      <c r="B195" s="159">
        <v>1</v>
      </c>
      <c r="C195" s="362">
        <v>2.4</v>
      </c>
      <c r="D195" s="364">
        <v>1.6</v>
      </c>
      <c r="E195" s="309">
        <v>2.77</v>
      </c>
      <c r="F195" s="306">
        <f t="shared" si="18"/>
        <v>10.64</v>
      </c>
      <c r="H195" s="42"/>
      <c r="I195" s="42"/>
      <c r="J195" s="42"/>
      <c r="K195" s="42"/>
      <c r="L195" s="42"/>
      <c r="M195" s="42"/>
      <c r="N195" s="42"/>
      <c r="O195" s="43"/>
    </row>
    <row r="196" spans="1:15" x14ac:dyDescent="0.2">
      <c r="A196" s="158" t="s">
        <v>495</v>
      </c>
      <c r="B196" s="159">
        <v>1</v>
      </c>
      <c r="C196" s="362">
        <v>2.6</v>
      </c>
      <c r="D196" s="364">
        <v>1.6</v>
      </c>
      <c r="E196" s="309">
        <v>2.1</v>
      </c>
      <c r="F196" s="306">
        <f t="shared" si="18"/>
        <v>8.74</v>
      </c>
      <c r="H196" s="42"/>
      <c r="I196" s="42"/>
      <c r="J196" s="42"/>
      <c r="K196" s="42"/>
      <c r="L196" s="42"/>
      <c r="M196" s="42"/>
      <c r="N196" s="42"/>
      <c r="O196" s="43"/>
    </row>
    <row r="197" spans="1:15" x14ac:dyDescent="0.2">
      <c r="A197" s="158" t="s">
        <v>496</v>
      </c>
      <c r="B197" s="159">
        <v>1</v>
      </c>
      <c r="C197" s="362">
        <v>2.6</v>
      </c>
      <c r="D197" s="364">
        <v>1.6</v>
      </c>
      <c r="E197" s="309">
        <v>2.48</v>
      </c>
      <c r="F197" s="306">
        <f t="shared" si="18"/>
        <v>10.32</v>
      </c>
      <c r="H197" s="42"/>
      <c r="I197" s="42"/>
      <c r="J197" s="42"/>
      <c r="K197" s="42"/>
      <c r="L197" s="42"/>
      <c r="M197" s="42"/>
      <c r="N197" s="42"/>
      <c r="O197" s="43"/>
    </row>
    <row r="198" spans="1:15" x14ac:dyDescent="0.2">
      <c r="A198" s="158" t="s">
        <v>497</v>
      </c>
      <c r="B198" s="159">
        <v>1</v>
      </c>
      <c r="C198" s="362">
        <v>2.6</v>
      </c>
      <c r="D198" s="364">
        <v>1.6</v>
      </c>
      <c r="E198" s="309">
        <v>1.49</v>
      </c>
      <c r="F198" s="306">
        <f t="shared" si="18"/>
        <v>6.2</v>
      </c>
      <c r="H198" s="42"/>
      <c r="I198" s="42"/>
      <c r="J198" s="42"/>
      <c r="K198" s="42"/>
      <c r="L198" s="42"/>
      <c r="M198" s="42"/>
      <c r="N198" s="42"/>
      <c r="O198" s="43"/>
    </row>
    <row r="199" spans="1:15" x14ac:dyDescent="0.2">
      <c r="A199" s="366" t="s">
        <v>33</v>
      </c>
      <c r="B199" s="367"/>
      <c r="C199" s="367"/>
      <c r="D199" s="367"/>
      <c r="E199" s="368"/>
      <c r="F199" s="365">
        <f>SUM(F189:F198)</f>
        <v>77.08</v>
      </c>
      <c r="H199" s="42"/>
      <c r="I199" s="42"/>
      <c r="J199" s="42"/>
      <c r="K199" s="42"/>
      <c r="L199" s="42"/>
      <c r="M199" s="42"/>
      <c r="N199" s="42"/>
      <c r="O199" s="43"/>
    </row>
    <row r="200" spans="1:15" x14ac:dyDescent="0.2">
      <c r="A200" s="371"/>
      <c r="B200" s="20"/>
      <c r="C200" s="20"/>
      <c r="D200" s="20"/>
      <c r="E200" s="20"/>
      <c r="F200" s="20"/>
      <c r="G200" s="20"/>
      <c r="H200" s="20"/>
      <c r="I200" s="328"/>
      <c r="J200" s="42"/>
      <c r="K200" s="42"/>
      <c r="L200" s="42"/>
      <c r="M200" s="42"/>
      <c r="N200" s="42"/>
      <c r="O200" s="43"/>
    </row>
    <row r="201" spans="1:15" x14ac:dyDescent="0.2">
      <c r="A201" s="381" t="s">
        <v>96</v>
      </c>
      <c r="B201" s="345">
        <f>F199</f>
        <v>77.08</v>
      </c>
      <c r="C201" s="381" t="s">
        <v>26</v>
      </c>
      <c r="E201" s="165"/>
      <c r="F201" s="411"/>
      <c r="G201" s="411"/>
      <c r="H201" s="165"/>
      <c r="I201" s="411"/>
      <c r="J201" s="411"/>
      <c r="K201" s="411"/>
      <c r="L201" s="42"/>
      <c r="M201" s="42"/>
      <c r="N201" s="42"/>
      <c r="O201" s="43"/>
    </row>
    <row r="202" spans="1:15" x14ac:dyDescent="0.2">
      <c r="A202" s="371"/>
      <c r="B202" s="411"/>
      <c r="C202" s="411"/>
      <c r="D202" s="411"/>
      <c r="E202" s="165"/>
      <c r="F202" s="411"/>
      <c r="G202" s="411"/>
      <c r="H202" s="165"/>
      <c r="I202" s="411"/>
      <c r="J202" s="411"/>
      <c r="K202" s="411"/>
      <c r="L202" s="42"/>
      <c r="M202" s="42"/>
      <c r="N202" s="42"/>
      <c r="O202" s="43"/>
    </row>
    <row r="203" spans="1:15" x14ac:dyDescent="0.2">
      <c r="A203" s="371"/>
      <c r="B203" s="411"/>
      <c r="C203" s="411"/>
      <c r="D203" s="411"/>
      <c r="E203" s="165"/>
      <c r="F203" s="411"/>
      <c r="G203" s="411"/>
      <c r="H203" s="165"/>
      <c r="I203" s="411"/>
      <c r="J203" s="411"/>
      <c r="K203" s="411"/>
      <c r="L203" s="42"/>
      <c r="M203" s="42"/>
      <c r="N203" s="42"/>
      <c r="O203" s="43"/>
    </row>
    <row r="204" spans="1:15" ht="45" customHeight="1" x14ac:dyDescent="0.2">
      <c r="A204" s="371" t="s">
        <v>44</v>
      </c>
      <c r="B204" s="586" t="str">
        <f>'Planilha Final'!D46</f>
        <v>Escavação mecanizada de vala com profundidade 3,0 m até 4,50m (média entremontante e jusante/uma composição por trecho) escavadeira (1,2 m3), larg. de
 1,5 m a 2,5 m, em solo de 1ª categoria, em locais com alto nível de interferência. AF_02/2021</v>
      </c>
      <c r="C204" s="586"/>
      <c r="D204" s="586"/>
      <c r="E204" s="586"/>
      <c r="F204" s="586"/>
      <c r="G204" s="586"/>
      <c r="H204" s="586"/>
      <c r="I204" s="346"/>
      <c r="J204" s="346"/>
      <c r="K204" s="346"/>
      <c r="L204" s="42"/>
      <c r="M204" s="42"/>
      <c r="N204" s="42"/>
      <c r="O204" s="43"/>
    </row>
    <row r="205" spans="1:15" x14ac:dyDescent="0.2">
      <c r="A205" s="371"/>
      <c r="B205" s="411"/>
      <c r="C205" s="411"/>
      <c r="D205" s="411"/>
      <c r="E205" s="165"/>
      <c r="F205" s="411"/>
      <c r="G205" s="411"/>
      <c r="H205" s="165"/>
      <c r="I205" s="411"/>
      <c r="J205" s="411"/>
      <c r="K205" s="411"/>
      <c r="L205" s="42"/>
      <c r="M205" s="42"/>
      <c r="N205" s="42"/>
      <c r="O205" s="43"/>
    </row>
    <row r="206" spans="1:15" ht="25.5" x14ac:dyDescent="0.2">
      <c r="A206" s="158" t="s">
        <v>341</v>
      </c>
      <c r="B206" s="356" t="s">
        <v>181</v>
      </c>
      <c r="C206" s="362" t="s">
        <v>338</v>
      </c>
      <c r="D206" s="362" t="s">
        <v>179</v>
      </c>
      <c r="E206" s="339" t="s">
        <v>347</v>
      </c>
      <c r="F206" s="305" t="s">
        <v>339</v>
      </c>
      <c r="H206" s="42"/>
      <c r="I206" s="42"/>
      <c r="J206" s="42"/>
      <c r="K206" s="42"/>
      <c r="L206" s="42"/>
      <c r="M206" s="42"/>
      <c r="N206" s="42"/>
      <c r="O206" s="43"/>
    </row>
    <row r="207" spans="1:15" x14ac:dyDescent="0.2">
      <c r="A207" s="158" t="s">
        <v>498</v>
      </c>
      <c r="B207" s="159">
        <v>1</v>
      </c>
      <c r="C207" s="362">
        <v>2.4</v>
      </c>
      <c r="D207" s="364">
        <v>1.6</v>
      </c>
      <c r="E207" s="309">
        <v>3.1</v>
      </c>
      <c r="F207" s="306">
        <f>B207*C207*D207*E207</f>
        <v>11.9</v>
      </c>
      <c r="H207" s="42"/>
      <c r="I207" s="42"/>
      <c r="J207" s="42"/>
      <c r="K207" s="42"/>
      <c r="L207" s="42"/>
      <c r="M207" s="42"/>
      <c r="N207" s="42"/>
      <c r="O207" s="43"/>
    </row>
    <row r="208" spans="1:15" x14ac:dyDescent="0.2">
      <c r="A208" s="158" t="s">
        <v>499</v>
      </c>
      <c r="B208" s="159">
        <v>1</v>
      </c>
      <c r="C208" s="362">
        <v>2.6</v>
      </c>
      <c r="D208" s="364">
        <v>1.6</v>
      </c>
      <c r="E208" s="309">
        <v>3.1</v>
      </c>
      <c r="F208" s="306">
        <f t="shared" ref="F208:F210" si="19">B208*C208*D208*E208</f>
        <v>12.9</v>
      </c>
      <c r="H208" s="42"/>
      <c r="I208" s="42"/>
      <c r="J208" s="42"/>
      <c r="K208" s="42"/>
      <c r="L208" s="42"/>
      <c r="M208" s="42"/>
      <c r="N208" s="42"/>
      <c r="O208" s="43"/>
    </row>
    <row r="209" spans="1:15" x14ac:dyDescent="0.2">
      <c r="A209" s="158" t="s">
        <v>500</v>
      </c>
      <c r="B209" s="159">
        <v>1</v>
      </c>
      <c r="C209" s="362">
        <v>2.6</v>
      </c>
      <c r="D209" s="364">
        <v>1.6</v>
      </c>
      <c r="E209" s="309">
        <v>3.35</v>
      </c>
      <c r="F209" s="306">
        <f t="shared" si="19"/>
        <v>13.94</v>
      </c>
      <c r="H209" s="42"/>
      <c r="I209" s="42"/>
      <c r="J209" s="42"/>
      <c r="K209" s="42"/>
      <c r="L209" s="42"/>
      <c r="M209" s="42"/>
      <c r="N209" s="42"/>
      <c r="O209" s="43"/>
    </row>
    <row r="210" spans="1:15" x14ac:dyDescent="0.2">
      <c r="A210" s="158" t="s">
        <v>501</v>
      </c>
      <c r="B210" s="159">
        <v>1</v>
      </c>
      <c r="C210" s="362">
        <v>2.6</v>
      </c>
      <c r="D210" s="364">
        <v>1.6</v>
      </c>
      <c r="E210" s="309">
        <v>3.34</v>
      </c>
      <c r="F210" s="306">
        <f t="shared" si="19"/>
        <v>13.89</v>
      </c>
      <c r="H210" s="42"/>
      <c r="I210" s="42"/>
      <c r="J210" s="42"/>
      <c r="K210" s="42"/>
      <c r="L210" s="42"/>
      <c r="M210" s="42"/>
      <c r="N210" s="42"/>
      <c r="O210" s="43"/>
    </row>
    <row r="211" spans="1:15" x14ac:dyDescent="0.2">
      <c r="A211" s="366" t="s">
        <v>33</v>
      </c>
      <c r="B211" s="367"/>
      <c r="C211" s="367"/>
      <c r="D211" s="367"/>
      <c r="E211" s="368"/>
      <c r="F211" s="365">
        <f>SUM(F207:F210)</f>
        <v>52.63</v>
      </c>
      <c r="H211" s="42"/>
      <c r="I211" s="42"/>
      <c r="J211" s="42"/>
      <c r="K211" s="42"/>
      <c r="L211" s="42"/>
      <c r="M211" s="42"/>
      <c r="N211" s="42"/>
      <c r="O211" s="43"/>
    </row>
    <row r="212" spans="1:15" x14ac:dyDescent="0.2">
      <c r="A212" s="371"/>
      <c r="B212" s="20"/>
      <c r="C212" s="20"/>
      <c r="D212" s="20"/>
      <c r="E212" s="20"/>
      <c r="F212" s="20"/>
      <c r="G212" s="20"/>
      <c r="H212" s="20"/>
      <c r="I212" s="328"/>
      <c r="J212" s="42"/>
      <c r="K212" s="42"/>
      <c r="L212" s="42"/>
      <c r="M212" s="42"/>
      <c r="N212" s="42"/>
      <c r="O212" s="43"/>
    </row>
    <row r="213" spans="1:15" x14ac:dyDescent="0.2">
      <c r="A213" s="404" t="s">
        <v>96</v>
      </c>
      <c r="B213" s="345">
        <f>F211</f>
        <v>52.63</v>
      </c>
      <c r="C213" s="381" t="s">
        <v>26</v>
      </c>
      <c r="E213" s="165"/>
      <c r="F213" s="411"/>
      <c r="G213" s="411"/>
      <c r="H213" s="165"/>
      <c r="I213" s="411"/>
      <c r="J213" s="411"/>
      <c r="K213" s="411"/>
      <c r="L213" s="42"/>
      <c r="M213" s="42"/>
      <c r="N213" s="42"/>
      <c r="O213" s="43"/>
    </row>
    <row r="214" spans="1:15" x14ac:dyDescent="0.2">
      <c r="A214" s="371"/>
      <c r="B214" s="411"/>
      <c r="C214" s="411"/>
      <c r="D214" s="411"/>
      <c r="E214" s="165"/>
      <c r="F214" s="411"/>
      <c r="G214" s="411"/>
      <c r="H214" s="165"/>
      <c r="I214" s="411"/>
      <c r="J214" s="411"/>
      <c r="K214" s="411"/>
      <c r="L214" s="42"/>
      <c r="M214" s="42"/>
      <c r="N214" s="42"/>
      <c r="O214" s="43"/>
    </row>
    <row r="215" spans="1:15" x14ac:dyDescent="0.2">
      <c r="A215" s="371"/>
      <c r="B215" s="411"/>
      <c r="C215" s="411"/>
      <c r="D215" s="411"/>
      <c r="E215" s="165"/>
      <c r="F215" s="411"/>
      <c r="G215" s="411"/>
      <c r="H215" s="165"/>
      <c r="I215" s="411"/>
      <c r="J215" s="411"/>
      <c r="K215" s="411"/>
      <c r="L215" s="42"/>
      <c r="M215" s="42"/>
      <c r="N215" s="42"/>
      <c r="O215" s="43"/>
    </row>
    <row r="216" spans="1:15" x14ac:dyDescent="0.2">
      <c r="A216" s="371" t="s">
        <v>45</v>
      </c>
      <c r="B216" s="586" t="s">
        <v>316</v>
      </c>
      <c r="C216" s="586"/>
      <c r="D216" s="586"/>
      <c r="E216" s="586"/>
      <c r="F216" s="586"/>
      <c r="G216" s="586"/>
      <c r="H216" s="586"/>
      <c r="I216" s="586"/>
      <c r="J216" s="411"/>
      <c r="K216" s="411"/>
      <c r="L216" s="42"/>
      <c r="M216" s="42"/>
      <c r="N216" s="42"/>
      <c r="O216" s="43"/>
    </row>
    <row r="217" spans="1:15" ht="35.25" customHeight="1" x14ac:dyDescent="0.2">
      <c r="A217" s="371" t="s">
        <v>114</v>
      </c>
      <c r="B217" s="586" t="str">
        <f>'Planilha Final'!D48</f>
        <v>Reaterro mecanizado de vala com retroescavadeira (capacidade da caçamba da retro: 0,26 m³ / potência: 88 HP), largura de 0,8 A 1,5 m, profundidade até 1,5 m, com solo (sem substituição) de 1ª categoria em locais  com baixo  nível de interferência. AF_04/2016.</v>
      </c>
      <c r="C217" s="586"/>
      <c r="D217" s="586"/>
      <c r="E217" s="586"/>
      <c r="F217" s="586"/>
      <c r="G217" s="586"/>
      <c r="H217" s="586"/>
      <c r="I217" s="346"/>
      <c r="J217" s="411"/>
      <c r="K217" s="411"/>
      <c r="L217" s="42"/>
      <c r="M217" s="42"/>
      <c r="N217" s="42"/>
      <c r="O217" s="43"/>
    </row>
    <row r="218" spans="1:15" x14ac:dyDescent="0.2">
      <c r="A218" s="371"/>
      <c r="B218" s="411"/>
      <c r="C218" s="411"/>
      <c r="D218" s="411"/>
      <c r="E218" s="165"/>
      <c r="F218" s="411"/>
      <c r="G218" s="411"/>
      <c r="H218" s="165"/>
      <c r="I218" s="411"/>
      <c r="J218" s="411"/>
      <c r="K218" s="411"/>
      <c r="L218" s="42"/>
      <c r="M218" s="42"/>
      <c r="N218" s="42"/>
      <c r="O218" s="43"/>
    </row>
    <row r="219" spans="1:15" ht="25.5" x14ac:dyDescent="0.2">
      <c r="A219" s="351" t="s">
        <v>319</v>
      </c>
      <c r="B219" s="351" t="s">
        <v>348</v>
      </c>
      <c r="C219" s="351" t="s">
        <v>317</v>
      </c>
      <c r="E219" s="165"/>
      <c r="F219" s="165"/>
      <c r="G219" s="411"/>
      <c r="H219" s="165"/>
      <c r="I219" s="411"/>
      <c r="J219" s="411"/>
      <c r="K219" s="411"/>
      <c r="L219" s="42"/>
      <c r="M219" s="42"/>
      <c r="N219" s="42"/>
      <c r="O219" s="43"/>
    </row>
    <row r="220" spans="1:15" x14ac:dyDescent="0.2">
      <c r="A220" s="350">
        <f>B201</f>
        <v>77.08</v>
      </c>
      <c r="B220" s="374">
        <f>B213</f>
        <v>52.63</v>
      </c>
      <c r="C220" s="373">
        <f>(A220+B220)*0.3</f>
        <v>38.909999999999997</v>
      </c>
      <c r="E220" s="165"/>
      <c r="F220" s="165"/>
      <c r="G220" s="411"/>
      <c r="H220" s="165"/>
      <c r="I220" s="411"/>
      <c r="J220" s="411"/>
      <c r="K220" s="411"/>
      <c r="L220" s="42"/>
      <c r="M220" s="42"/>
      <c r="N220" s="42"/>
      <c r="O220" s="43"/>
    </row>
    <row r="221" spans="1:15" x14ac:dyDescent="0.2">
      <c r="A221" s="371"/>
      <c r="B221" s="411"/>
      <c r="C221" s="411"/>
      <c r="D221" s="411"/>
      <c r="E221" s="165"/>
      <c r="F221" s="411"/>
      <c r="G221" s="411"/>
      <c r="H221" s="165"/>
      <c r="I221" s="411"/>
      <c r="J221" s="411"/>
      <c r="K221" s="411"/>
      <c r="L221" s="42"/>
      <c r="M221" s="42"/>
      <c r="N221" s="42"/>
      <c r="O221" s="43"/>
    </row>
    <row r="222" spans="1:15" x14ac:dyDescent="0.2">
      <c r="A222" s="353" t="s">
        <v>96</v>
      </c>
      <c r="B222" s="352">
        <f>C220</f>
        <v>38.909999999999997</v>
      </c>
      <c r="C222" s="45" t="s">
        <v>323</v>
      </c>
      <c r="E222" s="165"/>
      <c r="F222" s="411"/>
      <c r="G222" s="411"/>
      <c r="H222" s="165"/>
      <c r="I222" s="411"/>
      <c r="J222" s="411"/>
      <c r="K222" s="411"/>
      <c r="L222" s="42"/>
      <c r="M222" s="42"/>
      <c r="N222" s="42"/>
      <c r="O222" s="43"/>
    </row>
    <row r="223" spans="1:15" x14ac:dyDescent="0.2">
      <c r="A223" s="371"/>
      <c r="B223" s="411"/>
      <c r="C223" s="411"/>
      <c r="D223" s="411"/>
      <c r="E223" s="165"/>
      <c r="F223" s="411"/>
      <c r="G223" s="411"/>
      <c r="H223" s="165"/>
      <c r="I223" s="411"/>
      <c r="J223" s="411"/>
      <c r="K223" s="411"/>
      <c r="L223" s="42"/>
      <c r="M223" s="42"/>
      <c r="N223" s="42"/>
      <c r="O223" s="43"/>
    </row>
    <row r="224" spans="1:15" x14ac:dyDescent="0.2">
      <c r="A224" s="371"/>
      <c r="B224" s="411"/>
      <c r="C224" s="411"/>
      <c r="D224" s="411"/>
      <c r="E224" s="165"/>
      <c r="F224" s="411"/>
      <c r="G224" s="411"/>
      <c r="H224" s="165"/>
      <c r="I224" s="411"/>
      <c r="J224" s="411"/>
      <c r="K224" s="411"/>
      <c r="L224" s="42"/>
      <c r="M224" s="42"/>
      <c r="N224" s="42"/>
      <c r="O224" s="43"/>
    </row>
    <row r="225" spans="1:15" x14ac:dyDescent="0.2">
      <c r="A225" s="371" t="s">
        <v>349</v>
      </c>
      <c r="B225" s="586" t="s">
        <v>350</v>
      </c>
      <c r="C225" s="586"/>
      <c r="D225" s="586"/>
      <c r="E225" s="586"/>
      <c r="F225" s="586"/>
      <c r="G225" s="586"/>
      <c r="H225" s="586"/>
      <c r="I225" s="586"/>
      <c r="J225" s="411"/>
      <c r="K225" s="411"/>
      <c r="L225" s="42"/>
      <c r="M225" s="42"/>
      <c r="N225" s="42"/>
      <c r="O225" s="43"/>
    </row>
    <row r="226" spans="1:15" ht="27" customHeight="1" x14ac:dyDescent="0.2">
      <c r="A226" s="371" t="s">
        <v>351</v>
      </c>
      <c r="B226" s="586" t="s">
        <v>191</v>
      </c>
      <c r="C226" s="586"/>
      <c r="D226" s="586"/>
      <c r="E226" s="586"/>
      <c r="F226" s="586"/>
      <c r="G226" s="586"/>
      <c r="H226" s="586"/>
      <c r="I226" s="346"/>
      <c r="J226" s="411"/>
      <c r="K226" s="411"/>
      <c r="L226" s="42"/>
      <c r="M226" s="42"/>
      <c r="N226" s="42"/>
      <c r="O226" s="43"/>
    </row>
    <row r="227" spans="1:15" x14ac:dyDescent="0.2">
      <c r="A227" s="371"/>
      <c r="B227" s="411"/>
      <c r="C227" s="411"/>
      <c r="D227" s="411"/>
      <c r="E227" s="165"/>
      <c r="F227" s="411"/>
      <c r="G227" s="411"/>
      <c r="H227" s="165"/>
      <c r="I227" s="411"/>
      <c r="J227" s="411"/>
      <c r="K227" s="411"/>
      <c r="L227" s="42"/>
      <c r="M227" s="42"/>
      <c r="N227" s="42"/>
      <c r="O227" s="43"/>
    </row>
    <row r="228" spans="1:15" ht="25.5" x14ac:dyDescent="0.2">
      <c r="A228" s="351" t="s">
        <v>319</v>
      </c>
      <c r="B228" s="351" t="s">
        <v>348</v>
      </c>
      <c r="C228" s="351" t="s">
        <v>324</v>
      </c>
      <c r="E228" s="165"/>
      <c r="F228" s="165"/>
      <c r="G228" s="411"/>
      <c r="H228" s="165"/>
      <c r="I228" s="411"/>
      <c r="J228" s="411"/>
      <c r="K228" s="411"/>
      <c r="L228" s="42"/>
      <c r="M228" s="42"/>
      <c r="N228" s="42"/>
      <c r="O228" s="43"/>
    </row>
    <row r="229" spans="1:15" x14ac:dyDescent="0.2">
      <c r="A229" s="350">
        <f>A220</f>
        <v>77.08</v>
      </c>
      <c r="B229" s="374">
        <f>B220</f>
        <v>52.63</v>
      </c>
      <c r="C229" s="433">
        <f>(A229+B229)*0.7</f>
        <v>90.8</v>
      </c>
      <c r="E229" s="165"/>
      <c r="F229" s="165"/>
      <c r="G229" s="411"/>
      <c r="H229" s="165"/>
      <c r="I229" s="411"/>
      <c r="J229" s="411"/>
      <c r="K229" s="411"/>
      <c r="L229" s="42"/>
      <c r="M229" s="42"/>
      <c r="N229" s="42"/>
      <c r="O229" s="43"/>
    </row>
    <row r="230" spans="1:15" x14ac:dyDescent="0.2">
      <c r="A230" s="411"/>
      <c r="B230" s="411"/>
      <c r="C230" s="411"/>
      <c r="E230" s="165"/>
      <c r="F230" s="411"/>
      <c r="G230" s="411"/>
      <c r="H230" s="165"/>
      <c r="I230" s="411"/>
      <c r="J230" s="411"/>
      <c r="K230" s="411"/>
      <c r="L230" s="42"/>
      <c r="M230" s="42"/>
      <c r="N230" s="42"/>
      <c r="O230" s="43"/>
    </row>
    <row r="231" spans="1:15" x14ac:dyDescent="0.2">
      <c r="A231" s="353" t="s">
        <v>96</v>
      </c>
      <c r="B231" s="352">
        <f>C229</f>
        <v>90.8</v>
      </c>
      <c r="C231" s="45" t="s">
        <v>323</v>
      </c>
      <c r="E231" s="165"/>
      <c r="F231" s="411"/>
      <c r="G231" s="411"/>
      <c r="H231" s="165"/>
      <c r="I231" s="411"/>
      <c r="J231" s="411"/>
      <c r="K231" s="411"/>
      <c r="L231" s="42"/>
      <c r="M231" s="42"/>
      <c r="N231" s="42"/>
      <c r="O231" s="43"/>
    </row>
    <row r="232" spans="1:15" x14ac:dyDescent="0.2">
      <c r="A232" s="371"/>
      <c r="B232" s="411"/>
      <c r="C232" s="411"/>
      <c r="D232" s="411"/>
      <c r="E232" s="165"/>
      <c r="F232" s="411"/>
      <c r="G232" s="411"/>
      <c r="H232" s="165"/>
      <c r="I232" s="411"/>
      <c r="J232" s="411"/>
      <c r="K232" s="411"/>
      <c r="L232" s="42"/>
      <c r="M232" s="42"/>
      <c r="N232" s="42"/>
      <c r="O232" s="43"/>
    </row>
    <row r="233" spans="1:15" x14ac:dyDescent="0.2">
      <c r="A233" s="371"/>
      <c r="B233" s="411"/>
      <c r="C233" s="411"/>
      <c r="D233" s="411"/>
      <c r="E233" s="165"/>
      <c r="F233" s="411"/>
      <c r="G233" s="411"/>
      <c r="H233" s="165"/>
      <c r="I233" s="411"/>
      <c r="J233" s="411"/>
      <c r="K233" s="411"/>
      <c r="L233" s="42"/>
      <c r="M233" s="42"/>
      <c r="N233" s="42"/>
      <c r="O233" s="43"/>
    </row>
    <row r="234" spans="1:15" ht="28.5" customHeight="1" x14ac:dyDescent="0.2">
      <c r="A234" s="371" t="s">
        <v>358</v>
      </c>
      <c r="B234" s="586" t="s">
        <v>233</v>
      </c>
      <c r="C234" s="586"/>
      <c r="D234" s="586"/>
      <c r="E234" s="586"/>
      <c r="F234" s="586"/>
      <c r="G234" s="586"/>
      <c r="H234" s="586"/>
      <c r="I234" s="346"/>
      <c r="J234" s="411"/>
      <c r="K234" s="411"/>
      <c r="L234" s="42"/>
      <c r="M234" s="42"/>
      <c r="N234" s="42"/>
      <c r="O234" s="43"/>
    </row>
    <row r="235" spans="1:15" x14ac:dyDescent="0.2">
      <c r="A235" s="37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2"/>
      <c r="M235" s="42"/>
      <c r="N235" s="42"/>
      <c r="O235" s="43"/>
    </row>
    <row r="236" spans="1:15" ht="24" customHeight="1" x14ac:dyDescent="0.2">
      <c r="A236" s="351" t="s">
        <v>325</v>
      </c>
      <c r="B236" s="354" t="s">
        <v>326</v>
      </c>
      <c r="C236" s="351" t="s">
        <v>363</v>
      </c>
      <c r="D236" s="114" t="s">
        <v>327</v>
      </c>
      <c r="F236" s="411"/>
      <c r="G236" s="411"/>
      <c r="H236" s="411"/>
      <c r="I236" s="411"/>
      <c r="J236" s="411"/>
      <c r="K236" s="411"/>
      <c r="L236" s="42"/>
      <c r="M236" s="42"/>
      <c r="N236" s="42"/>
      <c r="O236" s="43"/>
    </row>
    <row r="237" spans="1:15" x14ac:dyDescent="0.2">
      <c r="A237" s="350">
        <f>B231</f>
        <v>90.8</v>
      </c>
      <c r="B237" s="160">
        <v>20</v>
      </c>
      <c r="C237" s="363">
        <v>1.25</v>
      </c>
      <c r="D237" s="373">
        <f>A237*B237*C237</f>
        <v>2270</v>
      </c>
      <c r="E237" s="373"/>
      <c r="F237" s="411"/>
      <c r="G237" s="411"/>
      <c r="H237" s="411"/>
      <c r="I237" s="411"/>
      <c r="J237" s="411"/>
      <c r="K237" s="411"/>
      <c r="L237" s="42"/>
      <c r="M237" s="42"/>
      <c r="N237" s="42"/>
      <c r="O237" s="43"/>
    </row>
    <row r="238" spans="1:15" x14ac:dyDescent="0.2">
      <c r="A238" s="371"/>
      <c r="B238" s="411"/>
      <c r="C238" s="411"/>
      <c r="D238" s="411"/>
      <c r="E238" s="165"/>
      <c r="F238" s="411"/>
      <c r="G238" s="411"/>
      <c r="H238" s="411"/>
      <c r="I238" s="411"/>
      <c r="J238" s="411"/>
      <c r="K238" s="411"/>
      <c r="L238" s="42"/>
      <c r="M238" s="42"/>
      <c r="N238" s="42"/>
      <c r="O238" s="43"/>
    </row>
    <row r="239" spans="1:15" x14ac:dyDescent="0.2">
      <c r="A239" s="353" t="s">
        <v>96</v>
      </c>
      <c r="B239" s="352">
        <f>D237</f>
        <v>2270</v>
      </c>
      <c r="C239" s="45" t="s">
        <v>431</v>
      </c>
      <c r="E239" s="165"/>
      <c r="F239" s="411"/>
      <c r="G239" s="411"/>
      <c r="H239" s="411"/>
      <c r="I239" s="411"/>
      <c r="J239" s="411"/>
      <c r="K239" s="411"/>
      <c r="L239" s="42"/>
      <c r="M239" s="42"/>
      <c r="N239" s="42"/>
      <c r="O239" s="43"/>
    </row>
    <row r="240" spans="1:15" x14ac:dyDescent="0.2">
      <c r="A240" s="371"/>
      <c r="B240" s="411"/>
      <c r="C240" s="411"/>
      <c r="D240" s="411"/>
      <c r="E240" s="165"/>
      <c r="F240" s="411"/>
      <c r="G240" s="411"/>
      <c r="H240" s="165"/>
      <c r="I240" s="411"/>
      <c r="J240" s="411"/>
      <c r="K240" s="411"/>
      <c r="L240" s="42"/>
      <c r="M240" s="42"/>
      <c r="N240" s="42"/>
      <c r="O240" s="43"/>
    </row>
    <row r="241" spans="1:15" x14ac:dyDescent="0.2">
      <c r="A241" s="371"/>
      <c r="B241" s="411"/>
      <c r="C241" s="411"/>
      <c r="D241" s="411"/>
      <c r="E241" s="165"/>
      <c r="F241" s="411"/>
      <c r="G241" s="411"/>
      <c r="H241" s="165"/>
      <c r="I241" s="411"/>
      <c r="J241" s="411"/>
      <c r="K241" s="411"/>
      <c r="L241" s="42"/>
      <c r="M241" s="42"/>
      <c r="N241" s="42"/>
      <c r="O241" s="43"/>
    </row>
    <row r="242" spans="1:15" ht="25.5" customHeight="1" x14ac:dyDescent="0.2">
      <c r="A242" s="371" t="s">
        <v>359</v>
      </c>
      <c r="B242" s="586" t="s">
        <v>194</v>
      </c>
      <c r="C242" s="586"/>
      <c r="D242" s="586"/>
      <c r="E242" s="586"/>
      <c r="F242" s="586"/>
      <c r="G242" s="586"/>
      <c r="H242" s="586"/>
      <c r="I242" s="586"/>
      <c r="J242" s="411"/>
      <c r="K242" s="411"/>
      <c r="L242" s="42"/>
      <c r="M242" s="42"/>
      <c r="N242" s="42"/>
      <c r="O242" s="43"/>
    </row>
    <row r="243" spans="1:15" x14ac:dyDescent="0.2">
      <c r="A243" s="371"/>
      <c r="B243" s="411"/>
      <c r="C243" s="411"/>
      <c r="D243" s="411"/>
      <c r="E243" s="411"/>
      <c r="F243" s="411"/>
      <c r="G243" s="411"/>
      <c r="H243" s="411"/>
      <c r="I243" s="411"/>
      <c r="J243" s="411"/>
      <c r="K243" s="411"/>
      <c r="L243" s="42"/>
      <c r="M243" s="42"/>
      <c r="N243" s="42"/>
      <c r="O243" s="43"/>
    </row>
    <row r="244" spans="1:15" ht="25.5" x14ac:dyDescent="0.2">
      <c r="A244" s="351" t="s">
        <v>328</v>
      </c>
      <c r="B244" s="351" t="s">
        <v>329</v>
      </c>
      <c r="D244" s="411"/>
      <c r="E244" s="411"/>
      <c r="F244" s="411"/>
      <c r="G244" s="411"/>
      <c r="H244" s="411"/>
      <c r="I244" s="411"/>
      <c r="J244" s="411"/>
      <c r="K244" s="411"/>
      <c r="L244" s="42"/>
      <c r="M244" s="42"/>
      <c r="N244" s="42"/>
      <c r="O244" s="43"/>
    </row>
    <row r="245" spans="1:15" x14ac:dyDescent="0.2">
      <c r="A245" s="350">
        <f>C229</f>
        <v>90.8</v>
      </c>
      <c r="B245" s="374">
        <f>A245</f>
        <v>90.8</v>
      </c>
      <c r="D245" s="411"/>
      <c r="E245" s="411"/>
      <c r="F245" s="411"/>
      <c r="G245" s="411"/>
      <c r="H245" s="411"/>
      <c r="I245" s="411"/>
      <c r="J245" s="411"/>
      <c r="K245" s="411"/>
      <c r="L245" s="42"/>
      <c r="M245" s="42"/>
      <c r="N245" s="42"/>
      <c r="O245" s="43"/>
    </row>
    <row r="246" spans="1:15" x14ac:dyDescent="0.2">
      <c r="A246" s="371"/>
      <c r="B246" s="411"/>
      <c r="C246" s="411"/>
      <c r="D246" s="411"/>
      <c r="E246" s="165"/>
      <c r="F246" s="411"/>
      <c r="G246" s="411"/>
      <c r="H246" s="411"/>
      <c r="I246" s="411"/>
      <c r="J246" s="411"/>
      <c r="K246" s="411"/>
      <c r="L246" s="42"/>
      <c r="M246" s="42"/>
      <c r="N246" s="42"/>
      <c r="O246" s="43"/>
    </row>
    <row r="247" spans="1:15" x14ac:dyDescent="0.2">
      <c r="A247" s="353" t="s">
        <v>96</v>
      </c>
      <c r="B247" s="352">
        <f>B245</f>
        <v>90.8</v>
      </c>
      <c r="C247" s="45" t="s">
        <v>323</v>
      </c>
      <c r="E247" s="165"/>
      <c r="F247" s="411"/>
      <c r="G247" s="411"/>
      <c r="H247" s="411"/>
      <c r="I247" s="411"/>
      <c r="J247" s="411"/>
      <c r="K247" s="411"/>
      <c r="L247" s="42"/>
      <c r="M247" s="42"/>
      <c r="N247" s="42"/>
      <c r="O247" s="43"/>
    </row>
    <row r="248" spans="1:15" x14ac:dyDescent="0.2">
      <c r="A248" s="411"/>
      <c r="B248" s="411"/>
      <c r="C248" s="411"/>
      <c r="D248" s="411"/>
      <c r="E248" s="411"/>
      <c r="F248" s="411"/>
      <c r="G248" s="411"/>
      <c r="H248" s="411"/>
      <c r="I248" s="411"/>
      <c r="J248" s="411"/>
      <c r="K248" s="411"/>
      <c r="L248" s="42"/>
      <c r="M248" s="42"/>
      <c r="N248" s="42"/>
      <c r="O248" s="43"/>
    </row>
    <row r="249" spans="1:15" x14ac:dyDescent="0.2">
      <c r="A249" s="411"/>
      <c r="B249" s="411"/>
      <c r="C249" s="411"/>
      <c r="D249" s="411"/>
      <c r="E249" s="411"/>
      <c r="F249" s="411"/>
      <c r="G249" s="411"/>
      <c r="H249" s="411"/>
      <c r="I249" s="411"/>
      <c r="J249" s="411"/>
      <c r="K249" s="411"/>
      <c r="L249" s="42"/>
      <c r="M249" s="42"/>
      <c r="N249" s="42"/>
      <c r="O249" s="43"/>
    </row>
    <row r="250" spans="1:15" x14ac:dyDescent="0.2">
      <c r="A250" s="371" t="s">
        <v>360</v>
      </c>
      <c r="B250" s="586" t="s">
        <v>195</v>
      </c>
      <c r="C250" s="586"/>
      <c r="D250" s="586"/>
      <c r="E250" s="586"/>
      <c r="F250" s="586"/>
      <c r="G250" s="586"/>
      <c r="H250" s="586"/>
      <c r="I250" s="586"/>
      <c r="J250" s="346"/>
      <c r="K250" s="346"/>
      <c r="L250" s="42"/>
      <c r="M250" s="42"/>
      <c r="N250" s="42"/>
      <c r="O250" s="43"/>
    </row>
    <row r="251" spans="1:15" ht="27" customHeight="1" x14ac:dyDescent="0.2">
      <c r="A251" s="371" t="s">
        <v>361</v>
      </c>
      <c r="B251" s="586" t="s">
        <v>414</v>
      </c>
      <c r="C251" s="586"/>
      <c r="D251" s="586"/>
      <c r="E251" s="586"/>
      <c r="F251" s="586"/>
      <c r="G251" s="586"/>
      <c r="H251" s="586"/>
      <c r="I251" s="346"/>
      <c r="J251" s="346"/>
      <c r="K251" s="346"/>
      <c r="L251" s="42"/>
      <c r="M251" s="42"/>
      <c r="N251" s="42"/>
      <c r="O251" s="43"/>
    </row>
    <row r="252" spans="1:15" ht="23.25" customHeight="1" x14ac:dyDescent="0.2">
      <c r="A252" s="371"/>
      <c r="B252" s="411"/>
      <c r="C252" s="411"/>
      <c r="D252" s="411"/>
      <c r="E252" s="411"/>
      <c r="F252" s="411"/>
      <c r="G252" s="411"/>
      <c r="H252" s="411"/>
      <c r="I252" s="411"/>
      <c r="J252" s="346"/>
      <c r="K252" s="346"/>
      <c r="L252" s="42"/>
      <c r="M252" s="42"/>
      <c r="N252" s="42"/>
      <c r="O252" s="43"/>
    </row>
    <row r="253" spans="1:15" x14ac:dyDescent="0.2">
      <c r="A253" s="371"/>
      <c r="B253" s="411"/>
      <c r="C253" s="411"/>
      <c r="D253" s="411"/>
      <c r="E253" s="165"/>
      <c r="F253" s="411"/>
      <c r="G253" s="411"/>
      <c r="H253" s="165"/>
      <c r="I253" s="411"/>
      <c r="J253" s="411"/>
      <c r="K253" s="411"/>
      <c r="L253" s="42"/>
      <c r="M253" s="42"/>
      <c r="N253" s="42"/>
      <c r="O253" s="43"/>
    </row>
    <row r="254" spans="1:15" ht="25.5" x14ac:dyDescent="0.2">
      <c r="A254" s="351" t="s">
        <v>319</v>
      </c>
      <c r="B254" s="354" t="s">
        <v>320</v>
      </c>
      <c r="C254" s="362" t="s">
        <v>324</v>
      </c>
      <c r="E254" s="165"/>
      <c r="F254" s="165"/>
      <c r="G254" s="411"/>
      <c r="H254" s="165"/>
      <c r="I254" s="411"/>
      <c r="J254" s="411"/>
      <c r="K254" s="411"/>
      <c r="L254" s="42"/>
      <c r="M254" s="42"/>
      <c r="N254" s="42"/>
      <c r="O254" s="43"/>
    </row>
    <row r="255" spans="1:15" x14ac:dyDescent="0.2">
      <c r="A255" s="350">
        <f>A229</f>
        <v>77.08</v>
      </c>
      <c r="B255" s="473">
        <f>B229</f>
        <v>52.63</v>
      </c>
      <c r="C255" s="373">
        <f>(A255+B255)*0.7</f>
        <v>90.8</v>
      </c>
      <c r="E255" s="165"/>
      <c r="F255" s="165"/>
      <c r="G255" s="411"/>
      <c r="H255" s="165"/>
      <c r="I255" s="411"/>
      <c r="J255" s="411"/>
      <c r="K255" s="411"/>
      <c r="L255" s="42"/>
      <c r="M255" s="42"/>
      <c r="N255" s="42"/>
      <c r="O255" s="43"/>
    </row>
    <row r="256" spans="1:15" x14ac:dyDescent="0.2">
      <c r="A256" s="371"/>
      <c r="B256" s="411"/>
      <c r="C256" s="411"/>
      <c r="D256" s="411"/>
      <c r="E256" s="165"/>
      <c r="F256" s="411"/>
      <c r="G256" s="411"/>
      <c r="H256" s="165"/>
      <c r="I256" s="411"/>
      <c r="J256" s="411"/>
      <c r="K256" s="411"/>
      <c r="L256" s="42"/>
      <c r="M256" s="42"/>
      <c r="N256" s="42"/>
      <c r="O256" s="43"/>
    </row>
    <row r="257" spans="1:15" x14ac:dyDescent="0.2">
      <c r="A257" s="353" t="s">
        <v>96</v>
      </c>
      <c r="B257" s="352">
        <f>C255</f>
        <v>90.8</v>
      </c>
      <c r="C257" s="45" t="s">
        <v>323</v>
      </c>
      <c r="E257" s="165"/>
      <c r="F257" s="411"/>
      <c r="G257" s="411"/>
      <c r="H257" s="165"/>
      <c r="I257" s="411"/>
      <c r="J257" s="411"/>
      <c r="K257" s="411"/>
      <c r="L257" s="42"/>
      <c r="M257" s="42"/>
      <c r="N257" s="42"/>
      <c r="O257" s="43"/>
    </row>
    <row r="258" spans="1:15" x14ac:dyDescent="0.2">
      <c r="A258" s="371"/>
      <c r="B258" s="411"/>
      <c r="C258" s="411"/>
      <c r="D258" s="411"/>
      <c r="E258" s="165"/>
      <c r="F258" s="411"/>
      <c r="G258" s="411"/>
      <c r="H258" s="165"/>
      <c r="I258" s="411"/>
      <c r="J258" s="411"/>
      <c r="K258" s="411"/>
      <c r="L258" s="42"/>
      <c r="M258" s="42"/>
      <c r="N258" s="42"/>
      <c r="O258" s="43"/>
    </row>
    <row r="259" spans="1:15" x14ac:dyDescent="0.2">
      <c r="A259" s="371"/>
      <c r="B259" s="411"/>
      <c r="C259" s="411"/>
      <c r="D259" s="411"/>
      <c r="E259" s="165"/>
      <c r="F259" s="411"/>
      <c r="G259" s="411"/>
      <c r="H259" s="165"/>
      <c r="I259" s="411"/>
      <c r="J259" s="411"/>
      <c r="K259" s="411"/>
      <c r="L259" s="42"/>
      <c r="M259" s="42"/>
      <c r="N259" s="42"/>
      <c r="O259" s="43"/>
    </row>
    <row r="260" spans="1:15" ht="28.5" customHeight="1" x14ac:dyDescent="0.2">
      <c r="A260" s="371" t="s">
        <v>362</v>
      </c>
      <c r="B260" s="586" t="s">
        <v>415</v>
      </c>
      <c r="C260" s="586"/>
      <c r="D260" s="586"/>
      <c r="E260" s="586"/>
      <c r="F260" s="586"/>
      <c r="G260" s="586"/>
      <c r="H260" s="586"/>
      <c r="I260" s="346"/>
      <c r="J260" s="411"/>
      <c r="K260" s="411"/>
      <c r="L260" s="42"/>
      <c r="M260" s="42"/>
      <c r="N260" s="42"/>
      <c r="O260" s="43"/>
    </row>
    <row r="261" spans="1:15" x14ac:dyDescent="0.2">
      <c r="A261" s="371"/>
      <c r="B261" s="411"/>
      <c r="C261" s="411"/>
      <c r="D261" s="411"/>
      <c r="E261" s="165"/>
      <c r="F261" s="411"/>
      <c r="G261" s="411"/>
      <c r="H261" s="165"/>
      <c r="I261" s="411"/>
      <c r="J261" s="411"/>
      <c r="K261" s="411"/>
      <c r="L261" s="42"/>
      <c r="M261" s="42"/>
      <c r="N261" s="42"/>
      <c r="O261" s="43"/>
    </row>
    <row r="262" spans="1:15" ht="38.25" x14ac:dyDescent="0.2">
      <c r="A262" s="351" t="s">
        <v>335</v>
      </c>
      <c r="B262" s="351" t="s">
        <v>326</v>
      </c>
      <c r="C262" s="351" t="s">
        <v>363</v>
      </c>
      <c r="D262" s="114" t="s">
        <v>327</v>
      </c>
      <c r="F262" s="411"/>
      <c r="G262" s="411"/>
      <c r="H262" s="165"/>
      <c r="I262" s="411"/>
      <c r="J262" s="411"/>
      <c r="K262" s="411"/>
      <c r="L262" s="42"/>
      <c r="M262" s="42"/>
      <c r="N262" s="42"/>
      <c r="O262" s="43"/>
    </row>
    <row r="263" spans="1:15" x14ac:dyDescent="0.2">
      <c r="A263" s="350">
        <f>B257</f>
        <v>90.8</v>
      </c>
      <c r="B263" s="158">
        <v>10</v>
      </c>
      <c r="C263" s="363">
        <v>1.25</v>
      </c>
      <c r="D263" s="373">
        <f>A263*B263*C263</f>
        <v>1135</v>
      </c>
      <c r="F263" s="411"/>
      <c r="G263" s="411"/>
      <c r="H263" s="165"/>
      <c r="I263" s="411"/>
      <c r="J263" s="411"/>
      <c r="K263" s="411"/>
      <c r="L263" s="42"/>
      <c r="M263" s="42"/>
      <c r="N263" s="42"/>
      <c r="O263" s="43"/>
    </row>
    <row r="264" spans="1:15" x14ac:dyDescent="0.2">
      <c r="A264" s="371"/>
      <c r="B264" s="411"/>
      <c r="C264" s="411"/>
      <c r="D264" s="411"/>
      <c r="E264" s="165"/>
      <c r="F264" s="411"/>
      <c r="G264" s="411"/>
      <c r="H264" s="165"/>
      <c r="I264" s="411"/>
      <c r="J264" s="411"/>
      <c r="K264" s="411"/>
      <c r="L264" s="42"/>
      <c r="M264" s="42"/>
      <c r="N264" s="42"/>
      <c r="O264" s="43"/>
    </row>
    <row r="265" spans="1:15" x14ac:dyDescent="0.2">
      <c r="A265" s="353" t="s">
        <v>96</v>
      </c>
      <c r="B265" s="352">
        <f>D263</f>
        <v>1135</v>
      </c>
      <c r="C265" s="45" t="s">
        <v>323</v>
      </c>
      <c r="E265" s="165"/>
      <c r="F265" s="411"/>
      <c r="G265" s="411"/>
      <c r="H265" s="165"/>
      <c r="I265" s="411"/>
      <c r="J265" s="411"/>
      <c r="K265" s="411"/>
      <c r="L265" s="42"/>
      <c r="M265" s="42"/>
      <c r="N265" s="42"/>
      <c r="O265" s="43"/>
    </row>
    <row r="266" spans="1:15" x14ac:dyDescent="0.2">
      <c r="A266" s="411"/>
      <c r="B266" s="411"/>
      <c r="C266" s="411"/>
      <c r="D266" s="411"/>
      <c r="E266" s="411"/>
      <c r="F266" s="411"/>
      <c r="G266" s="411"/>
      <c r="H266" s="411"/>
      <c r="I266" s="411"/>
      <c r="J266" s="411"/>
      <c r="K266" s="411"/>
      <c r="L266" s="42"/>
      <c r="M266" s="42"/>
      <c r="N266" s="42"/>
      <c r="O266" s="43"/>
    </row>
    <row r="267" spans="1:15" x14ac:dyDescent="0.2">
      <c r="A267" s="411"/>
      <c r="B267" s="411"/>
      <c r="C267" s="411"/>
      <c r="D267" s="411"/>
      <c r="E267" s="411"/>
      <c r="F267" s="411"/>
      <c r="G267" s="411"/>
      <c r="H267" s="411"/>
      <c r="I267" s="411"/>
      <c r="J267" s="346"/>
      <c r="K267" s="346"/>
      <c r="L267" s="42"/>
      <c r="M267" s="42"/>
      <c r="N267" s="42"/>
      <c r="O267" s="43"/>
    </row>
    <row r="268" spans="1:15" ht="14.25" customHeight="1" x14ac:dyDescent="0.2">
      <c r="A268" s="394" t="s">
        <v>364</v>
      </c>
      <c r="B268" s="597" t="s">
        <v>365</v>
      </c>
      <c r="C268" s="597"/>
      <c r="D268" s="597"/>
      <c r="E268" s="597"/>
      <c r="F268" s="597"/>
      <c r="G268" s="597"/>
      <c r="H268" s="597"/>
      <c r="I268" s="411"/>
      <c r="J268" s="346"/>
      <c r="K268" s="346"/>
      <c r="L268" s="42"/>
      <c r="M268" s="42"/>
      <c r="N268" s="42"/>
      <c r="O268" s="43"/>
    </row>
    <row r="269" spans="1:15" x14ac:dyDescent="0.2">
      <c r="A269" s="411"/>
      <c r="B269" s="411"/>
      <c r="C269" s="411"/>
      <c r="D269" s="411"/>
      <c r="E269" s="411"/>
      <c r="F269" s="411"/>
      <c r="G269" s="411"/>
      <c r="H269" s="411"/>
      <c r="I269" s="411"/>
      <c r="J269" s="346"/>
      <c r="K269" s="346"/>
      <c r="L269" s="42"/>
      <c r="M269" s="42"/>
      <c r="N269" s="42"/>
      <c r="O269" s="43"/>
    </row>
    <row r="270" spans="1:15" ht="28.5" customHeight="1" x14ac:dyDescent="0.2">
      <c r="A270" s="411" t="s">
        <v>46</v>
      </c>
      <c r="B270" s="586" t="s">
        <v>197</v>
      </c>
      <c r="C270" s="586"/>
      <c r="D270" s="586"/>
      <c r="E270" s="586"/>
      <c r="F270" s="586"/>
      <c r="G270" s="586"/>
      <c r="H270" s="586"/>
      <c r="I270" s="346"/>
      <c r="J270" s="411"/>
      <c r="K270" s="411"/>
      <c r="L270" s="42"/>
      <c r="M270" s="42"/>
      <c r="N270" s="42"/>
      <c r="O270" s="43"/>
    </row>
    <row r="271" spans="1:15" x14ac:dyDescent="0.2">
      <c r="A271" s="411"/>
      <c r="B271" s="411"/>
      <c r="C271" s="411"/>
      <c r="D271" s="411"/>
      <c r="E271" s="411"/>
      <c r="F271" s="411"/>
      <c r="G271" s="411"/>
      <c r="H271" s="411"/>
      <c r="I271" s="411"/>
      <c r="J271" s="411"/>
      <c r="K271" s="411"/>
      <c r="L271" s="42"/>
      <c r="M271" s="42"/>
      <c r="N271" s="42"/>
      <c r="O271" s="43"/>
    </row>
    <row r="272" spans="1:15" x14ac:dyDescent="0.2">
      <c r="A272" s="81" t="s">
        <v>77</v>
      </c>
      <c r="B272" s="357" t="s">
        <v>437</v>
      </c>
      <c r="C272" s="357"/>
      <c r="D272" s="70" t="s">
        <v>438</v>
      </c>
      <c r="E272" s="70" t="s">
        <v>50</v>
      </c>
      <c r="G272" s="411"/>
      <c r="H272" s="411"/>
      <c r="I272" s="411"/>
      <c r="J272" s="411"/>
      <c r="K272" s="411"/>
      <c r="L272" s="42"/>
      <c r="M272" s="42"/>
      <c r="N272" s="42"/>
      <c r="O272" s="43"/>
    </row>
    <row r="273" spans="1:15" x14ac:dyDescent="0.2">
      <c r="A273" s="81" t="s">
        <v>366</v>
      </c>
      <c r="B273" s="358">
        <v>797.7</v>
      </c>
      <c r="C273" s="71" t="s">
        <v>109</v>
      </c>
      <c r="D273" s="377">
        <v>783.7</v>
      </c>
      <c r="E273" s="72">
        <f>B273+D273</f>
        <v>1581.4</v>
      </c>
      <c r="G273" s="411"/>
      <c r="H273" s="411"/>
      <c r="I273" s="411"/>
      <c r="J273" s="411"/>
      <c r="K273" s="411"/>
      <c r="L273" s="42"/>
      <c r="M273" s="42"/>
      <c r="N273" s="42"/>
      <c r="O273" s="43"/>
    </row>
    <row r="274" spans="1:15" x14ac:dyDescent="0.2">
      <c r="A274" s="411"/>
      <c r="B274" s="67"/>
      <c r="C274" s="58"/>
      <c r="D274" s="69"/>
      <c r="E274" s="73"/>
      <c r="F274" s="69"/>
      <c r="G274" s="411"/>
      <c r="H274" s="411"/>
      <c r="I274" s="411"/>
      <c r="J274" s="411"/>
      <c r="K274" s="411"/>
      <c r="L274" s="42"/>
      <c r="M274" s="42"/>
      <c r="N274" s="42"/>
      <c r="O274" s="43"/>
    </row>
    <row r="275" spans="1:15" x14ac:dyDescent="0.2">
      <c r="A275" s="610" t="s">
        <v>79</v>
      </c>
      <c r="B275" s="611"/>
      <c r="C275" s="397">
        <f>SUM(E273:E273)</f>
        <v>1581.4</v>
      </c>
      <c r="D275" s="397"/>
      <c r="E275" s="102" t="s">
        <v>99</v>
      </c>
      <c r="G275" s="411"/>
      <c r="H275" s="411"/>
      <c r="I275" s="411"/>
      <c r="J275" s="411"/>
      <c r="K275" s="411"/>
      <c r="L275" s="42"/>
      <c r="M275" s="42"/>
      <c r="N275" s="42"/>
      <c r="O275" s="43"/>
    </row>
    <row r="276" spans="1:15" x14ac:dyDescent="0.2">
      <c r="A276" s="411"/>
      <c r="B276" s="411"/>
      <c r="C276" s="411"/>
      <c r="D276" s="411"/>
      <c r="E276" s="411"/>
      <c r="F276" s="411"/>
      <c r="G276" s="411"/>
      <c r="H276" s="411"/>
      <c r="I276" s="411"/>
      <c r="J276" s="411"/>
      <c r="K276" s="411"/>
      <c r="L276" s="42"/>
      <c r="M276" s="42"/>
      <c r="N276" s="42"/>
      <c r="O276" s="43"/>
    </row>
    <row r="277" spans="1:15" ht="14.25" customHeight="1" x14ac:dyDescent="0.2">
      <c r="A277" s="398" t="s">
        <v>367</v>
      </c>
      <c r="B277" s="612" t="s">
        <v>368</v>
      </c>
      <c r="C277" s="612"/>
      <c r="D277" s="612"/>
      <c r="E277" s="612"/>
      <c r="F277" s="612"/>
      <c r="G277" s="612"/>
      <c r="H277" s="612"/>
      <c r="I277" s="411"/>
      <c r="J277" s="346"/>
      <c r="K277" s="346"/>
      <c r="L277" s="42"/>
      <c r="M277" s="42"/>
      <c r="N277" s="42"/>
      <c r="O277" s="43"/>
    </row>
    <row r="278" spans="1:15" x14ac:dyDescent="0.2">
      <c r="A278" s="411"/>
      <c r="B278" s="411"/>
      <c r="C278" s="411"/>
      <c r="D278" s="411"/>
      <c r="E278" s="411"/>
      <c r="F278" s="411"/>
      <c r="G278" s="411"/>
      <c r="H278" s="411"/>
      <c r="I278" s="411"/>
      <c r="J278" s="346"/>
      <c r="K278" s="346"/>
      <c r="L278" s="42"/>
      <c r="M278" s="42"/>
      <c r="N278" s="42"/>
      <c r="O278" s="43"/>
    </row>
    <row r="279" spans="1:15" x14ac:dyDescent="0.2">
      <c r="A279" s="165" t="s">
        <v>264</v>
      </c>
      <c r="B279" s="586" t="s">
        <v>370</v>
      </c>
      <c r="C279" s="586"/>
      <c r="D279" s="586"/>
      <c r="E279" s="586"/>
      <c r="F279" s="586"/>
      <c r="G279" s="586"/>
      <c r="H279" s="586"/>
      <c r="I279" s="586"/>
      <c r="J279" s="346"/>
      <c r="K279" s="346"/>
      <c r="L279" s="42"/>
      <c r="M279" s="42"/>
      <c r="N279" s="42"/>
      <c r="O279" s="43"/>
    </row>
    <row r="280" spans="1:15" x14ac:dyDescent="0.2">
      <c r="A280" s="411"/>
      <c r="B280" s="411"/>
      <c r="C280" s="411"/>
      <c r="D280" s="411"/>
      <c r="E280" s="411"/>
      <c r="F280" s="411"/>
      <c r="G280" s="411"/>
      <c r="H280" s="411"/>
      <c r="I280" s="411"/>
      <c r="J280" s="346"/>
      <c r="K280" s="346"/>
      <c r="L280" s="42"/>
      <c r="M280" s="42"/>
      <c r="N280" s="42"/>
      <c r="O280" s="43"/>
    </row>
    <row r="281" spans="1:15" x14ac:dyDescent="0.2">
      <c r="A281" s="362" t="s">
        <v>23</v>
      </c>
      <c r="C281" s="165"/>
      <c r="D281" s="411"/>
      <c r="E281" s="411"/>
      <c r="F281" s="411"/>
      <c r="G281" s="411"/>
      <c r="H281" s="411"/>
      <c r="I281" s="411"/>
      <c r="J281" s="411"/>
      <c r="K281" s="411"/>
      <c r="L281" s="42"/>
      <c r="M281" s="42"/>
      <c r="N281" s="42"/>
      <c r="O281" s="43"/>
    </row>
    <row r="282" spans="1:15" x14ac:dyDescent="0.2">
      <c r="A282" s="356">
        <v>40</v>
      </c>
      <c r="C282" s="165"/>
      <c r="D282" s="411"/>
      <c r="E282" s="411"/>
      <c r="F282" s="411"/>
      <c r="G282" s="411"/>
      <c r="H282" s="411"/>
      <c r="I282" s="411"/>
      <c r="J282" s="411"/>
      <c r="K282" s="411"/>
      <c r="L282" s="42"/>
      <c r="M282" s="42"/>
      <c r="N282" s="42"/>
      <c r="O282" s="43"/>
    </row>
    <row r="283" spans="1:15" x14ac:dyDescent="0.2">
      <c r="A283" s="411"/>
      <c r="B283" s="371"/>
      <c r="C283" s="371"/>
      <c r="D283" s="371"/>
      <c r="E283" s="411"/>
      <c r="F283" s="411"/>
      <c r="G283" s="411"/>
      <c r="H283" s="411"/>
      <c r="I283" s="411"/>
      <c r="J283" s="411"/>
      <c r="K283" s="411"/>
      <c r="L283" s="42"/>
      <c r="M283" s="42"/>
      <c r="N283" s="42"/>
      <c r="O283" s="43"/>
    </row>
    <row r="284" spans="1:15" x14ac:dyDescent="0.2">
      <c r="A284" s="44" t="s">
        <v>96</v>
      </c>
      <c r="B284" s="352">
        <f>A282</f>
        <v>40</v>
      </c>
      <c r="C284" s="45" t="s">
        <v>25</v>
      </c>
      <c r="E284" s="411"/>
      <c r="F284" s="411"/>
      <c r="G284" s="411"/>
      <c r="H284" s="411"/>
      <c r="I284" s="411"/>
      <c r="J284" s="411"/>
      <c r="K284" s="411"/>
      <c r="L284" s="42"/>
      <c r="M284" s="42"/>
      <c r="N284" s="42"/>
      <c r="O284" s="43"/>
    </row>
    <row r="285" spans="1:15" x14ac:dyDescent="0.2">
      <c r="A285" s="411"/>
      <c r="B285" s="411"/>
      <c r="C285" s="411"/>
      <c r="D285" s="411"/>
      <c r="E285" s="411"/>
      <c r="F285" s="411"/>
      <c r="G285" s="411"/>
      <c r="H285" s="411"/>
      <c r="I285" s="411"/>
      <c r="J285" s="411"/>
      <c r="K285" s="411"/>
      <c r="L285" s="42"/>
      <c r="M285" s="42"/>
      <c r="N285" s="42"/>
      <c r="O285" s="43"/>
    </row>
    <row r="286" spans="1:15" ht="27.75" customHeight="1" x14ac:dyDescent="0.2">
      <c r="A286" s="165" t="s">
        <v>265</v>
      </c>
      <c r="B286" s="586" t="str">
        <f>'Planilha Final'!D64</f>
        <v>Base para poço de visita retangular para drenagem, em alvenaria com blocos de concreto, dimensões internas = 1X2,5 M, profundidade = 1,45 M, excluindo tampão. AF_12/2020</v>
      </c>
      <c r="C286" s="586"/>
      <c r="D286" s="586"/>
      <c r="E286" s="586"/>
      <c r="F286" s="586"/>
      <c r="G286" s="586"/>
      <c r="H286" s="586"/>
      <c r="I286" s="346"/>
      <c r="J286" s="346"/>
      <c r="K286" s="346"/>
      <c r="L286" s="42"/>
      <c r="M286" s="42"/>
      <c r="N286" s="42"/>
      <c r="O286" s="43"/>
    </row>
    <row r="287" spans="1:15" x14ac:dyDescent="0.2">
      <c r="A287" s="20"/>
      <c r="B287" s="20"/>
      <c r="C287" s="20"/>
      <c r="D287" s="20"/>
      <c r="E287" s="156"/>
      <c r="F287" s="20"/>
      <c r="G287" s="20"/>
      <c r="H287" s="157"/>
      <c r="I287" s="20"/>
      <c r="J287" s="20"/>
      <c r="K287" s="20"/>
      <c r="L287" s="42"/>
      <c r="M287" s="42"/>
      <c r="N287" s="42"/>
      <c r="O287" s="43"/>
    </row>
    <row r="288" spans="1:15" x14ac:dyDescent="0.2">
      <c r="A288" s="362" t="s">
        <v>23</v>
      </c>
      <c r="C288" s="165"/>
      <c r="D288" s="411"/>
      <c r="E288" s="411"/>
      <c r="F288" s="411"/>
      <c r="G288" s="42"/>
      <c r="H288" s="42"/>
      <c r="I288" s="42"/>
      <c r="J288" s="43"/>
      <c r="K288" s="20"/>
    </row>
    <row r="289" spans="1:15" x14ac:dyDescent="0.2">
      <c r="A289" s="356">
        <v>14</v>
      </c>
      <c r="C289" s="165"/>
      <c r="D289" s="411"/>
      <c r="E289" s="411"/>
      <c r="F289" s="411"/>
      <c r="G289" s="42"/>
      <c r="H289" s="42"/>
      <c r="I289" s="42"/>
      <c r="J289" s="43"/>
      <c r="K289" s="20"/>
    </row>
    <row r="290" spans="1:15" x14ac:dyDescent="0.2">
      <c r="A290" s="371"/>
      <c r="B290" s="371"/>
      <c r="C290" s="371"/>
      <c r="D290" s="371"/>
      <c r="E290" s="371"/>
      <c r="F290" s="411"/>
      <c r="G290" s="411"/>
      <c r="H290" s="165"/>
      <c r="I290" s="411"/>
      <c r="J290" s="411"/>
      <c r="K290" s="411"/>
      <c r="L290" s="42"/>
      <c r="M290" s="42"/>
      <c r="N290" s="42"/>
      <c r="O290" s="43"/>
    </row>
    <row r="291" spans="1:15" x14ac:dyDescent="0.2">
      <c r="A291" s="44" t="s">
        <v>96</v>
      </c>
      <c r="B291" s="155">
        <f>A289</f>
        <v>14</v>
      </c>
      <c r="C291" s="45" t="s">
        <v>25</v>
      </c>
      <c r="E291" s="371"/>
      <c r="F291" s="411"/>
      <c r="G291" s="411"/>
      <c r="H291" s="165"/>
      <c r="I291" s="411"/>
      <c r="J291" s="411"/>
      <c r="K291" s="411"/>
      <c r="L291" s="42"/>
      <c r="M291" s="42"/>
      <c r="N291" s="42"/>
      <c r="O291" s="43"/>
    </row>
    <row r="292" spans="1:15" x14ac:dyDescent="0.2">
      <c r="A292" s="371"/>
      <c r="B292" s="371"/>
      <c r="C292" s="371"/>
      <c r="D292" s="371"/>
      <c r="E292" s="371"/>
      <c r="F292" s="411"/>
      <c r="G292" s="411"/>
      <c r="H292" s="165"/>
      <c r="I292" s="411"/>
      <c r="J292" s="411"/>
      <c r="K292" s="411"/>
      <c r="L292" s="42"/>
      <c r="M292" s="42"/>
      <c r="N292" s="42"/>
      <c r="O292" s="43"/>
    </row>
    <row r="293" spans="1:15" x14ac:dyDescent="0.2">
      <c r="A293" s="371"/>
      <c r="B293" s="371"/>
      <c r="C293" s="371"/>
      <c r="D293" s="371"/>
      <c r="E293" s="371"/>
      <c r="F293" s="411"/>
      <c r="G293" s="411"/>
      <c r="H293" s="165"/>
      <c r="I293" s="411"/>
      <c r="J293" s="411"/>
      <c r="K293" s="411"/>
      <c r="L293" s="42"/>
      <c r="M293" s="42"/>
      <c r="N293" s="42"/>
      <c r="O293" s="43"/>
    </row>
    <row r="294" spans="1:15" ht="19.5" customHeight="1" x14ac:dyDescent="0.2">
      <c r="A294" s="371" t="s">
        <v>47</v>
      </c>
      <c r="B294" s="375" t="s">
        <v>371</v>
      </c>
      <c r="C294" s="371"/>
      <c r="D294" s="371"/>
      <c r="E294" s="371"/>
      <c r="F294" s="411"/>
      <c r="G294" s="411"/>
      <c r="H294" s="165"/>
      <c r="I294" s="411"/>
      <c r="J294" s="411"/>
      <c r="K294" s="411"/>
      <c r="L294" s="42"/>
      <c r="M294" s="42"/>
      <c r="N294" s="42"/>
      <c r="O294" s="43"/>
    </row>
    <row r="295" spans="1:15" ht="28.5" customHeight="1" x14ac:dyDescent="0.2">
      <c r="A295" s="371" t="s">
        <v>372</v>
      </c>
      <c r="B295" s="586" t="str">
        <f>'Planilha Final'!D66</f>
        <v>Tubo de concreto armado para águas pluviais, classe PA-1, com encaixe ponta e bolsa, diâmetro nominal de 400mm.</v>
      </c>
      <c r="C295" s="586"/>
      <c r="D295" s="586"/>
      <c r="E295" s="586"/>
      <c r="F295" s="586"/>
      <c r="G295" s="586"/>
      <c r="H295" s="586"/>
      <c r="I295" s="586"/>
      <c r="J295" s="346"/>
      <c r="K295" s="346"/>
      <c r="L295" s="42"/>
      <c r="M295" s="42"/>
      <c r="N295" s="42"/>
      <c r="O295" s="43"/>
    </row>
    <row r="296" spans="1:15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42"/>
      <c r="M296" s="42"/>
      <c r="N296" s="42"/>
      <c r="O296" s="43"/>
    </row>
    <row r="297" spans="1:15" x14ac:dyDescent="0.2">
      <c r="A297" s="594" t="s">
        <v>119</v>
      </c>
      <c r="B297" s="158" t="s">
        <v>441</v>
      </c>
      <c r="C297" s="360" t="s">
        <v>116</v>
      </c>
      <c r="E297" s="411"/>
      <c r="F297" s="411"/>
      <c r="G297" s="411"/>
      <c r="H297" s="165"/>
      <c r="I297" s="411"/>
      <c r="J297" s="411"/>
      <c r="K297" s="411"/>
      <c r="L297" s="42"/>
      <c r="M297" s="42"/>
      <c r="N297" s="42"/>
      <c r="O297" s="43"/>
    </row>
    <row r="298" spans="1:15" x14ac:dyDescent="0.2">
      <c r="A298" s="596"/>
      <c r="B298" s="160">
        <v>400</v>
      </c>
      <c r="C298" s="373">
        <f>A282*6</f>
        <v>240</v>
      </c>
      <c r="E298" s="411"/>
      <c r="F298" s="411"/>
      <c r="G298" s="411"/>
      <c r="H298" s="165"/>
      <c r="I298" s="411"/>
      <c r="J298" s="411"/>
      <c r="K298" s="411"/>
      <c r="L298" s="42"/>
      <c r="M298" s="42"/>
      <c r="N298" s="42"/>
      <c r="O298" s="43"/>
    </row>
    <row r="299" spans="1:15" x14ac:dyDescent="0.2">
      <c r="A299" s="371"/>
      <c r="F299" s="411"/>
      <c r="G299" s="411"/>
      <c r="H299" s="165"/>
      <c r="I299" s="411"/>
      <c r="J299" s="411"/>
      <c r="K299" s="411"/>
      <c r="L299" s="42"/>
      <c r="M299" s="42"/>
      <c r="N299" s="42"/>
      <c r="O299" s="43"/>
    </row>
    <row r="300" spans="1:15" x14ac:dyDescent="0.2">
      <c r="A300" s="44" t="s">
        <v>96</v>
      </c>
      <c r="B300" s="352">
        <f>C298</f>
        <v>240</v>
      </c>
      <c r="C300" s="45" t="s">
        <v>99</v>
      </c>
      <c r="F300" s="411"/>
      <c r="G300" s="411"/>
      <c r="H300" s="165"/>
      <c r="I300" s="411"/>
      <c r="J300" s="411"/>
      <c r="K300" s="411"/>
      <c r="L300" s="42"/>
      <c r="M300" s="42"/>
      <c r="N300" s="42"/>
      <c r="O300" s="43"/>
    </row>
    <row r="301" spans="1:15" x14ac:dyDescent="0.2">
      <c r="A301" s="371"/>
      <c r="B301" s="411"/>
      <c r="C301" s="411"/>
      <c r="D301" s="411"/>
      <c r="E301" s="165"/>
      <c r="F301" s="411"/>
      <c r="G301" s="411"/>
      <c r="H301" s="165"/>
      <c r="I301" s="411"/>
      <c r="J301" s="411"/>
      <c r="K301" s="411"/>
      <c r="L301" s="42"/>
      <c r="M301" s="42"/>
      <c r="N301" s="42"/>
      <c r="O301" s="43"/>
    </row>
    <row r="302" spans="1:15" ht="24" customHeight="1" x14ac:dyDescent="0.2">
      <c r="A302" s="371" t="s">
        <v>269</v>
      </c>
      <c r="B302" s="586" t="str">
        <f>'Planilha Final'!D67</f>
        <v>Tubo de concreto armado para águas pluviais, classe PA-1, com encaixe ponta e bolsa, diâmetro nominal de 600mm.</v>
      </c>
      <c r="C302" s="586"/>
      <c r="D302" s="586"/>
      <c r="E302" s="586"/>
      <c r="F302" s="586"/>
      <c r="G302" s="586"/>
      <c r="H302" s="586"/>
      <c r="I302" s="586"/>
      <c r="J302" s="346"/>
      <c r="K302" s="346"/>
      <c r="L302" s="42"/>
      <c r="M302" s="42"/>
      <c r="N302" s="42"/>
      <c r="O302" s="43"/>
    </row>
    <row r="303" spans="1:15" x14ac:dyDescent="0.2">
      <c r="A303" s="371"/>
      <c r="B303" s="411"/>
      <c r="C303" s="411"/>
      <c r="D303" s="411"/>
      <c r="E303" s="165"/>
      <c r="F303" s="411"/>
      <c r="G303" s="411"/>
      <c r="H303" s="165"/>
      <c r="I303" s="411"/>
      <c r="J303" s="411"/>
      <c r="K303" s="411"/>
      <c r="L303" s="42"/>
      <c r="M303" s="42"/>
      <c r="N303" s="42"/>
      <c r="O303" s="43"/>
    </row>
    <row r="304" spans="1:15" x14ac:dyDescent="0.2">
      <c r="A304" s="594" t="s">
        <v>119</v>
      </c>
      <c r="B304" s="158" t="s">
        <v>441</v>
      </c>
      <c r="C304" s="341" t="s">
        <v>116</v>
      </c>
      <c r="E304" s="411"/>
      <c r="F304" s="411"/>
      <c r="G304" s="411"/>
      <c r="H304" s="165"/>
      <c r="I304" s="411"/>
      <c r="J304" s="411"/>
      <c r="K304" s="411"/>
      <c r="L304" s="42"/>
      <c r="M304" s="42"/>
      <c r="N304" s="42"/>
      <c r="O304" s="43"/>
    </row>
    <row r="305" spans="1:15" x14ac:dyDescent="0.2">
      <c r="A305" s="596"/>
      <c r="B305" s="160">
        <v>600</v>
      </c>
      <c r="C305" s="373">
        <f>B13+B29+B30+B31+B32</f>
        <v>323.10000000000002</v>
      </c>
      <c r="E305" s="411"/>
      <c r="F305" s="411"/>
      <c r="G305" s="411"/>
      <c r="H305" s="165"/>
      <c r="I305" s="411"/>
      <c r="J305" s="411"/>
      <c r="K305" s="411"/>
      <c r="L305" s="42"/>
      <c r="M305" s="42"/>
      <c r="N305" s="42"/>
      <c r="O305" s="43"/>
    </row>
    <row r="306" spans="1:15" x14ac:dyDescent="0.2">
      <c r="A306" s="371"/>
      <c r="B306" s="411"/>
      <c r="C306" s="411"/>
      <c r="D306" s="411"/>
      <c r="E306" s="165"/>
      <c r="F306" s="411"/>
      <c r="G306" s="411"/>
      <c r="H306" s="165"/>
      <c r="I306" s="411"/>
      <c r="J306" s="411"/>
      <c r="K306" s="411"/>
      <c r="L306" s="42"/>
      <c r="M306" s="42"/>
      <c r="N306" s="42"/>
      <c r="O306" s="43"/>
    </row>
    <row r="307" spans="1:15" x14ac:dyDescent="0.2">
      <c r="A307" s="44" t="s">
        <v>96</v>
      </c>
      <c r="B307" s="352">
        <v>323</v>
      </c>
      <c r="C307" s="45" t="s">
        <v>99</v>
      </c>
      <c r="E307" s="165"/>
      <c r="F307" s="411"/>
      <c r="G307" s="411"/>
      <c r="H307" s="165"/>
      <c r="I307" s="411"/>
      <c r="J307" s="411"/>
      <c r="K307" s="411"/>
      <c r="L307" s="42"/>
      <c r="M307" s="42"/>
      <c r="N307" s="42"/>
      <c r="O307" s="43"/>
    </row>
    <row r="308" spans="1:15" x14ac:dyDescent="0.2">
      <c r="A308" s="371"/>
      <c r="B308" s="371"/>
      <c r="C308" s="371"/>
      <c r="D308" s="371"/>
      <c r="E308" s="371"/>
      <c r="F308" s="371"/>
      <c r="G308" s="371"/>
      <c r="H308" s="165"/>
      <c r="I308" s="411"/>
      <c r="J308" s="411"/>
      <c r="K308" s="411"/>
      <c r="L308" s="42"/>
      <c r="M308" s="42"/>
      <c r="N308" s="42"/>
      <c r="O308" s="43"/>
    </row>
    <row r="309" spans="1:15" ht="23.25" customHeight="1" x14ac:dyDescent="0.2">
      <c r="A309" s="371" t="s">
        <v>270</v>
      </c>
      <c r="B309" s="586" t="str">
        <f>'Planilha Final'!D68</f>
        <v>Tubo de concreto armado para águas pluviais, classe PA-1, com encaixe ponta e bolsa, diâmetro nominal de 800mm.</v>
      </c>
      <c r="C309" s="586"/>
      <c r="D309" s="586"/>
      <c r="E309" s="586"/>
      <c r="F309" s="586"/>
      <c r="G309" s="586"/>
      <c r="H309" s="586"/>
      <c r="I309" s="586"/>
      <c r="J309" s="346"/>
      <c r="K309" s="346"/>
      <c r="L309" s="42"/>
      <c r="M309" s="42"/>
      <c r="N309" s="42"/>
      <c r="O309" s="43"/>
    </row>
    <row r="310" spans="1:15" x14ac:dyDescent="0.2">
      <c r="A310" s="371"/>
      <c r="B310" s="411"/>
      <c r="C310" s="411"/>
      <c r="D310" s="411"/>
      <c r="E310" s="165"/>
      <c r="F310" s="411"/>
      <c r="G310" s="411"/>
      <c r="H310" s="165"/>
      <c r="I310" s="411"/>
      <c r="J310" s="411"/>
      <c r="K310" s="411"/>
      <c r="L310" s="42"/>
      <c r="M310" s="42"/>
      <c r="N310" s="42"/>
      <c r="O310" s="43"/>
    </row>
    <row r="311" spans="1:15" x14ac:dyDescent="0.2">
      <c r="A311" s="594" t="s">
        <v>121</v>
      </c>
      <c r="B311" s="158" t="s">
        <v>441</v>
      </c>
      <c r="C311" s="341" t="s">
        <v>116</v>
      </c>
      <c r="E311" s="411"/>
      <c r="F311" s="411"/>
      <c r="G311" s="411"/>
      <c r="H311" s="165"/>
      <c r="I311" s="411"/>
      <c r="J311" s="411"/>
      <c r="K311" s="411"/>
      <c r="L311" s="42"/>
      <c r="M311" s="42"/>
      <c r="N311" s="42"/>
      <c r="O311" s="43"/>
    </row>
    <row r="312" spans="1:15" x14ac:dyDescent="0.2">
      <c r="A312" s="596"/>
      <c r="B312" s="160">
        <v>800</v>
      </c>
      <c r="C312" s="373">
        <f>B36+B37+B54</f>
        <v>177.13</v>
      </c>
      <c r="E312" s="411"/>
      <c r="F312" s="411"/>
      <c r="G312" s="411"/>
      <c r="H312" s="165"/>
      <c r="I312" s="411"/>
      <c r="J312" s="411"/>
      <c r="K312" s="411"/>
      <c r="L312" s="42"/>
      <c r="M312" s="42"/>
      <c r="N312" s="42"/>
      <c r="O312" s="43"/>
    </row>
    <row r="313" spans="1:15" x14ac:dyDescent="0.2">
      <c r="A313" s="371"/>
      <c r="B313" s="411"/>
      <c r="C313" s="411"/>
      <c r="D313" s="411"/>
      <c r="E313" s="411"/>
      <c r="F313" s="411"/>
      <c r="G313" s="411"/>
      <c r="H313" s="165"/>
      <c r="I313" s="411"/>
      <c r="J313" s="411"/>
      <c r="K313" s="411"/>
      <c r="L313" s="42"/>
      <c r="M313" s="42"/>
      <c r="N313" s="42"/>
      <c r="O313" s="43"/>
    </row>
    <row r="314" spans="1:15" x14ac:dyDescent="0.2">
      <c r="A314" s="44" t="s">
        <v>96</v>
      </c>
      <c r="B314" s="352">
        <v>177</v>
      </c>
      <c r="C314" s="45" t="s">
        <v>99</v>
      </c>
      <c r="E314" s="165"/>
      <c r="F314" s="411"/>
      <c r="G314" s="411"/>
      <c r="H314" s="165"/>
      <c r="I314" s="411"/>
      <c r="J314" s="411"/>
      <c r="K314" s="411"/>
      <c r="L314" s="42"/>
      <c r="M314" s="42"/>
      <c r="N314" s="42"/>
      <c r="O314" s="43"/>
    </row>
    <row r="315" spans="1:15" x14ac:dyDescent="0.2">
      <c r="A315" s="371"/>
      <c r="B315" s="371"/>
      <c r="C315" s="371"/>
      <c r="D315" s="371"/>
      <c r="E315" s="371"/>
      <c r="F315" s="411"/>
      <c r="G315" s="411"/>
      <c r="H315" s="165"/>
      <c r="I315" s="411"/>
      <c r="J315" s="411"/>
      <c r="K315" s="411"/>
      <c r="L315" s="42"/>
      <c r="M315" s="42"/>
      <c r="N315" s="42"/>
      <c r="O315" s="43"/>
    </row>
    <row r="316" spans="1:15" x14ac:dyDescent="0.2">
      <c r="A316" s="371"/>
      <c r="B316" s="371"/>
      <c r="C316" s="371"/>
      <c r="D316" s="371"/>
      <c r="E316" s="371"/>
      <c r="F316" s="480"/>
      <c r="G316" s="480"/>
      <c r="H316" s="165"/>
      <c r="I316" s="480"/>
      <c r="J316" s="480"/>
      <c r="K316" s="480"/>
      <c r="L316" s="42"/>
      <c r="M316" s="42"/>
      <c r="N316" s="42"/>
      <c r="O316" s="43"/>
    </row>
    <row r="317" spans="1:15" ht="21" customHeight="1" x14ac:dyDescent="0.2">
      <c r="A317" s="371" t="s">
        <v>439</v>
      </c>
      <c r="B317" s="586" t="str">
        <f>'Planilha Final'!D69</f>
        <v>Tubo de concreto armado para águas pluviais, classe PA-1, com encaixe ponta e bolsa, diâmetro nominal de 1200mm.</v>
      </c>
      <c r="C317" s="586"/>
      <c r="D317" s="586"/>
      <c r="E317" s="586"/>
      <c r="F317" s="586"/>
      <c r="G317" s="586"/>
      <c r="H317" s="586"/>
      <c r="I317" s="586"/>
      <c r="J317" s="480"/>
      <c r="K317" s="480"/>
      <c r="L317" s="42"/>
      <c r="M317" s="42"/>
      <c r="N317" s="42"/>
      <c r="O317" s="43"/>
    </row>
    <row r="318" spans="1:15" x14ac:dyDescent="0.2">
      <c r="A318" s="371"/>
      <c r="B318" s="480"/>
      <c r="C318" s="480"/>
      <c r="D318" s="480"/>
      <c r="E318" s="165"/>
      <c r="F318" s="480"/>
      <c r="G318" s="480"/>
      <c r="H318" s="165"/>
      <c r="I318" s="480"/>
      <c r="J318" s="480"/>
      <c r="K318" s="480"/>
      <c r="L318" s="42"/>
      <c r="M318" s="42"/>
      <c r="N318" s="42"/>
      <c r="O318" s="43"/>
    </row>
    <row r="319" spans="1:15" x14ac:dyDescent="0.2">
      <c r="A319" s="594" t="s">
        <v>121</v>
      </c>
      <c r="B319" s="158" t="s">
        <v>441</v>
      </c>
      <c r="C319" s="341" t="s">
        <v>116</v>
      </c>
      <c r="E319" s="480"/>
      <c r="F319" s="480"/>
      <c r="G319" s="480"/>
      <c r="H319" s="165"/>
      <c r="I319" s="480"/>
      <c r="J319" s="480"/>
      <c r="K319" s="480"/>
      <c r="L319" s="42"/>
      <c r="M319" s="42"/>
      <c r="N319" s="42"/>
      <c r="O319" s="43"/>
    </row>
    <row r="320" spans="1:15" x14ac:dyDescent="0.2">
      <c r="A320" s="596"/>
      <c r="B320" s="160">
        <v>1200</v>
      </c>
      <c r="C320" s="373">
        <f>B41+B42+B43+B44+B55</f>
        <v>396.31</v>
      </c>
      <c r="E320" s="480"/>
      <c r="F320" s="480"/>
      <c r="G320" s="480"/>
      <c r="H320" s="165"/>
      <c r="I320" s="480"/>
      <c r="J320" s="480"/>
      <c r="K320" s="480"/>
      <c r="L320" s="42"/>
      <c r="M320" s="42"/>
      <c r="N320" s="42"/>
      <c r="O320" s="43"/>
    </row>
    <row r="321" spans="1:15" x14ac:dyDescent="0.2">
      <c r="A321" s="371"/>
      <c r="B321" s="480"/>
      <c r="C321" s="480"/>
      <c r="D321" s="480"/>
      <c r="E321" s="480"/>
      <c r="F321" s="480"/>
      <c r="G321" s="480"/>
      <c r="H321" s="165"/>
      <c r="I321" s="480"/>
      <c r="J321" s="480"/>
      <c r="K321" s="480"/>
      <c r="L321" s="42"/>
      <c r="M321" s="42"/>
      <c r="N321" s="42"/>
      <c r="O321" s="43"/>
    </row>
    <row r="322" spans="1:15" x14ac:dyDescent="0.2">
      <c r="A322" s="44" t="s">
        <v>96</v>
      </c>
      <c r="B322" s="352">
        <v>396</v>
      </c>
      <c r="C322" s="45" t="s">
        <v>99</v>
      </c>
      <c r="E322" s="165"/>
      <c r="F322" s="480"/>
      <c r="G322" s="480"/>
      <c r="H322" s="165"/>
      <c r="I322" s="480"/>
      <c r="J322" s="411"/>
      <c r="K322" s="411"/>
      <c r="L322" s="42"/>
      <c r="M322" s="42"/>
      <c r="N322" s="42"/>
      <c r="O322" s="43"/>
    </row>
    <row r="323" spans="1:15" x14ac:dyDescent="0.2">
      <c r="A323" s="480"/>
      <c r="B323" s="480"/>
      <c r="C323" s="480"/>
      <c r="D323" s="480"/>
      <c r="E323" s="165"/>
      <c r="F323" s="480"/>
      <c r="G323" s="480"/>
      <c r="H323" s="165"/>
      <c r="I323" s="480"/>
      <c r="J323" s="480"/>
      <c r="K323" s="480"/>
      <c r="L323" s="42"/>
      <c r="M323" s="42"/>
      <c r="N323" s="42"/>
      <c r="O323" s="43"/>
    </row>
    <row r="324" spans="1:15" x14ac:dyDescent="0.2">
      <c r="A324" s="480"/>
      <c r="B324" s="480"/>
      <c r="C324" s="480"/>
      <c r="D324" s="480"/>
      <c r="E324" s="165"/>
      <c r="F324" s="480"/>
      <c r="G324" s="480"/>
      <c r="H324" s="165"/>
      <c r="I324" s="480"/>
      <c r="J324" s="480"/>
      <c r="K324" s="480"/>
      <c r="L324" s="42"/>
      <c r="M324" s="42"/>
      <c r="N324" s="42"/>
      <c r="O324" s="43"/>
    </row>
    <row r="325" spans="1:15" x14ac:dyDescent="0.2">
      <c r="A325" s="371" t="s">
        <v>125</v>
      </c>
      <c r="B325" s="375" t="s">
        <v>209</v>
      </c>
      <c r="C325" s="371"/>
      <c r="D325" s="371"/>
      <c r="E325" s="371"/>
      <c r="F325" s="411"/>
      <c r="G325" s="411"/>
      <c r="H325" s="165"/>
      <c r="I325" s="411"/>
      <c r="J325" s="411"/>
      <c r="K325" s="411"/>
      <c r="L325" s="42"/>
      <c r="M325" s="42"/>
      <c r="N325" s="42"/>
      <c r="O325" s="43"/>
    </row>
    <row r="326" spans="1:15" ht="24" customHeight="1" x14ac:dyDescent="0.2">
      <c r="A326" s="371" t="s">
        <v>271</v>
      </c>
      <c r="B326" s="601" t="str">
        <f>'Planilha Final'!D71</f>
        <v>Assentamento de tubo de concreto para redes coletoras de águas pluviais, diâmetro de 400mm, junta rígida, instalado em local com baixo nível de interferência (não inclui fornecimento). AF_ 12/2015.</v>
      </c>
      <c r="C326" s="601"/>
      <c r="D326" s="601"/>
      <c r="E326" s="601"/>
      <c r="F326" s="601"/>
      <c r="G326" s="601"/>
      <c r="H326" s="601"/>
      <c r="I326" s="405"/>
      <c r="J326" s="376"/>
      <c r="K326" s="376"/>
      <c r="L326" s="42"/>
      <c r="M326" s="42"/>
      <c r="N326" s="42"/>
      <c r="O326" s="43"/>
    </row>
    <row r="327" spans="1:15" x14ac:dyDescent="0.2">
      <c r="A327" s="371"/>
      <c r="B327" s="371"/>
      <c r="C327" s="371"/>
      <c r="D327" s="371"/>
      <c r="E327" s="371"/>
      <c r="F327" s="411"/>
      <c r="G327" s="411"/>
      <c r="H327" s="165"/>
      <c r="I327" s="411"/>
      <c r="J327" s="411"/>
      <c r="K327" s="411"/>
      <c r="L327" s="42"/>
      <c r="M327" s="42"/>
      <c r="N327" s="42"/>
      <c r="O327" s="43"/>
    </row>
    <row r="328" spans="1:15" x14ac:dyDescent="0.2">
      <c r="A328" s="399" t="s">
        <v>119</v>
      </c>
      <c r="B328" s="158" t="s">
        <v>180</v>
      </c>
      <c r="C328" s="360" t="s">
        <v>116</v>
      </c>
      <c r="E328" s="411"/>
      <c r="F328" s="411"/>
      <c r="G328" s="411"/>
      <c r="H328" s="165"/>
      <c r="I328" s="411"/>
      <c r="J328" s="411"/>
      <c r="K328" s="411"/>
      <c r="L328" s="42"/>
      <c r="M328" s="42"/>
      <c r="N328" s="42"/>
      <c r="O328" s="43"/>
    </row>
    <row r="329" spans="1:15" x14ac:dyDescent="0.2">
      <c r="A329" s="400"/>
      <c r="B329" s="160">
        <v>400</v>
      </c>
      <c r="C329" s="373">
        <f>B300</f>
        <v>240</v>
      </c>
      <c r="E329" s="411"/>
      <c r="F329" s="411"/>
      <c r="G329" s="411"/>
      <c r="H329" s="165"/>
      <c r="I329" s="411"/>
      <c r="J329" s="411"/>
      <c r="K329" s="411"/>
      <c r="L329" s="42"/>
      <c r="M329" s="42"/>
      <c r="N329" s="42"/>
      <c r="O329" s="43"/>
    </row>
    <row r="330" spans="1:15" x14ac:dyDescent="0.2">
      <c r="A330" s="371"/>
      <c r="E330" s="411"/>
      <c r="F330" s="411"/>
      <c r="G330" s="411"/>
      <c r="H330" s="165"/>
      <c r="I330" s="411"/>
      <c r="J330" s="411"/>
      <c r="K330" s="411"/>
      <c r="L330" s="42"/>
      <c r="M330" s="42"/>
      <c r="N330" s="42"/>
      <c r="O330" s="43"/>
    </row>
    <row r="331" spans="1:15" x14ac:dyDescent="0.2">
      <c r="A331" s="44" t="s">
        <v>96</v>
      </c>
      <c r="B331" s="352">
        <f>C329</f>
        <v>240</v>
      </c>
      <c r="C331" s="45" t="s">
        <v>99</v>
      </c>
      <c r="F331" s="411"/>
      <c r="G331" s="411"/>
      <c r="H331" s="165"/>
      <c r="I331" s="411"/>
      <c r="J331" s="411"/>
      <c r="K331" s="411"/>
      <c r="L331" s="42"/>
      <c r="M331" s="42"/>
      <c r="N331" s="42"/>
      <c r="O331" s="43"/>
    </row>
    <row r="332" spans="1:15" x14ac:dyDescent="0.2">
      <c r="A332" s="371"/>
      <c r="B332" s="371"/>
      <c r="C332" s="371"/>
      <c r="D332" s="371"/>
      <c r="E332" s="371"/>
      <c r="F332" s="411"/>
      <c r="G332" s="411"/>
      <c r="H332" s="165"/>
      <c r="I332" s="411"/>
      <c r="J332" s="411"/>
      <c r="K332" s="411"/>
      <c r="L332" s="42"/>
      <c r="M332" s="42"/>
      <c r="N332" s="42"/>
      <c r="O332" s="43"/>
    </row>
    <row r="333" spans="1:15" x14ac:dyDescent="0.2">
      <c r="A333" s="371"/>
      <c r="B333" s="371"/>
      <c r="C333" s="371"/>
      <c r="D333" s="371"/>
      <c r="E333" s="371"/>
      <c r="F333" s="411"/>
      <c r="G333" s="411"/>
      <c r="H333" s="165"/>
      <c r="I333" s="411"/>
      <c r="J333" s="411"/>
      <c r="K333" s="411"/>
      <c r="L333" s="42"/>
      <c r="M333" s="42"/>
      <c r="N333" s="42"/>
      <c r="O333" s="43"/>
    </row>
    <row r="334" spans="1:15" ht="25.5" customHeight="1" x14ac:dyDescent="0.2">
      <c r="A334" s="371" t="s">
        <v>272</v>
      </c>
      <c r="B334" s="601" t="str">
        <f>'Planilha Final'!D72</f>
        <v>Assentamento de tubo de concreto para redes coletoras de águas pluviais, diâmetro de 600mm, junta rígida, instalado em local com baixo nível de interferência (não inclui fornecimento). AF_ 12/2015.</v>
      </c>
      <c r="C334" s="601"/>
      <c r="D334" s="601"/>
      <c r="E334" s="601"/>
      <c r="F334" s="601"/>
      <c r="G334" s="601"/>
      <c r="H334" s="601"/>
      <c r="I334" s="405"/>
      <c r="J334" s="376"/>
      <c r="K334" s="376"/>
      <c r="L334" s="42"/>
      <c r="M334" s="42"/>
      <c r="N334" s="42"/>
      <c r="O334" s="43"/>
    </row>
    <row r="335" spans="1:15" x14ac:dyDescent="0.2">
      <c r="A335" s="371"/>
      <c r="B335" s="371"/>
      <c r="C335" s="371"/>
      <c r="D335" s="371"/>
      <c r="E335" s="371"/>
      <c r="F335" s="411"/>
      <c r="G335" s="411"/>
      <c r="H335" s="165"/>
      <c r="I335" s="411"/>
      <c r="J335" s="411"/>
      <c r="K335" s="411"/>
      <c r="L335" s="42"/>
      <c r="M335" s="42"/>
      <c r="N335" s="42"/>
      <c r="O335" s="43"/>
    </row>
    <row r="336" spans="1:15" x14ac:dyDescent="0.2">
      <c r="A336" s="594" t="s">
        <v>119</v>
      </c>
      <c r="B336" s="158" t="s">
        <v>180</v>
      </c>
      <c r="C336" s="341" t="s">
        <v>116</v>
      </c>
      <c r="E336" s="411"/>
      <c r="F336" s="411"/>
      <c r="G336" s="411"/>
      <c r="H336" s="165"/>
      <c r="I336" s="411"/>
      <c r="J336" s="411"/>
      <c r="K336" s="411"/>
      <c r="L336" s="42"/>
      <c r="M336" s="42"/>
      <c r="N336" s="42"/>
      <c r="O336" s="43"/>
    </row>
    <row r="337" spans="1:15" x14ac:dyDescent="0.2">
      <c r="A337" s="596"/>
      <c r="B337" s="160">
        <v>600</v>
      </c>
      <c r="C337" s="373">
        <f>B307</f>
        <v>323</v>
      </c>
      <c r="E337" s="411"/>
      <c r="F337" s="411"/>
      <c r="G337" s="411"/>
      <c r="H337" s="165"/>
      <c r="I337" s="411"/>
      <c r="J337" s="411"/>
      <c r="K337" s="411"/>
      <c r="L337" s="42"/>
      <c r="M337" s="42"/>
      <c r="N337" s="42"/>
      <c r="O337" s="43"/>
    </row>
    <row r="338" spans="1:15" x14ac:dyDescent="0.2">
      <c r="A338" s="371"/>
      <c r="B338" s="411"/>
      <c r="C338" s="411"/>
      <c r="D338" s="411"/>
      <c r="E338" s="165"/>
      <c r="F338" s="411"/>
      <c r="G338" s="411"/>
      <c r="H338" s="165"/>
      <c r="I338" s="411"/>
      <c r="J338" s="411"/>
      <c r="K338" s="411"/>
      <c r="L338" s="42"/>
      <c r="M338" s="42"/>
      <c r="N338" s="42"/>
      <c r="O338" s="43"/>
    </row>
    <row r="339" spans="1:15" x14ac:dyDescent="0.2">
      <c r="A339" s="44" t="s">
        <v>96</v>
      </c>
      <c r="B339" s="352">
        <f>C337</f>
        <v>323</v>
      </c>
      <c r="C339" s="45" t="s">
        <v>99</v>
      </c>
      <c r="E339" s="165"/>
      <c r="F339" s="411"/>
      <c r="G339" s="411"/>
      <c r="H339" s="165"/>
      <c r="I339" s="411"/>
      <c r="J339" s="411"/>
      <c r="K339" s="411"/>
      <c r="L339" s="42"/>
      <c r="M339" s="42"/>
      <c r="N339" s="42"/>
      <c r="O339" s="43"/>
    </row>
    <row r="340" spans="1:15" x14ac:dyDescent="0.2">
      <c r="A340" s="371"/>
      <c r="B340" s="371"/>
      <c r="C340" s="371"/>
      <c r="D340" s="371"/>
      <c r="E340" s="371"/>
      <c r="F340" s="411"/>
      <c r="G340" s="411"/>
      <c r="H340" s="165"/>
      <c r="I340" s="411"/>
      <c r="J340" s="411"/>
      <c r="K340" s="411"/>
      <c r="L340" s="42"/>
      <c r="M340" s="42"/>
      <c r="N340" s="42"/>
      <c r="O340" s="43"/>
    </row>
    <row r="341" spans="1:15" x14ac:dyDescent="0.2">
      <c r="A341" s="371"/>
      <c r="B341" s="371"/>
      <c r="C341" s="371"/>
      <c r="D341" s="371"/>
      <c r="E341" s="371"/>
      <c r="F341" s="411"/>
      <c r="G341" s="411"/>
      <c r="H341" s="165"/>
      <c r="I341" s="411"/>
      <c r="J341" s="411"/>
      <c r="K341" s="411"/>
      <c r="L341" s="42"/>
      <c r="M341" s="42"/>
      <c r="N341" s="42"/>
      <c r="O341" s="43"/>
    </row>
    <row r="342" spans="1:15" ht="24.75" customHeight="1" x14ac:dyDescent="0.2">
      <c r="A342" s="371" t="s">
        <v>273</v>
      </c>
      <c r="B342" s="601" t="str">
        <f>'Planilha Final'!D73</f>
        <v>Assentamento de tubo de concreto para redes coletoras de águas pluviais, diâmetro de 800mm, junta rígida, instalado em local com baixo nível de interferência (não inclui fornecimento). AF_ 12/2015.</v>
      </c>
      <c r="C342" s="601"/>
      <c r="D342" s="601"/>
      <c r="E342" s="601"/>
      <c r="F342" s="601"/>
      <c r="G342" s="601"/>
      <c r="H342" s="601"/>
      <c r="I342" s="405"/>
      <c r="J342" s="411"/>
      <c r="K342" s="411"/>
      <c r="L342" s="42"/>
      <c r="M342" s="42"/>
      <c r="N342" s="42"/>
      <c r="O342" s="43"/>
    </row>
    <row r="343" spans="1:15" x14ac:dyDescent="0.2">
      <c r="A343" s="371"/>
      <c r="B343" s="371"/>
      <c r="C343" s="371"/>
      <c r="D343" s="371"/>
      <c r="E343" s="371"/>
      <c r="F343" s="411"/>
      <c r="G343" s="411"/>
      <c r="H343" s="165"/>
      <c r="I343" s="411"/>
      <c r="J343" s="411"/>
      <c r="K343" s="411"/>
      <c r="L343" s="42"/>
      <c r="M343" s="42"/>
      <c r="N343" s="42"/>
      <c r="O343" s="43"/>
    </row>
    <row r="344" spans="1:15" x14ac:dyDescent="0.2">
      <c r="A344" s="594" t="s">
        <v>121</v>
      </c>
      <c r="B344" s="158" t="s">
        <v>180</v>
      </c>
      <c r="C344" s="341" t="s">
        <v>116</v>
      </c>
      <c r="E344" s="411"/>
      <c r="F344" s="411"/>
      <c r="G344" s="411"/>
      <c r="H344" s="165"/>
      <c r="I344" s="411"/>
      <c r="J344" s="411"/>
      <c r="K344" s="411"/>
      <c r="L344" s="42"/>
      <c r="M344" s="42"/>
      <c r="N344" s="42"/>
      <c r="O344" s="43"/>
    </row>
    <row r="345" spans="1:15" x14ac:dyDescent="0.2">
      <c r="A345" s="596"/>
      <c r="B345" s="160">
        <v>800</v>
      </c>
      <c r="C345" s="373">
        <f>B314</f>
        <v>177</v>
      </c>
      <c r="E345" s="411"/>
      <c r="F345" s="411"/>
      <c r="G345" s="411"/>
      <c r="H345" s="165"/>
      <c r="I345" s="411"/>
      <c r="J345" s="411"/>
      <c r="K345" s="411"/>
      <c r="L345" s="42"/>
      <c r="M345" s="42"/>
      <c r="N345" s="42"/>
      <c r="O345" s="43"/>
    </row>
    <row r="346" spans="1:15" x14ac:dyDescent="0.2">
      <c r="A346" s="371"/>
      <c r="B346" s="411"/>
      <c r="C346" s="411"/>
      <c r="D346" s="411"/>
      <c r="E346" s="165"/>
      <c r="F346" s="411"/>
      <c r="G346" s="411"/>
      <c r="H346" s="165"/>
      <c r="I346" s="411"/>
      <c r="J346" s="411"/>
      <c r="K346" s="411"/>
      <c r="L346" s="42"/>
      <c r="M346" s="42"/>
      <c r="N346" s="42"/>
      <c r="O346" s="43"/>
    </row>
    <row r="347" spans="1:15" x14ac:dyDescent="0.2">
      <c r="A347" s="44" t="s">
        <v>96</v>
      </c>
      <c r="B347" s="352">
        <f>C345</f>
        <v>177</v>
      </c>
      <c r="C347" s="45" t="s">
        <v>99</v>
      </c>
      <c r="E347" s="165"/>
      <c r="F347" s="411"/>
      <c r="G347" s="411"/>
      <c r="H347" s="165"/>
      <c r="I347" s="411"/>
      <c r="J347" s="411"/>
      <c r="K347" s="411"/>
      <c r="L347" s="42"/>
      <c r="M347" s="42"/>
      <c r="N347" s="42"/>
      <c r="O347" s="43"/>
    </row>
    <row r="348" spans="1:15" x14ac:dyDescent="0.2">
      <c r="A348" s="371"/>
      <c r="B348" s="371"/>
      <c r="C348" s="371"/>
      <c r="D348" s="371"/>
      <c r="E348" s="371"/>
      <c r="F348" s="411"/>
      <c r="G348" s="411"/>
      <c r="H348" s="165"/>
      <c r="I348" s="411"/>
      <c r="J348" s="411"/>
      <c r="K348" s="411"/>
      <c r="L348" s="42"/>
      <c r="M348" s="42"/>
      <c r="N348" s="42"/>
      <c r="O348" s="43"/>
    </row>
    <row r="349" spans="1:15" x14ac:dyDescent="0.2">
      <c r="A349" s="371"/>
      <c r="B349" s="371"/>
      <c r="C349" s="371"/>
      <c r="D349" s="371"/>
      <c r="E349" s="371"/>
      <c r="F349" s="480"/>
      <c r="G349" s="480"/>
      <c r="H349" s="165"/>
      <c r="I349" s="480"/>
      <c r="J349" s="480"/>
      <c r="K349" s="480"/>
      <c r="L349" s="42"/>
      <c r="M349" s="42"/>
      <c r="N349" s="42"/>
      <c r="O349" s="43"/>
    </row>
    <row r="350" spans="1:15" ht="27.75" customHeight="1" x14ac:dyDescent="0.2">
      <c r="A350" s="371" t="s">
        <v>440</v>
      </c>
      <c r="B350" s="601" t="str">
        <f>'Planilha Final'!D74</f>
        <v>Assentamento de tubo de concreto para redes coletoras de águas pluviais, diâmetro de 1200mm, junta rígida, instalado em local com baixo nível de interferência (não inclui fornecimento). AF_ 12/2015.</v>
      </c>
      <c r="C350" s="601"/>
      <c r="D350" s="601"/>
      <c r="E350" s="601"/>
      <c r="F350" s="601"/>
      <c r="G350" s="601"/>
      <c r="H350" s="601"/>
      <c r="I350" s="480"/>
      <c r="J350" s="480"/>
      <c r="K350" s="480"/>
      <c r="L350" s="42"/>
      <c r="M350" s="42"/>
      <c r="N350" s="42"/>
      <c r="O350" s="43"/>
    </row>
    <row r="351" spans="1:15" x14ac:dyDescent="0.2">
      <c r="A351" s="371"/>
      <c r="B351" s="371"/>
      <c r="C351" s="371"/>
      <c r="D351" s="371"/>
      <c r="E351" s="371"/>
      <c r="F351" s="480"/>
      <c r="G351" s="480"/>
      <c r="H351" s="165"/>
      <c r="I351" s="480"/>
      <c r="J351" s="480"/>
      <c r="K351" s="480"/>
      <c r="L351" s="42"/>
      <c r="M351" s="42"/>
      <c r="N351" s="42"/>
      <c r="O351" s="43"/>
    </row>
    <row r="352" spans="1:15" x14ac:dyDescent="0.2">
      <c r="A352" s="594" t="s">
        <v>121</v>
      </c>
      <c r="B352" s="158" t="s">
        <v>180</v>
      </c>
      <c r="C352" s="341" t="s">
        <v>116</v>
      </c>
      <c r="E352" s="480"/>
      <c r="F352" s="480"/>
      <c r="G352" s="480"/>
      <c r="H352" s="165"/>
      <c r="I352" s="480"/>
      <c r="J352" s="480"/>
      <c r="K352" s="480"/>
      <c r="L352" s="42"/>
      <c r="M352" s="42"/>
      <c r="N352" s="42"/>
      <c r="O352" s="43"/>
    </row>
    <row r="353" spans="1:15" x14ac:dyDescent="0.2">
      <c r="A353" s="596"/>
      <c r="B353" s="160">
        <v>1200</v>
      </c>
      <c r="C353" s="373">
        <f>B322</f>
        <v>396</v>
      </c>
      <c r="E353" s="480"/>
      <c r="F353" s="480"/>
      <c r="G353" s="480"/>
      <c r="H353" s="165"/>
      <c r="I353" s="480"/>
      <c r="J353" s="480"/>
      <c r="K353" s="480"/>
      <c r="L353" s="42"/>
      <c r="M353" s="42"/>
      <c r="N353" s="42"/>
      <c r="O353" s="43"/>
    </row>
    <row r="354" spans="1:15" x14ac:dyDescent="0.2">
      <c r="A354" s="371"/>
      <c r="B354" s="480"/>
      <c r="C354" s="480"/>
      <c r="D354" s="480"/>
      <c r="E354" s="165"/>
      <c r="F354" s="480"/>
      <c r="G354" s="480"/>
      <c r="H354" s="165"/>
      <c r="I354" s="480"/>
      <c r="J354" s="480"/>
      <c r="K354" s="480"/>
      <c r="L354" s="42"/>
      <c r="M354" s="42"/>
      <c r="N354" s="42"/>
      <c r="O354" s="43"/>
    </row>
    <row r="355" spans="1:15" x14ac:dyDescent="0.2">
      <c r="A355" s="44" t="s">
        <v>96</v>
      </c>
      <c r="B355" s="352">
        <f>C353</f>
        <v>396</v>
      </c>
      <c r="C355" s="45" t="s">
        <v>99</v>
      </c>
      <c r="E355" s="165"/>
      <c r="F355" s="480"/>
      <c r="G355" s="480"/>
      <c r="H355" s="165"/>
      <c r="I355" s="480"/>
      <c r="J355" s="480"/>
      <c r="K355" s="480"/>
      <c r="L355" s="42"/>
      <c r="M355" s="42"/>
      <c r="N355" s="42"/>
      <c r="O355" s="43"/>
    </row>
    <row r="356" spans="1:15" ht="12.75" customHeight="1" x14ac:dyDescent="0.2">
      <c r="L356" s="42"/>
      <c r="M356" s="42"/>
      <c r="N356" s="42"/>
      <c r="O356" s="43"/>
    </row>
    <row r="357" spans="1:15" ht="13.9" customHeight="1" x14ac:dyDescent="0.2">
      <c r="A357" s="406">
        <v>8</v>
      </c>
      <c r="B357" s="602" t="s">
        <v>375</v>
      </c>
      <c r="C357" s="603"/>
      <c r="D357" s="603"/>
      <c r="E357" s="603"/>
      <c r="F357" s="603"/>
      <c r="G357" s="603"/>
      <c r="H357" s="604"/>
      <c r="I357" s="42"/>
      <c r="J357" s="42"/>
      <c r="K357" s="42"/>
      <c r="L357" s="42"/>
      <c r="M357" s="42"/>
      <c r="N357" s="42"/>
      <c r="O357" s="43"/>
    </row>
    <row r="358" spans="1:15" x14ac:dyDescent="0.2">
      <c r="A358" s="41"/>
      <c r="B358" s="409"/>
      <c r="C358" s="409"/>
      <c r="D358" s="409"/>
      <c r="E358" s="409"/>
      <c r="F358" s="409"/>
      <c r="G358" s="409"/>
      <c r="H358" s="409"/>
      <c r="I358" s="409"/>
      <c r="J358" s="409"/>
      <c r="K358" s="409"/>
      <c r="L358" s="42"/>
      <c r="M358" s="42"/>
      <c r="N358" s="42"/>
      <c r="O358" s="43"/>
    </row>
    <row r="359" spans="1:15" ht="18.75" customHeight="1" x14ac:dyDescent="0.2">
      <c r="A359" s="42" t="s">
        <v>123</v>
      </c>
      <c r="B359" s="598" t="s">
        <v>373</v>
      </c>
      <c r="C359" s="598"/>
      <c r="D359" s="598"/>
      <c r="E359" s="598"/>
      <c r="F359" s="598"/>
      <c r="G359" s="598"/>
      <c r="H359" s="598"/>
      <c r="I359" s="598"/>
      <c r="J359" s="42"/>
      <c r="K359" s="42"/>
      <c r="L359" s="42"/>
      <c r="M359" s="42"/>
      <c r="N359" s="42"/>
      <c r="O359" s="43"/>
    </row>
    <row r="360" spans="1:15" x14ac:dyDescent="0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3"/>
    </row>
    <row r="361" spans="1:15" ht="15.75" customHeight="1" x14ac:dyDescent="0.2">
      <c r="A361" s="42" t="s">
        <v>374</v>
      </c>
      <c r="B361" s="598" t="str">
        <f>'Planilha Final'!D79</f>
        <v>Escavação horizontal em solo de  1a  categoria com trator de esteiras ( 100HP/Lâmina: 2,19M3). AF_07/2020</v>
      </c>
      <c r="C361" s="598"/>
      <c r="D361" s="598"/>
      <c r="E361" s="598"/>
      <c r="F361" s="598"/>
      <c r="G361" s="598"/>
      <c r="H361" s="598"/>
      <c r="I361" s="598"/>
      <c r="J361" s="42"/>
      <c r="K361" s="42"/>
      <c r="L361" s="42"/>
      <c r="M361" s="42"/>
      <c r="N361" s="42"/>
      <c r="O361" s="43"/>
    </row>
    <row r="362" spans="1:15" x14ac:dyDescent="0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3"/>
    </row>
    <row r="363" spans="1:15" ht="25.5" x14ac:dyDescent="0.2">
      <c r="A363" s="81" t="s">
        <v>77</v>
      </c>
      <c r="B363" s="357" t="s">
        <v>78</v>
      </c>
      <c r="C363" s="357" t="s">
        <v>376</v>
      </c>
      <c r="D363" s="70" t="s">
        <v>377</v>
      </c>
      <c r="E363" s="70" t="s">
        <v>378</v>
      </c>
      <c r="F363" s="357"/>
      <c r="G363" s="357" t="s">
        <v>118</v>
      </c>
      <c r="I363" s="42"/>
      <c r="J363" s="42"/>
      <c r="K363" s="42"/>
      <c r="L363" s="42"/>
      <c r="M363" s="42"/>
      <c r="N363" s="42"/>
      <c r="O363" s="43"/>
    </row>
    <row r="364" spans="1:15" ht="25.5" x14ac:dyDescent="0.2">
      <c r="A364" s="81" t="s">
        <v>503</v>
      </c>
      <c r="B364" s="358">
        <v>800</v>
      </c>
      <c r="C364" s="71">
        <f>5.7+0.9+2.4</f>
        <v>9</v>
      </c>
      <c r="D364" s="377">
        <v>0</v>
      </c>
      <c r="E364" s="72">
        <v>0.18</v>
      </c>
      <c r="F364" s="379" t="s">
        <v>504</v>
      </c>
      <c r="G364" s="378">
        <f>B364*C364*(D364+E364)</f>
        <v>1296</v>
      </c>
      <c r="I364" s="42"/>
      <c r="J364" s="42"/>
      <c r="K364" s="42"/>
      <c r="L364" s="42"/>
      <c r="M364" s="42"/>
      <c r="N364" s="42"/>
      <c r="O364" s="43"/>
    </row>
    <row r="365" spans="1:15" x14ac:dyDescent="0.2">
      <c r="A365" s="42"/>
      <c r="B365" s="67"/>
      <c r="C365" s="58"/>
      <c r="D365" s="69"/>
      <c r="E365" s="73"/>
      <c r="F365" s="69"/>
      <c r="G365" s="42"/>
      <c r="H365" s="42"/>
      <c r="I365" s="42"/>
      <c r="J365" s="42"/>
      <c r="K365" s="42"/>
      <c r="L365" s="42"/>
      <c r="M365" s="42"/>
      <c r="N365" s="42"/>
      <c r="O365" s="43"/>
    </row>
    <row r="366" spans="1:15" x14ac:dyDescent="0.2">
      <c r="A366" s="599" t="s">
        <v>379</v>
      </c>
      <c r="B366" s="600"/>
      <c r="C366" s="383">
        <f>G364</f>
        <v>1296</v>
      </c>
      <c r="D366" s="380" t="s">
        <v>6</v>
      </c>
      <c r="F366" s="42"/>
      <c r="G366" s="42"/>
      <c r="H366" s="42"/>
      <c r="I366" s="42"/>
      <c r="J366" s="42"/>
      <c r="K366" s="42"/>
      <c r="L366" s="42"/>
      <c r="M366" s="42"/>
      <c r="N366" s="42"/>
      <c r="O366" s="43"/>
    </row>
    <row r="367" spans="1:15" x14ac:dyDescent="0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3"/>
    </row>
    <row r="368" spans="1:15" x14ac:dyDescent="0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3"/>
    </row>
    <row r="369" spans="1:15" ht="29.25" customHeight="1" x14ac:dyDescent="0.2">
      <c r="A369" s="42" t="s">
        <v>380</v>
      </c>
      <c r="B369" s="598" t="str">
        <f>'Planilha Final'!D80</f>
        <v>Carga , manobra e descarga de solos e materiais granulados em caminhão basculante 6 m³ -  carga com pá carregadeira caçamba  1,7 A 2,8 m³ / 128 HP)e descarga livre (Unidade: m³). AF_07/2020</v>
      </c>
      <c r="C369" s="598"/>
      <c r="D369" s="598"/>
      <c r="E369" s="598"/>
      <c r="F369" s="598"/>
      <c r="G369" s="598"/>
      <c r="H369" s="598"/>
      <c r="I369" s="42"/>
      <c r="J369" s="42"/>
      <c r="K369" s="42"/>
      <c r="L369" s="42"/>
      <c r="M369" s="42"/>
      <c r="N369" s="42"/>
      <c r="O369" s="43"/>
    </row>
    <row r="370" spans="1:15" x14ac:dyDescent="0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3"/>
    </row>
    <row r="371" spans="1:15" ht="25.5" x14ac:dyDescent="0.2">
      <c r="A371" s="81" t="s">
        <v>77</v>
      </c>
      <c r="B371" s="357" t="s">
        <v>78</v>
      </c>
      <c r="C371" s="357" t="s">
        <v>376</v>
      </c>
      <c r="D371" s="70" t="s">
        <v>377</v>
      </c>
      <c r="E371" s="70" t="s">
        <v>378</v>
      </c>
      <c r="F371" s="357"/>
      <c r="G371" s="357" t="s">
        <v>118</v>
      </c>
      <c r="I371" s="42"/>
      <c r="J371" s="42"/>
      <c r="K371" s="42"/>
      <c r="L371" s="42"/>
      <c r="M371" s="42"/>
      <c r="N371" s="42"/>
      <c r="O371" s="43"/>
    </row>
    <row r="372" spans="1:15" ht="27" customHeight="1" x14ac:dyDescent="0.2">
      <c r="A372" s="81" t="str">
        <f>A364</f>
        <v>VIA DO CONDOMÍNIO BEM VIVER</v>
      </c>
      <c r="B372" s="358">
        <v>800</v>
      </c>
      <c r="C372" s="71">
        <v>9</v>
      </c>
      <c r="D372" s="377">
        <v>0</v>
      </c>
      <c r="E372" s="72">
        <v>0.18</v>
      </c>
      <c r="F372" s="379" t="s">
        <v>505</v>
      </c>
      <c r="G372" s="378">
        <f>B372*C372*(D372+E372)</f>
        <v>1296</v>
      </c>
      <c r="I372" s="42"/>
      <c r="J372" s="42"/>
      <c r="K372" s="42"/>
      <c r="L372" s="42"/>
      <c r="M372" s="42"/>
      <c r="N372" s="42"/>
      <c r="O372" s="43"/>
    </row>
    <row r="373" spans="1:15" x14ac:dyDescent="0.2">
      <c r="A373" s="42"/>
      <c r="B373" s="67"/>
      <c r="C373" s="58"/>
      <c r="D373" s="69"/>
      <c r="E373" s="73"/>
      <c r="F373" s="69"/>
      <c r="G373" s="42"/>
      <c r="H373" s="42"/>
      <c r="I373" s="42"/>
      <c r="J373" s="42"/>
      <c r="K373" s="42"/>
      <c r="L373" s="42"/>
      <c r="M373" s="42"/>
      <c r="N373" s="42"/>
      <c r="O373" s="43"/>
    </row>
    <row r="374" spans="1:15" x14ac:dyDescent="0.2">
      <c r="A374" s="407" t="s">
        <v>381</v>
      </c>
      <c r="B374" s="407"/>
      <c r="C374" s="383">
        <f>G372</f>
        <v>1296</v>
      </c>
      <c r="D374" s="380" t="s">
        <v>6</v>
      </c>
      <c r="F374" s="42"/>
      <c r="G374" s="42"/>
      <c r="H374" s="42"/>
      <c r="I374" s="42"/>
      <c r="J374" s="42"/>
      <c r="K374" s="42"/>
      <c r="L374" s="42"/>
      <c r="M374" s="42"/>
      <c r="N374" s="42"/>
      <c r="O374" s="43"/>
    </row>
    <row r="375" spans="1:15" x14ac:dyDescent="0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3"/>
    </row>
    <row r="376" spans="1:15" x14ac:dyDescent="0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3"/>
    </row>
    <row r="377" spans="1:15" ht="14.25" customHeight="1" x14ac:dyDescent="0.2">
      <c r="A377" s="42" t="s">
        <v>382</v>
      </c>
      <c r="B377" s="598" t="str">
        <f>'Planilha Final'!D81</f>
        <v>Transporte com caminhão basculante  de 10 m³, em via pavimentada, DMT até 30 KM (DMT=10KM).</v>
      </c>
      <c r="C377" s="598"/>
      <c r="D377" s="598"/>
      <c r="E377" s="598"/>
      <c r="F377" s="598"/>
      <c r="G377" s="598"/>
      <c r="H377" s="598"/>
      <c r="I377" s="598"/>
      <c r="J377" s="42"/>
      <c r="K377" s="42"/>
      <c r="L377" s="42"/>
      <c r="M377" s="42"/>
      <c r="N377" s="42"/>
      <c r="O377" s="43"/>
    </row>
    <row r="378" spans="1:15" x14ac:dyDescent="0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3"/>
    </row>
    <row r="379" spans="1:15" x14ac:dyDescent="0.2">
      <c r="A379" s="81" t="s">
        <v>383</v>
      </c>
      <c r="B379" s="357" t="s">
        <v>76</v>
      </c>
      <c r="C379" s="357" t="s">
        <v>34</v>
      </c>
      <c r="D379" s="70" t="s">
        <v>384</v>
      </c>
      <c r="F379" s="42"/>
      <c r="G379" s="42"/>
      <c r="H379" s="42"/>
      <c r="I379" s="42"/>
      <c r="J379" s="42"/>
      <c r="K379" s="42"/>
      <c r="L379" s="42"/>
      <c r="M379" s="42"/>
      <c r="N379" s="42"/>
      <c r="O379" s="43"/>
    </row>
    <row r="380" spans="1:15" x14ac:dyDescent="0.2">
      <c r="A380" s="72">
        <f>G372</f>
        <v>1296</v>
      </c>
      <c r="B380" s="358">
        <v>10</v>
      </c>
      <c r="C380" s="71">
        <v>1.25</v>
      </c>
      <c r="D380" s="382">
        <f>A380*B380*C380</f>
        <v>16200</v>
      </c>
      <c r="F380" s="42"/>
      <c r="G380" s="42"/>
      <c r="H380" s="42"/>
      <c r="I380" s="42"/>
      <c r="J380" s="42"/>
      <c r="K380" s="42"/>
      <c r="L380" s="42"/>
      <c r="M380" s="42"/>
      <c r="N380" s="42"/>
      <c r="O380" s="43"/>
    </row>
    <row r="381" spans="1:15" x14ac:dyDescent="0.2">
      <c r="A381" s="42"/>
      <c r="B381" s="67"/>
      <c r="C381" s="58"/>
      <c r="D381" s="69"/>
      <c r="E381" s="73"/>
      <c r="F381" s="42"/>
      <c r="G381" s="42"/>
      <c r="H381" s="42"/>
      <c r="I381" s="42"/>
      <c r="J381" s="42"/>
      <c r="K381" s="42"/>
      <c r="L381" s="42"/>
      <c r="M381" s="42"/>
      <c r="N381" s="42"/>
      <c r="O381" s="43"/>
    </row>
    <row r="382" spans="1:15" x14ac:dyDescent="0.2">
      <c r="A382" s="407" t="s">
        <v>381</v>
      </c>
      <c r="B382" s="407"/>
      <c r="C382" s="383">
        <f>D380</f>
        <v>16200</v>
      </c>
      <c r="D382" s="380" t="s">
        <v>234</v>
      </c>
      <c r="F382" s="42"/>
      <c r="G382" s="42"/>
      <c r="H382" s="42"/>
      <c r="I382" s="42"/>
      <c r="J382" s="42"/>
      <c r="K382" s="42"/>
      <c r="L382" s="42"/>
      <c r="M382" s="42"/>
      <c r="N382" s="42"/>
      <c r="O382" s="43"/>
    </row>
    <row r="383" spans="1:15" x14ac:dyDescent="0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3"/>
    </row>
    <row r="384" spans="1:15" x14ac:dyDescent="0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3"/>
    </row>
    <row r="385" spans="1:15" ht="14.25" customHeight="1" x14ac:dyDescent="0.2">
      <c r="A385" s="42" t="s">
        <v>385</v>
      </c>
      <c r="B385" s="598" t="s">
        <v>486</v>
      </c>
      <c r="C385" s="598"/>
      <c r="D385" s="598"/>
      <c r="E385" s="598"/>
      <c r="F385" s="598"/>
      <c r="G385" s="598"/>
      <c r="H385" s="598"/>
      <c r="I385" s="598"/>
      <c r="J385" s="42"/>
      <c r="K385" s="42"/>
      <c r="L385" s="42"/>
      <c r="M385" s="42"/>
      <c r="N385" s="42"/>
      <c r="O385" s="43"/>
    </row>
    <row r="386" spans="1:15" x14ac:dyDescent="0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3"/>
    </row>
    <row r="387" spans="1:15" ht="27.75" customHeight="1" x14ac:dyDescent="0.2">
      <c r="A387" s="42" t="s">
        <v>386</v>
      </c>
      <c r="B387" s="598" t="str">
        <f>'Planilha Final'!D84</f>
        <v>Execução e compactação de base e ou sub base para pavimentação de solos de comportamento laterelítico (arenoso) - exclusive solo, carga, descarga e transporte. AF_11/2019</v>
      </c>
      <c r="C387" s="598"/>
      <c r="D387" s="598"/>
      <c r="E387" s="598"/>
      <c r="F387" s="598"/>
      <c r="G387" s="598"/>
      <c r="H387" s="598"/>
      <c r="I387" s="42"/>
      <c r="J387" s="42"/>
      <c r="K387" s="42"/>
      <c r="L387" s="42"/>
      <c r="M387" s="42"/>
      <c r="N387" s="42"/>
      <c r="O387" s="43"/>
    </row>
    <row r="388" spans="1:15" x14ac:dyDescent="0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3"/>
    </row>
    <row r="389" spans="1:15" x14ac:dyDescent="0.2">
      <c r="A389" s="81" t="s">
        <v>77</v>
      </c>
      <c r="B389" s="357" t="s">
        <v>78</v>
      </c>
      <c r="C389" s="357" t="s">
        <v>387</v>
      </c>
      <c r="D389" s="70" t="s">
        <v>388</v>
      </c>
      <c r="E389" s="70" t="s">
        <v>389</v>
      </c>
      <c r="F389" s="357"/>
      <c r="G389" s="357" t="s">
        <v>118</v>
      </c>
      <c r="I389" s="42"/>
      <c r="J389" s="42"/>
      <c r="K389" s="42"/>
      <c r="L389" s="42"/>
      <c r="M389" s="42"/>
      <c r="N389" s="42"/>
      <c r="O389" s="43"/>
    </row>
    <row r="390" spans="1:15" x14ac:dyDescent="0.2">
      <c r="A390" s="81" t="s">
        <v>366</v>
      </c>
      <c r="B390" s="358">
        <v>800</v>
      </c>
      <c r="C390" s="71">
        <f>5.7+0.9</f>
        <v>6.6</v>
      </c>
      <c r="D390" s="377">
        <v>0.15</v>
      </c>
      <c r="E390" s="72">
        <v>0</v>
      </c>
      <c r="F390" s="379" t="s">
        <v>506</v>
      </c>
      <c r="G390" s="378">
        <f>B390*C390*(D390+E390)</f>
        <v>792</v>
      </c>
      <c r="I390" s="42"/>
      <c r="J390" s="42"/>
      <c r="K390" s="42"/>
      <c r="L390" s="42"/>
      <c r="M390" s="42"/>
      <c r="N390" s="42"/>
      <c r="O390" s="43"/>
    </row>
    <row r="391" spans="1:15" x14ac:dyDescent="0.2">
      <c r="A391" s="42"/>
      <c r="B391" s="67"/>
      <c r="C391" s="58"/>
      <c r="D391" s="69"/>
      <c r="E391" s="73"/>
      <c r="F391" s="69"/>
      <c r="G391" s="42"/>
      <c r="H391" s="42"/>
      <c r="I391" s="42"/>
      <c r="J391" s="42"/>
      <c r="K391" s="42"/>
      <c r="L391" s="42"/>
      <c r="M391" s="42"/>
      <c r="N391" s="42"/>
      <c r="O391" s="43"/>
    </row>
    <row r="392" spans="1:15" x14ac:dyDescent="0.2">
      <c r="A392" s="407" t="s">
        <v>390</v>
      </c>
      <c r="B392" s="407"/>
      <c r="C392" s="383">
        <f>G390</f>
        <v>792</v>
      </c>
      <c r="D392" s="380" t="s">
        <v>187</v>
      </c>
      <c r="F392" s="42"/>
      <c r="G392" s="42"/>
      <c r="H392" s="42"/>
      <c r="I392" s="42"/>
      <c r="J392" s="42"/>
      <c r="K392" s="42"/>
      <c r="L392" s="42"/>
      <c r="M392" s="42"/>
      <c r="N392" s="42"/>
      <c r="O392" s="43"/>
    </row>
    <row r="393" spans="1:15" x14ac:dyDescent="0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3"/>
    </row>
    <row r="394" spans="1:15" x14ac:dyDescent="0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3"/>
    </row>
    <row r="395" spans="1:15" ht="27.75" customHeight="1" x14ac:dyDescent="0.2">
      <c r="A395" s="42" t="s">
        <v>391</v>
      </c>
      <c r="B395" s="598" t="str">
        <f>'Planilha Final'!D85</f>
        <v>Carga , manobra e descarga de solos e materiais granulados em caminhão basculante 6 m³ -  carga com pá carregadeira caçamba  1,7 A 2,8 m³ / 128 HP)e descarga livre (Unidade: m³). AF_07/2020</v>
      </c>
      <c r="C395" s="598"/>
      <c r="D395" s="598"/>
      <c r="E395" s="598"/>
      <c r="F395" s="598"/>
      <c r="G395" s="598"/>
      <c r="H395" s="598"/>
      <c r="I395" s="42"/>
      <c r="J395" s="42"/>
      <c r="K395" s="42"/>
      <c r="L395" s="42"/>
      <c r="M395" s="42"/>
      <c r="N395" s="42"/>
      <c r="O395" s="43"/>
    </row>
    <row r="396" spans="1:15" x14ac:dyDescent="0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3"/>
    </row>
    <row r="397" spans="1:15" x14ac:dyDescent="0.2">
      <c r="A397" s="81" t="s">
        <v>77</v>
      </c>
      <c r="B397" s="357" t="s">
        <v>78</v>
      </c>
      <c r="C397" s="357" t="s">
        <v>387</v>
      </c>
      <c r="D397" s="70" t="s">
        <v>388</v>
      </c>
      <c r="E397" s="70" t="s">
        <v>389</v>
      </c>
      <c r="F397" s="357" t="s">
        <v>118</v>
      </c>
      <c r="G397" s="357" t="s">
        <v>118</v>
      </c>
      <c r="I397" s="42"/>
      <c r="J397" s="42"/>
      <c r="K397" s="42"/>
      <c r="L397" s="42"/>
      <c r="M397" s="42"/>
      <c r="N397" s="42"/>
      <c r="O397" s="43"/>
    </row>
    <row r="398" spans="1:15" x14ac:dyDescent="0.2">
      <c r="A398" s="81" t="s">
        <v>366</v>
      </c>
      <c r="B398" s="358">
        <f>B390</f>
        <v>800</v>
      </c>
      <c r="C398" s="71">
        <f>C390</f>
        <v>6.6</v>
      </c>
      <c r="D398" s="377">
        <f>D390</f>
        <v>0.15</v>
      </c>
      <c r="E398" s="72">
        <v>0</v>
      </c>
      <c r="F398" s="379"/>
      <c r="G398" s="378">
        <f>B398*C398*(D398+E398)</f>
        <v>792</v>
      </c>
      <c r="I398" s="42"/>
      <c r="J398" s="42"/>
      <c r="K398" s="42"/>
      <c r="L398" s="42"/>
      <c r="M398" s="42"/>
      <c r="N398" s="42"/>
      <c r="O398" s="43"/>
    </row>
    <row r="399" spans="1:15" x14ac:dyDescent="0.2">
      <c r="A399" s="42"/>
      <c r="B399" s="67"/>
      <c r="C399" s="58"/>
      <c r="D399" s="69"/>
      <c r="E399" s="73"/>
      <c r="F399" s="69"/>
      <c r="G399" s="42"/>
      <c r="H399" s="42"/>
      <c r="I399" s="42"/>
      <c r="J399" s="42"/>
      <c r="K399" s="42"/>
      <c r="L399" s="42"/>
      <c r="M399" s="42"/>
      <c r="N399" s="42"/>
      <c r="O399" s="43"/>
    </row>
    <row r="400" spans="1:15" x14ac:dyDescent="0.2">
      <c r="A400" s="407" t="s">
        <v>390</v>
      </c>
      <c r="B400" s="407"/>
      <c r="C400" s="383">
        <f>G398</f>
        <v>792</v>
      </c>
      <c r="D400" s="380" t="s">
        <v>187</v>
      </c>
      <c r="F400" s="42"/>
      <c r="G400" s="42"/>
      <c r="H400" s="42"/>
      <c r="I400" s="42"/>
      <c r="J400" s="42"/>
      <c r="K400" s="42"/>
      <c r="L400" s="42"/>
      <c r="M400" s="42"/>
      <c r="N400" s="42"/>
      <c r="O400" s="43"/>
    </row>
    <row r="401" spans="1:15" x14ac:dyDescent="0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3"/>
    </row>
    <row r="402" spans="1:15" x14ac:dyDescent="0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3"/>
    </row>
    <row r="403" spans="1:15" ht="18.75" customHeight="1" x14ac:dyDescent="0.2">
      <c r="A403" s="42" t="s">
        <v>392</v>
      </c>
      <c r="B403" s="598" t="str">
        <f>'Planilha Final'!D86</f>
        <v>Transporte com caminhão basculante  de 10 m³, em via pavimentada, DMT até 30 KM (DMT=20KM).</v>
      </c>
      <c r="C403" s="598"/>
      <c r="D403" s="598"/>
      <c r="E403" s="598"/>
      <c r="F403" s="598"/>
      <c r="G403" s="598"/>
      <c r="H403" s="598"/>
      <c r="I403" s="598"/>
      <c r="J403" s="42"/>
      <c r="K403" s="42"/>
      <c r="L403" s="42"/>
      <c r="M403" s="42"/>
      <c r="N403" s="42"/>
      <c r="O403" s="43"/>
    </row>
    <row r="404" spans="1:15" x14ac:dyDescent="0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3"/>
    </row>
    <row r="405" spans="1:15" x14ac:dyDescent="0.2">
      <c r="A405" s="81" t="s">
        <v>77</v>
      </c>
      <c r="B405" s="357" t="s">
        <v>393</v>
      </c>
      <c r="C405" s="357" t="s">
        <v>395</v>
      </c>
      <c r="D405" s="70" t="s">
        <v>363</v>
      </c>
      <c r="E405" s="70" t="s">
        <v>394</v>
      </c>
      <c r="G405" s="74"/>
      <c r="H405" s="74"/>
      <c r="I405" s="42"/>
      <c r="J405" s="42"/>
      <c r="K405" s="42"/>
      <c r="L405" s="42"/>
      <c r="M405" s="42"/>
      <c r="N405" s="42"/>
      <c r="O405" s="43"/>
    </row>
    <row r="406" spans="1:15" x14ac:dyDescent="0.2">
      <c r="A406" s="81" t="s">
        <v>366</v>
      </c>
      <c r="B406" s="358">
        <f>G398</f>
        <v>792</v>
      </c>
      <c r="C406" s="71">
        <v>20</v>
      </c>
      <c r="D406" s="377">
        <v>1.25</v>
      </c>
      <c r="E406" s="72">
        <f>B406*C406*D406</f>
        <v>19800</v>
      </c>
      <c r="G406" s="384"/>
      <c r="H406" s="385"/>
      <c r="I406" s="42"/>
      <c r="J406" s="42"/>
      <c r="K406" s="42"/>
      <c r="L406" s="42"/>
      <c r="M406" s="42"/>
      <c r="N406" s="42"/>
      <c r="O406" s="43"/>
    </row>
    <row r="407" spans="1:15" x14ac:dyDescent="0.2">
      <c r="A407" s="42"/>
      <c r="B407" s="67"/>
      <c r="C407" s="58"/>
      <c r="D407" s="69"/>
      <c r="E407" s="73"/>
      <c r="F407" s="69"/>
      <c r="G407" s="42"/>
      <c r="H407" s="42"/>
      <c r="I407" s="42"/>
      <c r="J407" s="42"/>
      <c r="K407" s="42"/>
      <c r="L407" s="42"/>
      <c r="M407" s="42"/>
      <c r="N407" s="42"/>
      <c r="O407" s="43"/>
    </row>
    <row r="408" spans="1:15" x14ac:dyDescent="0.2">
      <c r="A408" s="407" t="s">
        <v>390</v>
      </c>
      <c r="B408" s="407"/>
      <c r="C408" s="383">
        <f>E406</f>
        <v>19800</v>
      </c>
      <c r="D408" s="380" t="s">
        <v>234</v>
      </c>
      <c r="F408" s="42"/>
      <c r="G408" s="42"/>
      <c r="H408" s="42"/>
      <c r="I408" s="42"/>
      <c r="J408" s="42"/>
      <c r="K408" s="42"/>
      <c r="L408" s="42"/>
      <c r="M408" s="42"/>
      <c r="N408" s="42"/>
      <c r="O408" s="43"/>
    </row>
    <row r="409" spans="1:15" x14ac:dyDescent="0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3"/>
    </row>
    <row r="410" spans="1:15" x14ac:dyDescent="0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3"/>
    </row>
    <row r="411" spans="1:15" ht="18.75" customHeight="1" x14ac:dyDescent="0.2">
      <c r="A411" s="42" t="s">
        <v>396</v>
      </c>
      <c r="B411" s="598" t="str">
        <f>'Planilha Final'!D87</f>
        <v>Argila, argila vermelha ou argila arenosa (retirada na jazida, sem transporte).</v>
      </c>
      <c r="C411" s="598"/>
      <c r="D411" s="598"/>
      <c r="E411" s="598"/>
      <c r="F411" s="598"/>
      <c r="G411" s="598"/>
      <c r="H411" s="598"/>
      <c r="I411" s="598"/>
      <c r="J411" s="42"/>
      <c r="K411" s="42"/>
      <c r="L411" s="42"/>
      <c r="M411" s="42"/>
      <c r="N411" s="42"/>
      <c r="O411" s="43"/>
    </row>
    <row r="412" spans="1:15" x14ac:dyDescent="0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3"/>
    </row>
    <row r="413" spans="1:15" x14ac:dyDescent="0.2">
      <c r="A413" s="81" t="s">
        <v>77</v>
      </c>
      <c r="B413" s="357" t="s">
        <v>78</v>
      </c>
      <c r="C413" s="357" t="s">
        <v>387</v>
      </c>
      <c r="D413" s="70" t="s">
        <v>388</v>
      </c>
      <c r="E413" s="70" t="s">
        <v>389</v>
      </c>
      <c r="F413" s="357" t="s">
        <v>118</v>
      </c>
      <c r="G413" s="357" t="s">
        <v>118</v>
      </c>
      <c r="I413" s="42"/>
      <c r="J413" s="42"/>
      <c r="K413" s="42"/>
      <c r="L413" s="42"/>
      <c r="M413" s="42"/>
      <c r="N413" s="42"/>
      <c r="O413" s="43"/>
    </row>
    <row r="414" spans="1:15" x14ac:dyDescent="0.2">
      <c r="A414" s="81" t="s">
        <v>366</v>
      </c>
      <c r="B414" s="358">
        <f>B398</f>
        <v>800</v>
      </c>
      <c r="C414" s="71">
        <f>C398</f>
        <v>6.6</v>
      </c>
      <c r="D414" s="377">
        <f>D398</f>
        <v>0.15</v>
      </c>
      <c r="E414" s="72">
        <v>0</v>
      </c>
      <c r="F414" s="379" t="s">
        <v>506</v>
      </c>
      <c r="G414" s="378">
        <f>B414*C414*(D414+E414)</f>
        <v>792</v>
      </c>
      <c r="I414" s="42"/>
      <c r="J414" s="42"/>
      <c r="K414" s="42"/>
      <c r="L414" s="42"/>
      <c r="M414" s="42"/>
      <c r="N414" s="42"/>
      <c r="O414" s="43"/>
    </row>
    <row r="415" spans="1:15" x14ac:dyDescent="0.2">
      <c r="A415" s="42"/>
      <c r="B415" s="67"/>
      <c r="C415" s="58"/>
      <c r="D415" s="69"/>
      <c r="E415" s="73"/>
      <c r="F415" s="69"/>
      <c r="G415" s="42"/>
      <c r="H415" s="42"/>
      <c r="I415" s="42"/>
      <c r="J415" s="42"/>
      <c r="K415" s="42"/>
      <c r="L415" s="42"/>
      <c r="M415" s="42"/>
      <c r="N415" s="42"/>
      <c r="O415" s="43"/>
    </row>
    <row r="416" spans="1:15" x14ac:dyDescent="0.2">
      <c r="A416" s="407" t="s">
        <v>390</v>
      </c>
      <c r="B416" s="407"/>
      <c r="C416" s="383">
        <f>G414</f>
        <v>792</v>
      </c>
      <c r="D416" s="380" t="s">
        <v>187</v>
      </c>
      <c r="F416" s="42"/>
      <c r="G416" s="42"/>
      <c r="H416" s="42"/>
      <c r="I416" s="42"/>
      <c r="J416" s="42"/>
      <c r="K416" s="42"/>
      <c r="L416" s="42"/>
      <c r="M416" s="42"/>
      <c r="N416" s="42"/>
      <c r="O416" s="43"/>
    </row>
    <row r="417" spans="1:15" x14ac:dyDescent="0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3"/>
    </row>
    <row r="418" spans="1:15" x14ac:dyDescent="0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3"/>
    </row>
    <row r="419" spans="1:15" x14ac:dyDescent="0.2">
      <c r="A419" s="42" t="s">
        <v>397</v>
      </c>
      <c r="B419" s="598" t="s">
        <v>398</v>
      </c>
      <c r="C419" s="598"/>
      <c r="D419" s="598"/>
      <c r="E419" s="598"/>
      <c r="F419" s="598"/>
      <c r="G419" s="598"/>
      <c r="H419" s="598"/>
      <c r="I419" s="598"/>
      <c r="J419" s="42"/>
      <c r="K419" s="42"/>
      <c r="L419" s="42"/>
      <c r="M419" s="42"/>
      <c r="N419" s="42"/>
      <c r="O419" s="43"/>
    </row>
    <row r="420" spans="1:15" x14ac:dyDescent="0.2">
      <c r="A420" s="42"/>
      <c r="B420" s="69"/>
      <c r="C420" s="68"/>
      <c r="D420" s="73"/>
      <c r="E420" s="387"/>
      <c r="F420" s="388"/>
      <c r="G420" s="42"/>
      <c r="H420" s="42"/>
      <c r="I420" s="42"/>
      <c r="J420" s="42"/>
      <c r="K420" s="42"/>
      <c r="L420" s="42"/>
      <c r="M420" s="42"/>
      <c r="N420" s="42"/>
      <c r="O420" s="43"/>
    </row>
    <row r="421" spans="1:15" ht="14.25" customHeight="1" x14ac:dyDescent="0.2">
      <c r="A421" s="42" t="s">
        <v>399</v>
      </c>
      <c r="B421" s="598" t="str">
        <f>'Planilha Final'!D90</f>
        <v>Execução de imprimação com asfalto diluído CM-30, AF_09/2017.</v>
      </c>
      <c r="C421" s="598"/>
      <c r="D421" s="598"/>
      <c r="E421" s="598"/>
      <c r="F421" s="598"/>
      <c r="G421" s="598"/>
      <c r="H421" s="598"/>
      <c r="I421" s="42"/>
      <c r="J421" s="42"/>
      <c r="K421" s="42"/>
      <c r="L421" s="42"/>
      <c r="M421" s="42"/>
      <c r="N421" s="42"/>
      <c r="O421" s="43"/>
    </row>
    <row r="422" spans="1:15" x14ac:dyDescent="0.2">
      <c r="A422" s="42"/>
      <c r="B422" s="69"/>
      <c r="C422" s="68"/>
      <c r="D422" s="73"/>
      <c r="E422" s="387"/>
      <c r="F422" s="388"/>
      <c r="G422" s="42"/>
      <c r="H422" s="42"/>
      <c r="I422" s="42"/>
      <c r="J422" s="42"/>
      <c r="K422" s="42"/>
      <c r="L422" s="42"/>
      <c r="M422" s="42"/>
      <c r="N422" s="42"/>
      <c r="O422" s="43"/>
    </row>
    <row r="423" spans="1:15" ht="25.5" x14ac:dyDescent="0.2">
      <c r="A423" s="81" t="s">
        <v>77</v>
      </c>
      <c r="B423" s="357" t="s">
        <v>78</v>
      </c>
      <c r="C423" s="357"/>
      <c r="D423" s="357" t="s">
        <v>400</v>
      </c>
      <c r="E423" s="357" t="s">
        <v>120</v>
      </c>
      <c r="G423" s="42"/>
      <c r="H423" s="42"/>
      <c r="I423" s="42"/>
      <c r="J423" s="42"/>
      <c r="K423" s="42"/>
      <c r="L423" s="42"/>
      <c r="M423" s="42"/>
      <c r="N423" s="42"/>
      <c r="O423" s="43"/>
    </row>
    <row r="424" spans="1:15" x14ac:dyDescent="0.2">
      <c r="A424" s="81" t="s">
        <v>366</v>
      </c>
      <c r="B424" s="358">
        <f>B414</f>
        <v>800</v>
      </c>
      <c r="C424" s="71" t="s">
        <v>14</v>
      </c>
      <c r="D424" s="377">
        <v>5.7</v>
      </c>
      <c r="E424" s="386">
        <f>B424*D424</f>
        <v>4560</v>
      </c>
      <c r="G424" s="42"/>
      <c r="H424" s="42"/>
      <c r="I424" s="42"/>
      <c r="J424" s="42"/>
      <c r="K424" s="42"/>
      <c r="L424" s="42"/>
      <c r="M424" s="42"/>
      <c r="N424" s="42"/>
      <c r="O424" s="43"/>
    </row>
    <row r="425" spans="1:15" x14ac:dyDescent="0.2">
      <c r="A425" s="42"/>
      <c r="B425" s="69"/>
      <c r="C425" s="68"/>
      <c r="D425" s="73"/>
      <c r="E425" s="387"/>
      <c r="F425" s="388"/>
      <c r="G425" s="42"/>
      <c r="H425" s="42"/>
      <c r="I425" s="42"/>
      <c r="J425" s="42"/>
      <c r="K425" s="42"/>
      <c r="L425" s="42"/>
      <c r="M425" s="42"/>
      <c r="N425" s="42"/>
      <c r="O425" s="43"/>
    </row>
    <row r="426" spans="1:15" x14ac:dyDescent="0.2">
      <c r="A426" s="599" t="s">
        <v>401</v>
      </c>
      <c r="B426" s="600"/>
      <c r="C426" s="383">
        <f>E424</f>
        <v>4560</v>
      </c>
      <c r="D426" s="380" t="s">
        <v>8</v>
      </c>
      <c r="F426" s="388"/>
      <c r="G426" s="42"/>
      <c r="H426" s="42"/>
      <c r="I426" s="42"/>
      <c r="J426" s="42"/>
      <c r="K426" s="42"/>
      <c r="L426" s="42"/>
      <c r="M426" s="42"/>
      <c r="N426" s="42"/>
      <c r="O426" s="43"/>
    </row>
    <row r="427" spans="1:15" x14ac:dyDescent="0.2">
      <c r="A427" s="42"/>
      <c r="B427" s="42"/>
      <c r="C427" s="42"/>
      <c r="D427" s="42"/>
      <c r="E427" s="42"/>
      <c r="F427" s="388"/>
      <c r="G427" s="42"/>
      <c r="H427" s="42"/>
      <c r="I427" s="42"/>
      <c r="J427" s="42"/>
      <c r="K427" s="42"/>
      <c r="L427" s="42"/>
      <c r="M427" s="42"/>
      <c r="N427" s="42"/>
      <c r="O427" s="43"/>
    </row>
    <row r="428" spans="1:15" x14ac:dyDescent="0.2">
      <c r="A428" s="42"/>
      <c r="B428" s="69"/>
      <c r="C428" s="68"/>
      <c r="D428" s="73"/>
      <c r="E428" s="387"/>
      <c r="F428" s="388"/>
      <c r="G428" s="42"/>
      <c r="H428" s="42"/>
      <c r="I428" s="42"/>
      <c r="J428" s="42"/>
      <c r="K428" s="42"/>
      <c r="L428" s="42"/>
      <c r="M428" s="42"/>
      <c r="N428" s="42"/>
      <c r="O428" s="43"/>
    </row>
    <row r="429" spans="1:15" ht="14.25" customHeight="1" x14ac:dyDescent="0.2">
      <c r="A429" s="42" t="s">
        <v>402</v>
      </c>
      <c r="B429" s="598" t="str">
        <f>'Planilha Final'!D91</f>
        <v>Pintura de ligação com emulsão RR-2C.</v>
      </c>
      <c r="C429" s="598"/>
      <c r="D429" s="598"/>
      <c r="E429" s="598"/>
      <c r="F429" s="598"/>
      <c r="G429" s="598"/>
      <c r="H429" s="598"/>
      <c r="I429" s="598"/>
      <c r="J429" s="42"/>
      <c r="K429" s="42"/>
      <c r="L429" s="42"/>
      <c r="M429" s="42"/>
      <c r="N429" s="42"/>
      <c r="O429" s="43"/>
    </row>
    <row r="430" spans="1:15" x14ac:dyDescent="0.2">
      <c r="A430" s="42"/>
      <c r="B430" s="69"/>
      <c r="C430" s="68"/>
      <c r="D430" s="73"/>
      <c r="E430" s="387"/>
      <c r="F430" s="388"/>
      <c r="G430" s="42"/>
      <c r="H430" s="42"/>
      <c r="I430" s="42"/>
      <c r="J430" s="42"/>
      <c r="K430" s="42"/>
      <c r="L430" s="42"/>
      <c r="M430" s="42"/>
      <c r="N430" s="42"/>
      <c r="O430" s="43"/>
    </row>
    <row r="431" spans="1:15" ht="25.5" x14ac:dyDescent="0.2">
      <c r="A431" s="81" t="s">
        <v>77</v>
      </c>
      <c r="B431" s="357" t="s">
        <v>78</v>
      </c>
      <c r="C431" s="357"/>
      <c r="D431" s="357" t="s">
        <v>400</v>
      </c>
      <c r="E431" s="357" t="s">
        <v>120</v>
      </c>
      <c r="G431" s="42"/>
      <c r="H431" s="42"/>
      <c r="I431" s="42"/>
      <c r="J431" s="42"/>
      <c r="K431" s="42"/>
      <c r="L431" s="42"/>
      <c r="M431" s="42"/>
      <c r="N431" s="42"/>
      <c r="O431" s="43"/>
    </row>
    <row r="432" spans="1:15" x14ac:dyDescent="0.2">
      <c r="A432" s="81" t="s">
        <v>366</v>
      </c>
      <c r="B432" s="358">
        <f>B424</f>
        <v>800</v>
      </c>
      <c r="C432" s="71" t="s">
        <v>14</v>
      </c>
      <c r="D432" s="377">
        <f>D424</f>
        <v>5.7</v>
      </c>
      <c r="E432" s="386">
        <f>B432*D432</f>
        <v>4560</v>
      </c>
      <c r="G432" s="42"/>
      <c r="H432" s="42"/>
      <c r="I432" s="42"/>
      <c r="J432" s="42"/>
      <c r="K432" s="42"/>
      <c r="L432" s="42"/>
      <c r="M432" s="42"/>
      <c r="N432" s="42"/>
      <c r="O432" s="43"/>
    </row>
    <row r="433" spans="1:15" x14ac:dyDescent="0.2">
      <c r="A433" s="42"/>
      <c r="B433" s="69"/>
      <c r="C433" s="68"/>
      <c r="D433" s="73"/>
      <c r="E433" s="387"/>
      <c r="F433" s="388"/>
      <c r="G433" s="42"/>
      <c r="H433" s="42"/>
      <c r="I433" s="42"/>
      <c r="J433" s="42"/>
      <c r="K433" s="42"/>
      <c r="L433" s="42"/>
      <c r="M433" s="42"/>
      <c r="N433" s="42"/>
      <c r="O433" s="43"/>
    </row>
    <row r="434" spans="1:15" x14ac:dyDescent="0.2">
      <c r="A434" s="407" t="s">
        <v>403</v>
      </c>
      <c r="B434" s="407"/>
      <c r="C434" s="383">
        <f>E432</f>
        <v>4560</v>
      </c>
      <c r="D434" s="380" t="s">
        <v>8</v>
      </c>
      <c r="F434" s="388"/>
      <c r="G434" s="42"/>
      <c r="H434" s="42"/>
      <c r="I434" s="42"/>
      <c r="J434" s="42"/>
      <c r="K434" s="42"/>
      <c r="L434" s="42"/>
      <c r="M434" s="42"/>
      <c r="N434" s="42"/>
      <c r="O434" s="43"/>
    </row>
    <row r="435" spans="1:15" x14ac:dyDescent="0.2">
      <c r="A435" s="42"/>
      <c r="B435" s="69"/>
      <c r="C435" s="68"/>
      <c r="D435" s="73"/>
      <c r="E435" s="387"/>
      <c r="F435" s="388"/>
      <c r="G435" s="42"/>
      <c r="H435" s="42"/>
      <c r="I435" s="42"/>
      <c r="J435" s="42"/>
      <c r="K435" s="42"/>
      <c r="L435" s="42"/>
      <c r="M435" s="42"/>
      <c r="N435" s="42"/>
      <c r="O435" s="43"/>
    </row>
    <row r="436" spans="1:15" x14ac:dyDescent="0.2">
      <c r="A436" s="42"/>
      <c r="B436" s="69"/>
      <c r="C436" s="68"/>
      <c r="D436" s="73"/>
      <c r="E436" s="387"/>
      <c r="F436" s="388"/>
      <c r="G436" s="42"/>
      <c r="H436" s="42"/>
      <c r="I436" s="42"/>
      <c r="J436" s="42"/>
      <c r="K436" s="42"/>
      <c r="L436" s="42"/>
      <c r="M436" s="42"/>
      <c r="N436" s="42"/>
      <c r="O436" s="43"/>
    </row>
    <row r="437" spans="1:15" ht="24" customHeight="1" x14ac:dyDescent="0.2">
      <c r="A437" s="42" t="s">
        <v>404</v>
      </c>
      <c r="B437" s="598" t="str">
        <f>'Planilha Final'!D92</f>
        <v>Execução de Pavimento com aplicação de concreto betuminoso usinado a quente (CBUQ), camada de rolamento, com espessura de 3,0 cm exclusive transporte. AF_03/2017.</v>
      </c>
      <c r="C437" s="598"/>
      <c r="D437" s="598"/>
      <c r="E437" s="598"/>
      <c r="F437" s="598"/>
      <c r="G437" s="598"/>
      <c r="H437" s="598"/>
      <c r="I437" s="42"/>
      <c r="J437" s="42"/>
      <c r="K437" s="42"/>
      <c r="L437" s="42"/>
      <c r="M437" s="42"/>
      <c r="N437" s="42"/>
      <c r="O437" s="43"/>
    </row>
    <row r="438" spans="1:15" x14ac:dyDescent="0.2">
      <c r="A438" s="42"/>
      <c r="B438" s="69"/>
      <c r="C438" s="68"/>
      <c r="D438" s="73"/>
      <c r="E438" s="387"/>
      <c r="F438" s="388"/>
      <c r="G438" s="42"/>
      <c r="H438" s="42"/>
      <c r="I438" s="42"/>
      <c r="J438" s="42"/>
      <c r="K438" s="42"/>
      <c r="L438" s="42"/>
      <c r="M438" s="42"/>
      <c r="N438" s="42"/>
      <c r="O438" s="43"/>
    </row>
    <row r="439" spans="1:15" ht="25.5" x14ac:dyDescent="0.2">
      <c r="A439" s="173" t="s">
        <v>2</v>
      </c>
      <c r="B439" s="171" t="s">
        <v>31</v>
      </c>
      <c r="C439" s="173"/>
      <c r="D439" s="357" t="s">
        <v>400</v>
      </c>
      <c r="E439" s="363"/>
      <c r="F439" s="412" t="s">
        <v>108</v>
      </c>
      <c r="G439" s="363" t="s">
        <v>32</v>
      </c>
      <c r="H439" s="363"/>
      <c r="I439" s="412" t="s">
        <v>75</v>
      </c>
      <c r="L439" s="42"/>
      <c r="M439" s="42"/>
      <c r="N439" s="42"/>
      <c r="O439" s="43"/>
    </row>
    <row r="440" spans="1:15" x14ac:dyDescent="0.2">
      <c r="A440" s="81" t="s">
        <v>366</v>
      </c>
      <c r="B440" s="100">
        <f>B432</f>
        <v>800</v>
      </c>
      <c r="C440" s="173" t="s">
        <v>14</v>
      </c>
      <c r="D440" s="359">
        <f>D432</f>
        <v>5.7</v>
      </c>
      <c r="E440" s="152" t="s">
        <v>109</v>
      </c>
      <c r="F440" s="175">
        <v>0.1</v>
      </c>
      <c r="G440" s="363">
        <v>0.03</v>
      </c>
      <c r="H440" s="363" t="s">
        <v>30</v>
      </c>
      <c r="I440" s="100">
        <f>ROUND((B440*(D440+F440)*G440),2)</f>
        <v>139.19999999999999</v>
      </c>
      <c r="L440" s="42"/>
      <c r="M440" s="42"/>
      <c r="N440" s="42"/>
      <c r="O440" s="43"/>
    </row>
    <row r="441" spans="1:15" x14ac:dyDescent="0.2">
      <c r="A441" s="42"/>
      <c r="B441" s="63"/>
      <c r="C441" s="15"/>
      <c r="D441" s="16"/>
      <c r="E441" s="17"/>
      <c r="F441" s="16"/>
      <c r="G441" s="61"/>
      <c r="H441" s="16"/>
      <c r="I441" s="64"/>
      <c r="J441" s="62"/>
      <c r="K441" s="59"/>
      <c r="L441" s="42"/>
      <c r="M441" s="42"/>
      <c r="N441" s="42"/>
      <c r="O441" s="43"/>
    </row>
    <row r="442" spans="1:15" x14ac:dyDescent="0.2">
      <c r="A442" s="44" t="s">
        <v>96</v>
      </c>
      <c r="B442" s="352">
        <f>I440</f>
        <v>139.19999999999999</v>
      </c>
      <c r="C442" s="45" t="s">
        <v>323</v>
      </c>
      <c r="E442" s="17"/>
      <c r="F442" s="16"/>
      <c r="G442" s="61"/>
      <c r="H442" s="16"/>
      <c r="I442" s="64"/>
      <c r="J442" s="62"/>
      <c r="K442" s="59"/>
      <c r="L442" s="42"/>
      <c r="M442" s="42"/>
      <c r="N442" s="42"/>
      <c r="O442" s="43"/>
    </row>
    <row r="443" spans="1:15" x14ac:dyDescent="0.2">
      <c r="A443" s="42"/>
      <c r="B443" s="63"/>
      <c r="C443" s="15"/>
      <c r="D443" s="16"/>
      <c r="E443" s="17"/>
      <c r="F443" s="16"/>
      <c r="G443" s="61"/>
      <c r="H443" s="16"/>
      <c r="I443" s="64"/>
      <c r="J443" s="62"/>
      <c r="K443" s="59"/>
      <c r="L443" s="42"/>
      <c r="M443" s="42"/>
      <c r="N443" s="42"/>
      <c r="O443" s="43"/>
    </row>
    <row r="444" spans="1:15" x14ac:dyDescent="0.2">
      <c r="A444" s="408" t="s">
        <v>48</v>
      </c>
      <c r="B444" s="154" t="s">
        <v>124</v>
      </c>
      <c r="C444" s="59"/>
      <c r="D444" s="59"/>
      <c r="E444" s="59"/>
      <c r="F444" s="16"/>
      <c r="G444" s="61"/>
      <c r="H444" s="16"/>
      <c r="I444" s="64"/>
      <c r="J444" s="62"/>
      <c r="K444" s="59"/>
      <c r="L444" s="42"/>
      <c r="M444" s="42"/>
      <c r="N444" s="42"/>
      <c r="O444" s="43"/>
    </row>
    <row r="445" spans="1:15" x14ac:dyDescent="0.2">
      <c r="A445" s="153"/>
      <c r="B445" s="154"/>
      <c r="C445" s="59"/>
      <c r="D445" s="59"/>
      <c r="F445" s="16"/>
      <c r="G445" s="61"/>
      <c r="H445" s="16"/>
      <c r="I445" s="64"/>
      <c r="J445" s="62"/>
      <c r="K445" s="59"/>
      <c r="L445" s="42"/>
      <c r="M445" s="42"/>
      <c r="N445" s="42"/>
      <c r="O445" s="43"/>
    </row>
    <row r="446" spans="1:15" ht="14.25" customHeight="1" x14ac:dyDescent="0.2">
      <c r="A446" s="42" t="s">
        <v>405</v>
      </c>
      <c r="B446" s="598" t="str">
        <f>'Planilha Final'!D93</f>
        <v>Transporte com caminhão basculante de 10 m³, em rodovia pavimentada. (DMT= 25Km).</v>
      </c>
      <c r="C446" s="598"/>
      <c r="D446" s="598"/>
      <c r="E446" s="598"/>
      <c r="F446" s="598"/>
      <c r="G446" s="598"/>
      <c r="H446" s="598"/>
      <c r="I446" s="598"/>
      <c r="J446" s="42"/>
      <c r="K446" s="42"/>
      <c r="L446" s="42"/>
      <c r="M446" s="42"/>
      <c r="N446" s="42"/>
      <c r="O446" s="43"/>
    </row>
    <row r="447" spans="1:15" x14ac:dyDescent="0.2">
      <c r="A447" s="42"/>
      <c r="B447" s="63"/>
      <c r="C447" s="15"/>
      <c r="D447" s="16"/>
      <c r="E447" s="17"/>
      <c r="F447" s="16"/>
      <c r="G447" s="61"/>
      <c r="H447" s="16"/>
      <c r="I447" s="64"/>
      <c r="J447" s="62"/>
      <c r="K447" s="59"/>
      <c r="L447" s="42"/>
      <c r="M447" s="42"/>
      <c r="N447" s="42"/>
      <c r="O447" s="43"/>
    </row>
    <row r="448" spans="1:15" x14ac:dyDescent="0.2">
      <c r="A448" s="171" t="s">
        <v>75</v>
      </c>
      <c r="B448" s="173"/>
      <c r="C448" s="173" t="s">
        <v>76</v>
      </c>
      <c r="D448" s="173"/>
      <c r="E448" s="172" t="s">
        <v>27</v>
      </c>
      <c r="G448" s="61"/>
      <c r="H448" s="16"/>
      <c r="I448" s="64"/>
      <c r="J448" s="62"/>
      <c r="K448" s="59"/>
      <c r="L448" s="42"/>
      <c r="M448" s="42"/>
      <c r="N448" s="42"/>
      <c r="O448" s="43"/>
    </row>
    <row r="449" spans="1:15" x14ac:dyDescent="0.2">
      <c r="A449" s="171">
        <f>SUM(I440:I440)</f>
        <v>139.19999999999999</v>
      </c>
      <c r="B449" s="173" t="s">
        <v>14</v>
      </c>
      <c r="C449" s="359">
        <v>25</v>
      </c>
      <c r="D449" s="173" t="s">
        <v>30</v>
      </c>
      <c r="E449" s="60">
        <f>ROUND(A449*C449,2)</f>
        <v>3480</v>
      </c>
      <c r="H449" s="65"/>
      <c r="I449" s="137"/>
      <c r="J449" s="59"/>
      <c r="L449" s="42"/>
      <c r="M449" s="42"/>
      <c r="N449" s="42"/>
      <c r="O449" s="43"/>
    </row>
    <row r="450" spans="1:15" x14ac:dyDescent="0.2">
      <c r="A450" s="42"/>
      <c r="H450" s="65"/>
      <c r="I450" s="137"/>
      <c r="J450" s="59"/>
      <c r="L450" s="42"/>
      <c r="M450" s="42"/>
      <c r="N450" s="42"/>
      <c r="O450" s="43"/>
    </row>
    <row r="451" spans="1:15" x14ac:dyDescent="0.2">
      <c r="A451" s="44" t="s">
        <v>96</v>
      </c>
      <c r="B451" s="352">
        <f>E449</f>
        <v>3480</v>
      </c>
      <c r="C451" s="45" t="s">
        <v>406</v>
      </c>
      <c r="E451" s="166"/>
      <c r="F451" s="361"/>
      <c r="G451" s="361"/>
      <c r="H451" s="166"/>
      <c r="I451" s="361"/>
      <c r="J451" s="361"/>
      <c r="K451" s="361"/>
      <c r="L451" s="42"/>
      <c r="M451" s="42"/>
      <c r="N451" s="42"/>
      <c r="O451" s="43"/>
    </row>
    <row r="452" spans="1:15" x14ac:dyDescent="0.2">
      <c r="A452" s="361"/>
      <c r="B452" s="361"/>
      <c r="C452" s="361"/>
      <c r="D452" s="361"/>
      <c r="E452" s="361"/>
      <c r="F452" s="361"/>
      <c r="G452" s="361"/>
      <c r="H452" s="166"/>
      <c r="I452" s="361"/>
      <c r="J452" s="361"/>
      <c r="K452" s="361"/>
      <c r="L452" s="42"/>
      <c r="M452" s="42"/>
      <c r="N452" s="42"/>
      <c r="O452" s="43"/>
    </row>
    <row r="453" spans="1:15" x14ac:dyDescent="0.2">
      <c r="A453" s="361"/>
      <c r="B453" s="361"/>
      <c r="C453" s="361"/>
      <c r="D453" s="361"/>
      <c r="E453" s="361"/>
      <c r="F453" s="361"/>
      <c r="G453" s="361"/>
      <c r="H453" s="166"/>
      <c r="I453" s="361"/>
      <c r="J453" s="361"/>
      <c r="K453" s="361"/>
      <c r="L453" s="42"/>
      <c r="M453" s="42"/>
      <c r="N453" s="42"/>
      <c r="O453" s="43"/>
    </row>
    <row r="454" spans="1:15" x14ac:dyDescent="0.2">
      <c r="A454" s="42" t="s">
        <v>407</v>
      </c>
      <c r="B454" s="598" t="s">
        <v>408</v>
      </c>
      <c r="C454" s="598"/>
      <c r="D454" s="598"/>
      <c r="E454" s="598"/>
      <c r="F454" s="598"/>
      <c r="G454" s="598"/>
      <c r="H454" s="598"/>
      <c r="I454" s="598"/>
      <c r="J454" s="42"/>
      <c r="K454" s="42"/>
      <c r="L454" s="42"/>
      <c r="M454" s="42"/>
      <c r="N454" s="42"/>
      <c r="O454" s="43"/>
    </row>
    <row r="455" spans="1:15" x14ac:dyDescent="0.2">
      <c r="A455" s="42"/>
      <c r="B455" s="69"/>
      <c r="C455" s="68"/>
      <c r="D455" s="73"/>
      <c r="E455" s="387"/>
      <c r="F455" s="388"/>
      <c r="G455" s="42"/>
      <c r="H455" s="42"/>
      <c r="I455" s="42"/>
      <c r="J455" s="42"/>
      <c r="K455" s="42"/>
      <c r="L455" s="42"/>
      <c r="M455" s="42"/>
      <c r="N455" s="42"/>
      <c r="O455" s="43"/>
    </row>
    <row r="456" spans="1:15" ht="14.25" customHeight="1" x14ac:dyDescent="0.2">
      <c r="A456" s="42" t="s">
        <v>409</v>
      </c>
      <c r="B456" s="598" t="str">
        <f>'Planilha Final'!D96</f>
        <v>Ensaios de base estabilizada granulometricamente</v>
      </c>
      <c r="C456" s="598"/>
      <c r="D456" s="598"/>
      <c r="E456" s="598"/>
      <c r="F456" s="598"/>
      <c r="G456" s="598"/>
      <c r="H456" s="598"/>
      <c r="I456" s="598"/>
      <c r="J456" s="42"/>
      <c r="K456" s="42"/>
      <c r="L456" s="42"/>
      <c r="M456" s="42"/>
      <c r="N456" s="42"/>
      <c r="O456" s="43"/>
    </row>
    <row r="457" spans="1:15" x14ac:dyDescent="0.2">
      <c r="A457" s="42"/>
      <c r="B457" s="69"/>
      <c r="C457" s="68"/>
      <c r="D457" s="73"/>
      <c r="E457" s="387"/>
      <c r="F457" s="388"/>
      <c r="G457" s="42"/>
      <c r="H457" s="42"/>
      <c r="I457" s="42"/>
      <c r="J457" s="42"/>
      <c r="K457" s="42"/>
      <c r="L457" s="42"/>
      <c r="M457" s="42"/>
      <c r="N457" s="42"/>
      <c r="O457" s="43"/>
    </row>
    <row r="458" spans="1:15" x14ac:dyDescent="0.2">
      <c r="A458" s="81" t="s">
        <v>77</v>
      </c>
      <c r="B458" s="357" t="s">
        <v>78</v>
      </c>
      <c r="C458" s="357" t="s">
        <v>387</v>
      </c>
      <c r="D458" s="70" t="s">
        <v>388</v>
      </c>
      <c r="E458" s="70" t="s">
        <v>389</v>
      </c>
      <c r="F458" s="357" t="s">
        <v>118</v>
      </c>
      <c r="G458" s="357" t="s">
        <v>118</v>
      </c>
      <c r="I458" s="361"/>
      <c r="J458" s="361"/>
      <c r="K458" s="361"/>
      <c r="L458" s="42"/>
      <c r="M458" s="42"/>
      <c r="N458" s="42"/>
      <c r="O458" s="43"/>
    </row>
    <row r="459" spans="1:15" x14ac:dyDescent="0.2">
      <c r="A459" s="81" t="s">
        <v>366</v>
      </c>
      <c r="B459" s="358">
        <f>B440</f>
        <v>800</v>
      </c>
      <c r="C459" s="71">
        <f>C414</f>
        <v>6.6</v>
      </c>
      <c r="D459" s="377">
        <v>0.1</v>
      </c>
      <c r="E459" s="72">
        <f>D414</f>
        <v>0.15</v>
      </c>
      <c r="F459" s="379" t="s">
        <v>506</v>
      </c>
      <c r="G459" s="378">
        <f>B459*C459*(D459+E459)</f>
        <v>1320</v>
      </c>
      <c r="I459" s="361"/>
      <c r="J459" s="361"/>
      <c r="K459" s="361"/>
      <c r="L459" s="42"/>
      <c r="M459" s="42"/>
      <c r="N459" s="42"/>
      <c r="O459" s="43"/>
    </row>
    <row r="460" spans="1:15" x14ac:dyDescent="0.2">
      <c r="A460" s="361"/>
      <c r="B460" s="67"/>
      <c r="C460" s="58"/>
      <c r="D460" s="69"/>
      <c r="E460" s="73"/>
      <c r="F460" s="69"/>
      <c r="G460" s="42"/>
      <c r="H460" s="42"/>
      <c r="I460" s="361"/>
      <c r="J460" s="361"/>
      <c r="K460" s="361"/>
      <c r="L460" s="42"/>
      <c r="M460" s="42"/>
      <c r="N460" s="42"/>
      <c r="O460" s="43"/>
    </row>
    <row r="461" spans="1:15" x14ac:dyDescent="0.2">
      <c r="A461" s="381" t="s">
        <v>390</v>
      </c>
      <c r="B461" s="381"/>
      <c r="C461" s="383">
        <f>G459</f>
        <v>1320</v>
      </c>
      <c r="D461" s="380" t="s">
        <v>187</v>
      </c>
      <c r="F461" s="42"/>
      <c r="G461" s="42"/>
      <c r="H461" s="42"/>
      <c r="I461" s="361"/>
      <c r="J461" s="361"/>
      <c r="K461" s="361"/>
      <c r="L461" s="42"/>
      <c r="M461" s="42"/>
      <c r="N461" s="42"/>
      <c r="O461" s="43"/>
    </row>
    <row r="462" spans="1:15" x14ac:dyDescent="0.2">
      <c r="A462" s="361"/>
      <c r="B462" s="361"/>
      <c r="C462" s="361"/>
      <c r="D462" s="361"/>
      <c r="E462" s="361"/>
      <c r="F462" s="361"/>
      <c r="G462" s="361"/>
      <c r="H462" s="166"/>
      <c r="I462" s="361"/>
      <c r="J462" s="361"/>
      <c r="K462" s="361"/>
      <c r="L462" s="42"/>
      <c r="M462" s="42"/>
      <c r="N462" s="42"/>
      <c r="O462" s="43"/>
    </row>
    <row r="463" spans="1:15" x14ac:dyDescent="0.2">
      <c r="A463" s="361"/>
      <c r="B463" s="361"/>
      <c r="C463" s="361"/>
      <c r="D463" s="361"/>
      <c r="E463" s="361"/>
      <c r="F463" s="361"/>
      <c r="G463" s="361"/>
      <c r="H463" s="166"/>
      <c r="I463" s="361"/>
      <c r="J463" s="361"/>
      <c r="K463" s="361"/>
      <c r="L463" s="42"/>
      <c r="M463" s="42"/>
      <c r="N463" s="42"/>
      <c r="O463" s="43"/>
    </row>
    <row r="464" spans="1:15" ht="14.25" customHeight="1" x14ac:dyDescent="0.2">
      <c r="A464" s="42" t="s">
        <v>410</v>
      </c>
      <c r="B464" s="598" t="str">
        <f>'Planilha Final'!D97</f>
        <v>Ensaio de índice de suporte california - amostras não trabalhadas - energia normal - solos.</v>
      </c>
      <c r="C464" s="598"/>
      <c r="D464" s="598"/>
      <c r="E464" s="598"/>
      <c r="F464" s="598"/>
      <c r="G464" s="598"/>
      <c r="H464" s="598"/>
      <c r="I464" s="598"/>
      <c r="J464" s="42"/>
      <c r="K464" s="42"/>
      <c r="L464" s="42"/>
      <c r="M464" s="42"/>
      <c r="N464" s="42"/>
      <c r="O464" s="43"/>
    </row>
    <row r="465" spans="1:15" x14ac:dyDescent="0.2">
      <c r="A465" s="361"/>
      <c r="B465" s="361"/>
      <c r="C465" s="361"/>
      <c r="D465" s="361"/>
      <c r="E465" s="361"/>
      <c r="F465" s="361"/>
      <c r="G465" s="361"/>
      <c r="H465" s="166"/>
      <c r="I465" s="361"/>
      <c r="J465" s="361"/>
      <c r="K465" s="361"/>
      <c r="L465" s="42"/>
      <c r="M465" s="42"/>
      <c r="N465" s="42"/>
      <c r="O465" s="43"/>
    </row>
    <row r="466" spans="1:15" x14ac:dyDescent="0.2">
      <c r="A466" s="81" t="s">
        <v>77</v>
      </c>
      <c r="B466" s="357" t="s">
        <v>78</v>
      </c>
      <c r="C466" s="357" t="s">
        <v>411</v>
      </c>
      <c r="E466" s="361"/>
      <c r="F466" s="361"/>
      <c r="G466" s="361"/>
      <c r="H466" s="166"/>
      <c r="I466" s="361"/>
      <c r="J466" s="361"/>
      <c r="K466" s="361"/>
      <c r="L466" s="42"/>
      <c r="M466" s="42"/>
      <c r="N466" s="42"/>
      <c r="O466" s="43"/>
    </row>
    <row r="467" spans="1:15" x14ac:dyDescent="0.2">
      <c r="A467" s="81" t="s">
        <v>366</v>
      </c>
      <c r="B467" s="358">
        <v>800</v>
      </c>
      <c r="C467" s="71">
        <v>16</v>
      </c>
      <c r="E467" s="361"/>
      <c r="F467" s="361"/>
      <c r="G467" s="361"/>
      <c r="H467" s="166"/>
      <c r="I467" s="361"/>
      <c r="J467" s="361"/>
      <c r="K467" s="361"/>
      <c r="L467" s="42"/>
      <c r="M467" s="42"/>
      <c r="N467" s="42"/>
      <c r="O467" s="43"/>
    </row>
    <row r="468" spans="1:15" x14ac:dyDescent="0.2">
      <c r="A468" s="361"/>
      <c r="B468" s="67"/>
      <c r="C468" s="58"/>
      <c r="D468" s="69"/>
      <c r="E468" s="73"/>
      <c r="F468" s="361"/>
      <c r="G468" s="361"/>
      <c r="H468" s="166"/>
      <c r="I468" s="361"/>
      <c r="J468" s="361"/>
      <c r="K468" s="361"/>
      <c r="L468" s="42"/>
      <c r="M468" s="42"/>
      <c r="N468" s="42"/>
      <c r="O468" s="43"/>
    </row>
    <row r="469" spans="1:15" x14ac:dyDescent="0.2">
      <c r="A469" s="381" t="s">
        <v>412</v>
      </c>
      <c r="B469" s="381"/>
      <c r="C469" s="383">
        <f>C467</f>
        <v>16</v>
      </c>
      <c r="D469" s="380" t="s">
        <v>25</v>
      </c>
      <c r="F469" s="361"/>
      <c r="G469" s="361"/>
      <c r="H469" s="166"/>
      <c r="I469" s="361"/>
      <c r="J469" s="361"/>
      <c r="K469" s="361"/>
      <c r="L469" s="42"/>
      <c r="M469" s="42"/>
      <c r="N469" s="42"/>
      <c r="O469" s="43"/>
    </row>
    <row r="470" spans="1:15" x14ac:dyDescent="0.2">
      <c r="A470" s="361"/>
      <c r="B470" s="361"/>
      <c r="C470" s="361"/>
      <c r="D470" s="361"/>
      <c r="E470" s="361"/>
      <c r="F470" s="361"/>
      <c r="G470" s="361"/>
      <c r="H470" s="166"/>
      <c r="I470" s="361"/>
      <c r="J470" s="361"/>
      <c r="K470" s="361"/>
      <c r="L470" s="42"/>
      <c r="M470" s="42"/>
      <c r="N470" s="42"/>
      <c r="O470" s="43"/>
    </row>
    <row r="471" spans="1:15" x14ac:dyDescent="0.2">
      <c r="A471" s="395">
        <v>9</v>
      </c>
      <c r="B471" s="607" t="s">
        <v>231</v>
      </c>
      <c r="C471" s="608"/>
      <c r="D471" s="608"/>
      <c r="E471" s="608"/>
      <c r="F471" s="608"/>
      <c r="G471" s="608"/>
      <c r="H471" s="608"/>
      <c r="I471" s="609"/>
      <c r="J471" s="361"/>
      <c r="K471" s="361"/>
      <c r="L471" s="42"/>
      <c r="M471" s="42"/>
      <c r="N471" s="42"/>
      <c r="O471" s="43"/>
    </row>
    <row r="472" spans="1:15" x14ac:dyDescent="0.2">
      <c r="A472" s="361"/>
      <c r="B472" s="361"/>
      <c r="C472" s="361"/>
      <c r="D472" s="361"/>
      <c r="E472" s="361"/>
      <c r="F472" s="361"/>
      <c r="G472" s="361"/>
      <c r="H472" s="166"/>
      <c r="I472" s="361"/>
      <c r="J472" s="361"/>
      <c r="K472" s="361"/>
      <c r="L472" s="42"/>
      <c r="M472" s="42"/>
      <c r="N472" s="42"/>
      <c r="O472" s="43"/>
    </row>
    <row r="473" spans="1:15" x14ac:dyDescent="0.2">
      <c r="A473" s="81" t="s">
        <v>77</v>
      </c>
      <c r="B473" s="357" t="s">
        <v>78</v>
      </c>
      <c r="C473" s="357"/>
      <c r="D473" s="357" t="s">
        <v>53</v>
      </c>
      <c r="E473" s="357" t="s">
        <v>413</v>
      </c>
      <c r="G473" s="361"/>
      <c r="H473" s="166"/>
      <c r="I473" s="361"/>
      <c r="J473" s="361"/>
      <c r="K473" s="42"/>
      <c r="L473" s="42"/>
      <c r="M473" s="42"/>
      <c r="N473" s="42"/>
      <c r="O473" s="43"/>
    </row>
    <row r="474" spans="1:15" x14ac:dyDescent="0.2">
      <c r="A474" s="81" t="s">
        <v>366</v>
      </c>
      <c r="B474" s="358">
        <f>B467</f>
        <v>800</v>
      </c>
      <c r="C474" s="71" t="s">
        <v>84</v>
      </c>
      <c r="D474" s="71">
        <f>D440</f>
        <v>5.7</v>
      </c>
      <c r="E474" s="71">
        <f>B474*D474</f>
        <v>4560</v>
      </c>
      <c r="G474" s="361"/>
      <c r="H474" s="166"/>
      <c r="I474" s="361"/>
      <c r="J474" s="361"/>
      <c r="K474" s="361"/>
      <c r="L474" s="42"/>
      <c r="M474" s="42"/>
      <c r="N474" s="42"/>
      <c r="O474" s="43"/>
    </row>
    <row r="475" spans="1:15" x14ac:dyDescent="0.2">
      <c r="A475" s="361"/>
      <c r="B475" s="67"/>
      <c r="C475" s="58"/>
      <c r="D475" s="69"/>
      <c r="E475" s="73"/>
      <c r="F475" s="361"/>
      <c r="G475" s="361"/>
      <c r="H475" s="166"/>
      <c r="I475" s="361"/>
      <c r="J475" s="361"/>
      <c r="K475" s="361"/>
      <c r="L475" s="42"/>
      <c r="M475" s="42"/>
      <c r="N475" s="42"/>
      <c r="O475" s="43"/>
    </row>
    <row r="476" spans="1:15" x14ac:dyDescent="0.2">
      <c r="A476" s="605" t="s">
        <v>231</v>
      </c>
      <c r="B476" s="606"/>
      <c r="C476" s="383">
        <f>E474</f>
        <v>4560</v>
      </c>
      <c r="D476" s="345" t="s">
        <v>25</v>
      </c>
      <c r="F476" s="361"/>
      <c r="G476" s="361"/>
      <c r="H476" s="166"/>
      <c r="I476" s="361"/>
      <c r="J476" s="361"/>
      <c r="K476" s="361"/>
      <c r="L476" s="42"/>
      <c r="M476" s="42"/>
      <c r="N476" s="42"/>
      <c r="O476" s="43"/>
    </row>
    <row r="477" spans="1:15" x14ac:dyDescent="0.2">
      <c r="A477" s="361"/>
      <c r="B477" s="361"/>
      <c r="C477" s="361"/>
      <c r="D477" s="361"/>
      <c r="E477" s="361"/>
      <c r="F477" s="361"/>
      <c r="G477" s="361"/>
      <c r="H477" s="166"/>
      <c r="I477" s="361"/>
      <c r="J477" s="361"/>
      <c r="K477" s="361"/>
      <c r="L477" s="42"/>
      <c r="M477" s="42"/>
      <c r="N477" s="42"/>
      <c r="O477" s="43"/>
    </row>
    <row r="478" spans="1:15" x14ac:dyDescent="0.2">
      <c r="A478" s="361"/>
      <c r="B478" s="361"/>
      <c r="C478" s="361"/>
      <c r="D478" s="361"/>
      <c r="E478" s="361"/>
      <c r="F478" s="361"/>
      <c r="G478" s="361"/>
      <c r="H478" s="166"/>
      <c r="I478" s="361"/>
      <c r="J478" s="361"/>
      <c r="K478" s="361"/>
      <c r="L478" s="42"/>
      <c r="M478" s="42"/>
      <c r="N478" s="42"/>
      <c r="O478" s="43"/>
    </row>
    <row r="479" spans="1:15" x14ac:dyDescent="0.2">
      <c r="A479" s="361"/>
      <c r="B479" s="361"/>
      <c r="C479" s="361"/>
      <c r="D479" s="361"/>
      <c r="E479" s="361"/>
      <c r="F479" s="361"/>
      <c r="G479" s="361"/>
      <c r="H479" s="166"/>
      <c r="I479" s="361"/>
      <c r="J479" s="361"/>
      <c r="K479" s="361"/>
      <c r="L479" s="42"/>
      <c r="M479" s="42"/>
      <c r="N479" s="42"/>
      <c r="O479" s="43"/>
    </row>
    <row r="480" spans="1:15" x14ac:dyDescent="0.2">
      <c r="A480" s="361"/>
      <c r="B480" s="361"/>
      <c r="C480" s="361"/>
      <c r="D480" s="361"/>
      <c r="E480" s="361"/>
      <c r="F480" s="361"/>
      <c r="G480" s="361"/>
      <c r="H480" s="166"/>
      <c r="I480" s="361"/>
      <c r="J480" s="361"/>
      <c r="K480" s="361"/>
      <c r="L480" s="42"/>
      <c r="M480" s="42"/>
      <c r="N480" s="42"/>
      <c r="O480" s="43"/>
    </row>
  </sheetData>
  <mergeCells count="80">
    <mergeCell ref="B334:H334"/>
    <mergeCell ref="B326:H326"/>
    <mergeCell ref="B270:H270"/>
    <mergeCell ref="A275:B275"/>
    <mergeCell ref="B277:H277"/>
    <mergeCell ref="B279:I279"/>
    <mergeCell ref="B286:H286"/>
    <mergeCell ref="B295:I295"/>
    <mergeCell ref="A297:A298"/>
    <mergeCell ref="B302:I302"/>
    <mergeCell ref="A304:A305"/>
    <mergeCell ref="B309:I309"/>
    <mergeCell ref="A311:A312"/>
    <mergeCell ref="B317:I317"/>
    <mergeCell ref="A319:A320"/>
    <mergeCell ref="A476:B476"/>
    <mergeCell ref="B446:I446"/>
    <mergeCell ref="B454:I454"/>
    <mergeCell ref="B456:I456"/>
    <mergeCell ref="B464:I464"/>
    <mergeCell ref="B471:I471"/>
    <mergeCell ref="B437:H437"/>
    <mergeCell ref="B429:I429"/>
    <mergeCell ref="B403:I403"/>
    <mergeCell ref="B411:I411"/>
    <mergeCell ref="B419:I419"/>
    <mergeCell ref="B421:H421"/>
    <mergeCell ref="A426:B426"/>
    <mergeCell ref="B395:H395"/>
    <mergeCell ref="A336:A337"/>
    <mergeCell ref="A344:A345"/>
    <mergeCell ref="B359:I359"/>
    <mergeCell ref="B361:I361"/>
    <mergeCell ref="A366:B366"/>
    <mergeCell ref="B377:I377"/>
    <mergeCell ref="B385:I385"/>
    <mergeCell ref="B342:H342"/>
    <mergeCell ref="B357:H357"/>
    <mergeCell ref="B369:H369"/>
    <mergeCell ref="B387:H387"/>
    <mergeCell ref="B350:H350"/>
    <mergeCell ref="A352:A353"/>
    <mergeCell ref="B268:H268"/>
    <mergeCell ref="B186:H186"/>
    <mergeCell ref="B204:H204"/>
    <mergeCell ref="B216:I216"/>
    <mergeCell ref="B217:H217"/>
    <mergeCell ref="B225:I225"/>
    <mergeCell ref="B226:H226"/>
    <mergeCell ref="B234:H234"/>
    <mergeCell ref="B242:I242"/>
    <mergeCell ref="B250:I250"/>
    <mergeCell ref="B251:H251"/>
    <mergeCell ref="B260:H260"/>
    <mergeCell ref="B184:I184"/>
    <mergeCell ref="B96:I96"/>
    <mergeCell ref="B107:I107"/>
    <mergeCell ref="A113:A114"/>
    <mergeCell ref="B118:I118"/>
    <mergeCell ref="B119:H119"/>
    <mergeCell ref="B126:H126"/>
    <mergeCell ref="B133:H133"/>
    <mergeCell ref="B152:H152"/>
    <mergeCell ref="B171:H171"/>
    <mergeCell ref="A98:A101"/>
    <mergeCell ref="A109:A112"/>
    <mergeCell ref="B9:H9"/>
    <mergeCell ref="A7:H7"/>
    <mergeCell ref="B26:H26"/>
    <mergeCell ref="B88:I88"/>
    <mergeCell ref="M11:N11"/>
    <mergeCell ref="B62:I62"/>
    <mergeCell ref="B71:I71"/>
    <mergeCell ref="B10:H10"/>
    <mergeCell ref="B51:H51"/>
    <mergeCell ref="B63:H63"/>
    <mergeCell ref="B72:H72"/>
    <mergeCell ref="B80:H80"/>
    <mergeCell ref="A34:H34"/>
    <mergeCell ref="A39:H39"/>
  </mergeCells>
  <pageMargins left="0.51181102362204722" right="0.51181102362204722" top="0.78740157480314965" bottom="0.78740157480314965" header="0.31496062992125984" footer="0.31496062992125984"/>
  <pageSetup paperSize="9" scale="48"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0"/>
  <sheetViews>
    <sheetView view="pageBreakPreview" topLeftCell="A7" zoomScale="98" zoomScaleSheetLayoutView="98" workbookViewId="0">
      <selection activeCell="I12" sqref="I12"/>
    </sheetView>
  </sheetViews>
  <sheetFormatPr defaultRowHeight="15" x14ac:dyDescent="0.25"/>
  <cols>
    <col min="1" max="1" width="10.140625" style="20" bestFit="1" customWidth="1"/>
    <col min="2" max="2" width="66.42578125" style="20" customWidth="1"/>
    <col min="3" max="3" width="5.28515625" style="20" bestFit="1" customWidth="1"/>
    <col min="4" max="4" width="15.140625" style="20" customWidth="1"/>
    <col min="5" max="5" width="14.42578125" style="20" customWidth="1"/>
    <col min="6" max="6" width="14.28515625" style="20" bestFit="1" customWidth="1"/>
    <col min="7" max="7" width="12.140625" style="20" bestFit="1" customWidth="1"/>
    <col min="8" max="8" width="13.42578125" style="20" customWidth="1"/>
    <col min="9" max="9" width="15.7109375" style="20" customWidth="1"/>
    <col min="11" max="11" width="14.85546875" customWidth="1"/>
    <col min="12" max="12" width="17.28515625" customWidth="1"/>
    <col min="14" max="14" width="9.5703125" bestFit="1" customWidth="1"/>
    <col min="15" max="15" width="11.85546875" customWidth="1"/>
    <col min="16" max="16" width="13.7109375" customWidth="1"/>
    <col min="17" max="17" width="14.42578125" bestFit="1" customWidth="1"/>
    <col min="18" max="18" width="14.140625" customWidth="1"/>
    <col min="19" max="19" width="14.5703125" customWidth="1"/>
  </cols>
  <sheetData>
    <row r="1" spans="1:9" s="8" customFormat="1" ht="20.25" customHeight="1" x14ac:dyDescent="0.25">
      <c r="A1" s="559"/>
      <c r="B1" s="559"/>
      <c r="C1" s="559"/>
      <c r="D1" s="559"/>
      <c r="E1" s="559"/>
      <c r="F1" s="559"/>
    </row>
    <row r="2" spans="1:9" ht="20.25" customHeight="1" x14ac:dyDescent="0.25">
      <c r="A2" s="559"/>
      <c r="B2" s="559"/>
      <c r="C2" s="559"/>
      <c r="D2" s="559"/>
      <c r="E2" s="559"/>
      <c r="F2" s="559"/>
      <c r="G2"/>
      <c r="H2"/>
      <c r="I2"/>
    </row>
    <row r="3" spans="1:9" ht="20.25" customHeight="1" x14ac:dyDescent="0.25">
      <c r="A3" s="559"/>
      <c r="B3" s="559"/>
      <c r="C3" s="559"/>
      <c r="D3" s="559"/>
      <c r="E3" s="559"/>
      <c r="F3" s="559"/>
      <c r="G3"/>
      <c r="H3"/>
      <c r="I3"/>
    </row>
    <row r="4" spans="1:9" ht="28.5" customHeight="1" x14ac:dyDescent="0.25">
      <c r="A4" s="621" t="str">
        <f>Mobilização!A1</f>
        <v>EXECUÇÃO DOS SERVIÇOS DE DRENAGEM E PAVIMENTAÇÃO ASFÁLTICA  - BEM VIVER</v>
      </c>
      <c r="B4" s="621"/>
      <c r="C4" s="621"/>
      <c r="D4" s="621"/>
      <c r="E4" s="621"/>
      <c r="F4" s="621"/>
      <c r="G4" s="112"/>
      <c r="H4"/>
      <c r="I4"/>
    </row>
    <row r="5" spans="1:9" x14ac:dyDescent="0.25">
      <c r="A5" s="559"/>
      <c r="B5" s="559"/>
      <c r="C5" s="559"/>
      <c r="D5" s="559"/>
      <c r="E5" s="559"/>
      <c r="F5" s="559"/>
    </row>
    <row r="6" spans="1:9" ht="18.75" thickBot="1" x14ac:dyDescent="0.3">
      <c r="A6" s="618" t="s">
        <v>101</v>
      </c>
      <c r="B6" s="619"/>
      <c r="C6" s="619"/>
      <c r="D6" s="619"/>
      <c r="E6" s="619"/>
      <c r="F6" s="620"/>
    </row>
    <row r="7" spans="1:9" ht="15.75" thickBot="1" x14ac:dyDescent="0.3">
      <c r="A7" s="121"/>
      <c r="B7" s="105"/>
      <c r="C7" s="105"/>
      <c r="D7" s="105"/>
      <c r="E7" s="105" t="s">
        <v>445</v>
      </c>
      <c r="F7" s="120"/>
    </row>
    <row r="8" spans="1:9" s="122" customFormat="1" x14ac:dyDescent="0.25">
      <c r="A8" s="613" t="s">
        <v>127</v>
      </c>
      <c r="B8" s="614"/>
      <c r="C8" s="614"/>
      <c r="D8" s="614"/>
      <c r="E8" s="614"/>
      <c r="F8" s="615"/>
      <c r="G8" s="20"/>
      <c r="H8" s="20"/>
      <c r="I8" s="20"/>
    </row>
    <row r="9" spans="1:9" s="122" customFormat="1" ht="25.5" x14ac:dyDescent="0.25">
      <c r="A9" s="118" t="s">
        <v>128</v>
      </c>
      <c r="B9" s="113" t="s">
        <v>129</v>
      </c>
      <c r="C9" s="119" t="s">
        <v>25</v>
      </c>
      <c r="D9" s="111" t="s">
        <v>102</v>
      </c>
      <c r="E9" s="104" t="s">
        <v>103</v>
      </c>
      <c r="F9" s="110" t="s">
        <v>104</v>
      </c>
      <c r="G9" s="20"/>
      <c r="H9" s="20"/>
      <c r="I9" s="20"/>
    </row>
    <row r="10" spans="1:9" s="122" customFormat="1" ht="25.5" x14ac:dyDescent="0.25">
      <c r="A10" s="115">
        <v>5839</v>
      </c>
      <c r="B10" s="114" t="s">
        <v>130</v>
      </c>
      <c r="C10" s="176" t="s">
        <v>106</v>
      </c>
      <c r="D10" s="117" t="s">
        <v>131</v>
      </c>
      <c r="E10" s="116">
        <v>11.36</v>
      </c>
      <c r="F10" s="116">
        <f>ROUND(E10*D10,2)</f>
        <v>0.02</v>
      </c>
      <c r="G10" s="20"/>
      <c r="H10" s="20"/>
      <c r="I10" s="20"/>
    </row>
    <row r="11" spans="1:9" s="122" customFormat="1" ht="25.5" x14ac:dyDescent="0.25">
      <c r="A11" s="115" t="s">
        <v>132</v>
      </c>
      <c r="B11" s="114" t="s">
        <v>133</v>
      </c>
      <c r="C11" s="176" t="s">
        <v>107</v>
      </c>
      <c r="D11" s="117" t="s">
        <v>134</v>
      </c>
      <c r="E11" s="116">
        <v>5.4</v>
      </c>
      <c r="F11" s="116">
        <f t="shared" ref="F11:F17" si="0">ROUND(E11*D11,2)</f>
        <v>0.02</v>
      </c>
      <c r="G11" s="20"/>
      <c r="H11" s="20"/>
      <c r="I11" s="20"/>
    </row>
    <row r="12" spans="1:9" s="122" customFormat="1" ht="51" x14ac:dyDescent="0.25">
      <c r="A12" s="115">
        <v>83362</v>
      </c>
      <c r="B12" s="114" t="s">
        <v>135</v>
      </c>
      <c r="C12" s="176" t="s">
        <v>106</v>
      </c>
      <c r="D12" s="117" t="s">
        <v>136</v>
      </c>
      <c r="E12" s="116">
        <v>267.7</v>
      </c>
      <c r="F12" s="116">
        <f t="shared" si="0"/>
        <v>0.27</v>
      </c>
      <c r="G12" s="20"/>
      <c r="H12" s="20"/>
      <c r="I12" s="20"/>
    </row>
    <row r="13" spans="1:9" s="122" customFormat="1" x14ac:dyDescent="0.25">
      <c r="A13" s="115">
        <v>6111</v>
      </c>
      <c r="B13" s="114" t="s">
        <v>137</v>
      </c>
      <c r="C13" s="176" t="s">
        <v>16</v>
      </c>
      <c r="D13" s="117" t="s">
        <v>138</v>
      </c>
      <c r="E13" s="116">
        <v>10.59</v>
      </c>
      <c r="F13" s="116">
        <f t="shared" si="0"/>
        <v>0.06</v>
      </c>
      <c r="G13" s="20"/>
      <c r="H13" s="20"/>
      <c r="I13" s="20"/>
    </row>
    <row r="14" spans="1:9" s="122" customFormat="1" ht="25.5" x14ac:dyDescent="0.25">
      <c r="A14" s="115" t="s">
        <v>139</v>
      </c>
      <c r="B14" s="114" t="s">
        <v>140</v>
      </c>
      <c r="C14" s="176" t="s">
        <v>106</v>
      </c>
      <c r="D14" s="117" t="s">
        <v>141</v>
      </c>
      <c r="E14" s="116">
        <v>157.59</v>
      </c>
      <c r="F14" s="116">
        <f t="shared" si="0"/>
        <v>0.27</v>
      </c>
      <c r="G14" s="20"/>
      <c r="H14" s="20"/>
      <c r="I14" s="20"/>
    </row>
    <row r="15" spans="1:9" s="122" customFormat="1" ht="25.5" x14ac:dyDescent="0.25">
      <c r="A15" s="115" t="s">
        <v>142</v>
      </c>
      <c r="B15" s="114" t="s">
        <v>143</v>
      </c>
      <c r="C15" s="176" t="s">
        <v>107</v>
      </c>
      <c r="D15" s="117" t="s">
        <v>144</v>
      </c>
      <c r="E15" s="116">
        <v>32.46</v>
      </c>
      <c r="F15" s="116">
        <f t="shared" si="0"/>
        <v>0.13</v>
      </c>
      <c r="G15" s="20"/>
      <c r="H15" s="20"/>
      <c r="I15" s="20"/>
    </row>
    <row r="16" spans="1:9" s="122" customFormat="1" ht="51" x14ac:dyDescent="0.25">
      <c r="A16" s="115">
        <v>91486</v>
      </c>
      <c r="B16" s="114" t="s">
        <v>145</v>
      </c>
      <c r="C16" s="176" t="s">
        <v>107</v>
      </c>
      <c r="D16" s="117" t="s">
        <v>146</v>
      </c>
      <c r="E16" s="116">
        <v>48.43</v>
      </c>
      <c r="F16" s="116">
        <f t="shared" si="0"/>
        <v>0.24</v>
      </c>
      <c r="G16" s="20"/>
      <c r="H16" s="20"/>
      <c r="I16" s="20"/>
    </row>
    <row r="17" spans="1:9" s="122" customFormat="1" x14ac:dyDescent="0.25">
      <c r="A17" s="115" t="s">
        <v>176</v>
      </c>
      <c r="B17" s="114" t="s">
        <v>166</v>
      </c>
      <c r="C17" s="176" t="s">
        <v>177</v>
      </c>
      <c r="D17" s="117">
        <v>1.2</v>
      </c>
      <c r="E17" s="116">
        <f>[2]COTAÇÃO!I21</f>
        <v>3.84</v>
      </c>
      <c r="F17" s="116">
        <f t="shared" si="0"/>
        <v>4.6100000000000003</v>
      </c>
      <c r="G17" s="20"/>
      <c r="H17" s="20"/>
      <c r="I17" s="20"/>
    </row>
    <row r="18" spans="1:9" s="122" customFormat="1" x14ac:dyDescent="0.25">
      <c r="A18" s="20"/>
      <c r="B18" s="20"/>
      <c r="C18" s="157"/>
      <c r="D18" s="20"/>
      <c r="E18" s="20"/>
      <c r="F18" s="20"/>
      <c r="G18" s="20"/>
      <c r="H18" s="20"/>
      <c r="I18" s="20"/>
    </row>
    <row r="19" spans="1:9" s="122" customFormat="1" x14ac:dyDescent="0.25">
      <c r="A19" s="20"/>
      <c r="B19" s="616" t="s">
        <v>9</v>
      </c>
      <c r="C19" s="617"/>
      <c r="D19" s="109">
        <f>SUM(F10:F17)</f>
        <v>5.62</v>
      </c>
      <c r="E19" s="20"/>
      <c r="F19" s="20"/>
      <c r="G19" s="20"/>
      <c r="H19" s="20"/>
      <c r="I19" s="20"/>
    </row>
    <row r="20" spans="1:9" s="122" customFormat="1" x14ac:dyDescent="0.25">
      <c r="A20" s="20"/>
      <c r="B20" s="20"/>
      <c r="C20" s="20"/>
      <c r="D20" s="20"/>
      <c r="E20" s="20"/>
      <c r="F20" s="20"/>
      <c r="G20" s="20"/>
      <c r="H20" s="20"/>
      <c r="I20" s="20"/>
    </row>
  </sheetData>
  <mergeCells count="8">
    <mergeCell ref="A8:F8"/>
    <mergeCell ref="B19:C19"/>
    <mergeCell ref="A6:F6"/>
    <mergeCell ref="A1:F1"/>
    <mergeCell ref="A2:F2"/>
    <mergeCell ref="A3:F3"/>
    <mergeCell ref="A4:F4"/>
    <mergeCell ref="A5:F5"/>
  </mergeCells>
  <pageMargins left="0.511811024" right="0.511811024" top="0.78740157499999996" bottom="0.78740157499999996" header="0.31496062000000002" footer="0.31496062000000002"/>
  <pageSetup paperSize="9" scale="64" orientation="portrait" verticalDpi="360" r:id="rId1"/>
  <rowBreaks count="1" manualBreakCount="1">
    <brk id="20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="85" zoomScaleSheetLayoutView="85" workbookViewId="0">
      <selection activeCell="P18" sqref="P18"/>
    </sheetView>
  </sheetViews>
  <sheetFormatPr defaultColWidth="9.140625" defaultRowHeight="15" x14ac:dyDescent="0.25"/>
  <cols>
    <col min="1" max="4" width="9.140625" style="122"/>
    <col min="5" max="5" width="16.7109375" style="122" customWidth="1"/>
    <col min="6" max="7" width="9.140625" style="122"/>
    <col min="8" max="8" width="12.140625" style="122" bestFit="1" customWidth="1"/>
    <col min="9" max="9" width="14" style="122" bestFit="1" customWidth="1"/>
    <col min="10" max="10" width="10.7109375" style="122" customWidth="1"/>
    <col min="11" max="11" width="9.140625" style="122"/>
    <col min="12" max="12" width="22.42578125" style="122" customWidth="1"/>
    <col min="13" max="14" width="9.140625" style="122"/>
    <col min="15" max="15" width="12.140625" style="122" bestFit="1" customWidth="1"/>
    <col min="16" max="16384" width="9.140625" style="122"/>
  </cols>
  <sheetData>
    <row r="1" spans="1:16" x14ac:dyDescent="0.25">
      <c r="A1" s="625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16" x14ac:dyDescent="0.25">
      <c r="A2" s="625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</row>
    <row r="3" spans="1:16" x14ac:dyDescent="0.25">
      <c r="A3" s="625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</row>
    <row r="4" spans="1:16" ht="33.75" customHeight="1" x14ac:dyDescent="0.25">
      <c r="A4" s="627" t="str">
        <f>Composições!A4</f>
        <v>EXECUÇÃO DOS SERVIÇOS DE DRENAGEM E PAVIMENTAÇÃO ASFÁLTICA  - BEM VIVER</v>
      </c>
      <c r="B4" s="628" t="s">
        <v>148</v>
      </c>
      <c r="C4" s="628"/>
      <c r="D4" s="628"/>
      <c r="E4" s="628"/>
      <c r="F4" s="628"/>
      <c r="G4" s="628"/>
      <c r="H4" s="628"/>
      <c r="I4" s="628"/>
      <c r="J4" s="628"/>
      <c r="K4" s="628"/>
      <c r="L4" s="628"/>
      <c r="P4" s="122">
        <v>1000</v>
      </c>
    </row>
    <row r="5" spans="1:16" x14ac:dyDescent="0.25">
      <c r="A5" s="625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</row>
    <row r="6" spans="1:16" x14ac:dyDescent="0.25">
      <c r="A6" s="622" t="s">
        <v>149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4"/>
    </row>
    <row r="8" spans="1:16" x14ac:dyDescent="0.25">
      <c r="C8" s="629" t="s">
        <v>150</v>
      </c>
      <c r="D8" s="630"/>
      <c r="E8" s="631"/>
      <c r="F8" s="632" t="s">
        <v>151</v>
      </c>
      <c r="G8" s="632"/>
      <c r="H8" s="177"/>
      <c r="I8" s="178" t="s">
        <v>152</v>
      </c>
    </row>
    <row r="9" spans="1:16" x14ac:dyDescent="0.25">
      <c r="C9" s="633" t="s">
        <v>153</v>
      </c>
      <c r="D9" s="633"/>
      <c r="E9" s="633"/>
      <c r="F9" s="633"/>
      <c r="G9" s="633"/>
      <c r="H9" s="179"/>
      <c r="I9" s="145"/>
    </row>
    <row r="10" spans="1:16" x14ac:dyDescent="0.25">
      <c r="C10" s="634" t="s">
        <v>154</v>
      </c>
      <c r="D10" s="634"/>
      <c r="E10" s="634"/>
      <c r="F10" s="634"/>
      <c r="G10" s="634"/>
      <c r="H10" s="180"/>
      <c r="I10" s="180"/>
    </row>
    <row r="11" spans="1:16" x14ac:dyDescent="0.25">
      <c r="C11" s="634" t="s">
        <v>155</v>
      </c>
      <c r="D11" s="634"/>
      <c r="E11" s="634"/>
      <c r="F11" s="634"/>
      <c r="G11" s="634"/>
      <c r="H11" s="180"/>
      <c r="I11" s="180"/>
    </row>
    <row r="12" spans="1:16" x14ac:dyDescent="0.25">
      <c r="C12" s="635" t="s">
        <v>156</v>
      </c>
      <c r="D12" s="635"/>
      <c r="E12" s="635"/>
      <c r="F12" s="635"/>
      <c r="G12" s="635"/>
      <c r="H12" s="139"/>
      <c r="I12" s="139"/>
    </row>
    <row r="13" spans="1:16" x14ac:dyDescent="0.25">
      <c r="C13" s="634" t="s">
        <v>157</v>
      </c>
      <c r="D13" s="634"/>
      <c r="E13" s="634"/>
      <c r="F13" s="634"/>
      <c r="G13" s="634"/>
      <c r="H13" s="181"/>
      <c r="I13" s="182"/>
    </row>
    <row r="14" spans="1:16" x14ac:dyDescent="0.25">
      <c r="C14" s="634" t="s">
        <v>158</v>
      </c>
      <c r="D14" s="634"/>
      <c r="E14" s="634"/>
      <c r="F14" s="634"/>
      <c r="G14" s="634"/>
      <c r="H14" s="183"/>
      <c r="I14" s="182"/>
    </row>
    <row r="15" spans="1:16" x14ac:dyDescent="0.25">
      <c r="C15" s="634" t="s">
        <v>160</v>
      </c>
      <c r="D15" s="634"/>
      <c r="E15" s="634"/>
      <c r="F15" s="634"/>
      <c r="G15" s="634"/>
      <c r="H15" s="183"/>
      <c r="I15" s="182"/>
    </row>
    <row r="16" spans="1:16" x14ac:dyDescent="0.25">
      <c r="C16" s="634" t="s">
        <v>161</v>
      </c>
      <c r="D16" s="634"/>
      <c r="E16" s="634"/>
      <c r="F16" s="634"/>
      <c r="G16" s="634"/>
      <c r="H16" s="183"/>
      <c r="I16" s="182"/>
    </row>
    <row r="17" spans="3:9" x14ac:dyDescent="0.25">
      <c r="C17" s="634" t="s">
        <v>162</v>
      </c>
      <c r="D17" s="634"/>
      <c r="E17" s="634"/>
      <c r="F17" s="634"/>
      <c r="G17" s="634"/>
      <c r="H17" s="183"/>
      <c r="I17" s="182"/>
    </row>
    <row r="18" spans="3:9" x14ac:dyDescent="0.25">
      <c r="C18" s="636" t="s">
        <v>163</v>
      </c>
      <c r="D18" s="636"/>
      <c r="E18" s="636"/>
      <c r="F18" s="636"/>
      <c r="G18" s="636"/>
      <c r="H18" s="184"/>
      <c r="I18" s="185"/>
    </row>
    <row r="19" spans="3:9" x14ac:dyDescent="0.25">
      <c r="C19" s="634" t="s">
        <v>164</v>
      </c>
      <c r="D19" s="634"/>
      <c r="E19" s="634"/>
      <c r="F19" s="634"/>
      <c r="G19" s="634"/>
      <c r="H19" s="183"/>
      <c r="I19" s="182"/>
    </row>
    <row r="20" spans="3:9" x14ac:dyDescent="0.25">
      <c r="C20" s="634" t="s">
        <v>165</v>
      </c>
      <c r="D20" s="634"/>
      <c r="E20" s="634"/>
      <c r="F20" s="634"/>
      <c r="G20" s="634"/>
      <c r="H20" s="183"/>
      <c r="I20" s="182"/>
    </row>
    <row r="21" spans="3:9" x14ac:dyDescent="0.25">
      <c r="C21" s="634" t="s">
        <v>166</v>
      </c>
      <c r="D21" s="634"/>
      <c r="E21" s="634"/>
      <c r="F21" s="634" t="s">
        <v>159</v>
      </c>
      <c r="G21" s="634"/>
      <c r="H21" s="183">
        <v>3680</v>
      </c>
      <c r="I21" s="182">
        <f>H21/$P$4</f>
        <v>3.68</v>
      </c>
    </row>
    <row r="22" spans="3:9" x14ac:dyDescent="0.25">
      <c r="C22" s="634" t="s">
        <v>167</v>
      </c>
      <c r="D22" s="634"/>
      <c r="E22" s="634"/>
      <c r="F22" s="634"/>
      <c r="G22" s="634"/>
      <c r="H22" s="183"/>
      <c r="I22" s="182"/>
    </row>
    <row r="23" spans="3:9" x14ac:dyDescent="0.25">
      <c r="C23" s="634" t="s">
        <v>168</v>
      </c>
      <c r="D23" s="634"/>
      <c r="E23" s="634"/>
      <c r="F23" s="634"/>
      <c r="G23" s="634"/>
      <c r="H23" s="183"/>
      <c r="I23" s="182"/>
    </row>
    <row r="24" spans="3:9" x14ac:dyDescent="0.25">
      <c r="C24" s="634" t="s">
        <v>169</v>
      </c>
      <c r="D24" s="634"/>
      <c r="E24" s="634"/>
      <c r="F24" s="634"/>
      <c r="G24" s="634"/>
      <c r="H24" s="183"/>
      <c r="I24" s="182"/>
    </row>
    <row r="25" spans="3:9" x14ac:dyDescent="0.25">
      <c r="C25" s="634" t="s">
        <v>170</v>
      </c>
      <c r="D25" s="634"/>
      <c r="E25" s="634"/>
      <c r="F25" s="634"/>
      <c r="G25" s="634"/>
      <c r="H25" s="183"/>
      <c r="I25" s="182"/>
    </row>
    <row r="26" spans="3:9" x14ac:dyDescent="0.25">
      <c r="C26" s="634" t="s">
        <v>171</v>
      </c>
      <c r="D26" s="634"/>
      <c r="E26" s="634"/>
      <c r="F26" s="634"/>
      <c r="G26" s="634"/>
      <c r="H26" s="186"/>
      <c r="I26" s="187"/>
    </row>
    <row r="27" spans="3:9" x14ac:dyDescent="0.25">
      <c r="C27" s="636" t="s">
        <v>172</v>
      </c>
      <c r="D27" s="636"/>
      <c r="E27" s="636"/>
      <c r="F27" s="634"/>
      <c r="G27" s="634"/>
      <c r="H27" s="183"/>
      <c r="I27" s="188"/>
    </row>
    <row r="28" spans="3:9" x14ac:dyDescent="0.25">
      <c r="C28" s="634" t="s">
        <v>173</v>
      </c>
      <c r="D28" s="634"/>
      <c r="E28" s="634"/>
      <c r="F28" s="634"/>
      <c r="G28" s="634"/>
      <c r="H28" s="183"/>
      <c r="I28" s="182"/>
    </row>
    <row r="29" spans="3:9" x14ac:dyDescent="0.25">
      <c r="C29" s="634" t="s">
        <v>174</v>
      </c>
      <c r="D29" s="634"/>
      <c r="E29" s="634"/>
      <c r="F29" s="634"/>
      <c r="G29" s="634"/>
      <c r="H29" s="183"/>
      <c r="I29" s="182"/>
    </row>
    <row r="30" spans="3:9" x14ac:dyDescent="0.25">
      <c r="C30" s="634" t="s">
        <v>175</v>
      </c>
      <c r="D30" s="634"/>
      <c r="E30" s="634"/>
      <c r="F30" s="634"/>
      <c r="G30" s="634"/>
      <c r="H30" s="183"/>
      <c r="I30" s="182"/>
    </row>
  </sheetData>
  <mergeCells count="52">
    <mergeCell ref="C29:E29"/>
    <mergeCell ref="F29:G29"/>
    <mergeCell ref="C30:E30"/>
    <mergeCell ref="F30:G30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7:E17"/>
    <mergeCell ref="F17:G17"/>
    <mergeCell ref="C18:E18"/>
    <mergeCell ref="F18:G18"/>
    <mergeCell ref="C19:E19"/>
    <mergeCell ref="F19:G19"/>
    <mergeCell ref="C14:E14"/>
    <mergeCell ref="F14:G14"/>
    <mergeCell ref="C15:E15"/>
    <mergeCell ref="F15:G15"/>
    <mergeCell ref="C16:E16"/>
    <mergeCell ref="F16:G16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A6:L6"/>
    <mergeCell ref="A1:L1"/>
    <mergeCell ref="A2:L2"/>
    <mergeCell ref="A3:L3"/>
    <mergeCell ref="A4:L4"/>
    <mergeCell ref="A5:L5"/>
  </mergeCells>
  <pageMargins left="0.511811024" right="0.511811024" top="0.78740157499999996" bottom="0.78740157499999996" header="0.31496062000000002" footer="0.31496062000000002"/>
  <pageSetup paperSize="9" scale="65" orientation="portrait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9"/>
  <sheetViews>
    <sheetView topLeftCell="A31" workbookViewId="0">
      <selection activeCell="M38" sqref="M38:M42"/>
    </sheetView>
  </sheetViews>
  <sheetFormatPr defaultRowHeight="12.75" x14ac:dyDescent="0.2"/>
  <cols>
    <col min="1" max="5" width="9.140625" style="435"/>
    <col min="6" max="6" width="13.42578125" style="435" customWidth="1"/>
    <col min="7" max="7" width="15" style="435" customWidth="1"/>
    <col min="8" max="8" width="14.42578125" style="435" customWidth="1"/>
    <col min="9" max="9" width="15.7109375" style="435" customWidth="1"/>
    <col min="10" max="10" width="17" style="435" customWidth="1"/>
    <col min="11" max="11" width="17.85546875" style="435" customWidth="1"/>
    <col min="12" max="12" width="11.7109375" style="435" customWidth="1"/>
    <col min="13" max="13" width="17.28515625" style="435" customWidth="1"/>
    <col min="14" max="16384" width="9.140625" style="435"/>
  </cols>
  <sheetData>
    <row r="3" spans="1:13" x14ac:dyDescent="0.2">
      <c r="A3" s="678"/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436"/>
    </row>
    <row r="4" spans="1:13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</row>
    <row r="5" spans="1:13" x14ac:dyDescent="0.2">
      <c r="A5" s="679" t="s">
        <v>446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437"/>
    </row>
    <row r="6" spans="1:13" x14ac:dyDescent="0.2">
      <c r="A6" s="680"/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438"/>
    </row>
    <row r="7" spans="1:13" x14ac:dyDescent="0.2">
      <c r="A7" s="681" t="s">
        <v>508</v>
      </c>
      <c r="B7" s="681"/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1"/>
    </row>
    <row r="8" spans="1:13" x14ac:dyDescent="0.2">
      <c r="A8" s="682"/>
      <c r="B8" s="682"/>
      <c r="C8" s="682"/>
      <c r="D8" s="682"/>
      <c r="E8" s="682"/>
      <c r="F8" s="682"/>
      <c r="G8" s="682"/>
      <c r="H8" s="682"/>
      <c r="I8" s="682"/>
      <c r="J8" s="682"/>
      <c r="K8" s="682"/>
      <c r="L8" s="682"/>
      <c r="M8" s="682"/>
    </row>
    <row r="9" spans="1:13" x14ac:dyDescent="0.2">
      <c r="A9" s="683" t="s">
        <v>447</v>
      </c>
      <c r="B9" s="685" t="s">
        <v>448</v>
      </c>
      <c r="C9" s="686"/>
      <c r="D9" s="686"/>
      <c r="E9" s="687"/>
      <c r="F9" s="691" t="s">
        <v>449</v>
      </c>
      <c r="G9" s="692"/>
      <c r="H9" s="692"/>
      <c r="I9" s="692"/>
      <c r="J9" s="692"/>
      <c r="K9" s="692"/>
      <c r="L9" s="683" t="s">
        <v>450</v>
      </c>
      <c r="M9" s="683" t="s">
        <v>451</v>
      </c>
    </row>
    <row r="10" spans="1:13" x14ac:dyDescent="0.2">
      <c r="A10" s="684"/>
      <c r="B10" s="688"/>
      <c r="C10" s="689"/>
      <c r="D10" s="689"/>
      <c r="E10" s="690"/>
      <c r="F10" s="697" t="s">
        <v>452</v>
      </c>
      <c r="G10" s="697" t="s">
        <v>453</v>
      </c>
      <c r="H10" s="697" t="s">
        <v>454</v>
      </c>
      <c r="I10" s="697" t="s">
        <v>455</v>
      </c>
      <c r="J10" s="697" t="s">
        <v>456</v>
      </c>
      <c r="K10" s="697" t="s">
        <v>457</v>
      </c>
      <c r="L10" s="693"/>
      <c r="M10" s="693"/>
    </row>
    <row r="11" spans="1:13" ht="13.5" thickBot="1" x14ac:dyDescent="0.25">
      <c r="A11" s="694"/>
      <c r="B11" s="695"/>
      <c r="C11" s="695"/>
      <c r="D11" s="695"/>
      <c r="E11" s="696"/>
      <c r="F11" s="698"/>
      <c r="G11" s="698"/>
      <c r="H11" s="698"/>
      <c r="I11" s="698"/>
      <c r="J11" s="698"/>
      <c r="K11" s="698"/>
      <c r="L11" s="684"/>
      <c r="M11" s="684"/>
    </row>
    <row r="12" spans="1:13" ht="13.5" thickTop="1" x14ac:dyDescent="0.2">
      <c r="A12" s="675"/>
      <c r="B12" s="660" t="s">
        <v>466</v>
      </c>
      <c r="C12" s="661"/>
      <c r="D12" s="661"/>
      <c r="E12" s="662"/>
      <c r="F12" s="439">
        <f>ABS(M12*F14/100)</f>
        <v>40150.51</v>
      </c>
      <c r="G12" s="439">
        <f>ABS(M12*G14/100)</f>
        <v>15056.44</v>
      </c>
      <c r="H12" s="439">
        <f>ABS(M12*H14/100)</f>
        <v>15056.44</v>
      </c>
      <c r="I12" s="439">
        <f>ABS(M12*I14/100)</f>
        <v>10037.629999999999</v>
      </c>
      <c r="J12" s="439">
        <f>ABS(M12*J14/100)</f>
        <v>10037.629999999999</v>
      </c>
      <c r="K12" s="439">
        <f>ABS(M12*K14/100)</f>
        <v>10037.629999999999</v>
      </c>
      <c r="L12" s="666">
        <f>(M12/M43)*100</f>
        <v>5.94</v>
      </c>
      <c r="M12" s="666">
        <f>'Planilha Final'!I12</f>
        <v>100376.28</v>
      </c>
    </row>
    <row r="13" spans="1:13" x14ac:dyDescent="0.2">
      <c r="A13" s="676"/>
      <c r="B13" s="663"/>
      <c r="C13" s="664"/>
      <c r="D13" s="664"/>
      <c r="E13" s="665"/>
      <c r="F13" s="669"/>
      <c r="G13" s="670"/>
      <c r="H13" s="670"/>
      <c r="I13" s="670"/>
      <c r="J13" s="670"/>
      <c r="K13" s="671"/>
      <c r="L13" s="667"/>
      <c r="M13" s="667"/>
    </row>
    <row r="14" spans="1:13" x14ac:dyDescent="0.2">
      <c r="A14" s="676"/>
      <c r="B14" s="672" t="s">
        <v>458</v>
      </c>
      <c r="C14" s="673"/>
      <c r="D14" s="673"/>
      <c r="E14" s="674"/>
      <c r="F14" s="440">
        <v>40</v>
      </c>
      <c r="G14" s="440">
        <v>15</v>
      </c>
      <c r="H14" s="440">
        <v>15</v>
      </c>
      <c r="I14" s="440">
        <v>10</v>
      </c>
      <c r="J14" s="440">
        <v>10</v>
      </c>
      <c r="K14" s="440">
        <v>10</v>
      </c>
      <c r="L14" s="667"/>
      <c r="M14" s="667"/>
    </row>
    <row r="15" spans="1:13" x14ac:dyDescent="0.2">
      <c r="A15" s="676"/>
      <c r="B15" s="672" t="s">
        <v>459</v>
      </c>
      <c r="C15" s="673"/>
      <c r="D15" s="673"/>
      <c r="E15" s="674"/>
      <c r="F15" s="440">
        <f>ABS(E14+F14)</f>
        <v>40</v>
      </c>
      <c r="G15" s="440">
        <f>ABS(F14+G14)</f>
        <v>55</v>
      </c>
      <c r="H15" s="440">
        <f>G15+H14</f>
        <v>70</v>
      </c>
      <c r="I15" s="440">
        <f>H15+I14</f>
        <v>80</v>
      </c>
      <c r="J15" s="440">
        <f>I15+J14</f>
        <v>90</v>
      </c>
      <c r="K15" s="440">
        <f>J15+K14</f>
        <v>100</v>
      </c>
      <c r="L15" s="667"/>
      <c r="M15" s="667"/>
    </row>
    <row r="16" spans="1:13" ht="13.5" thickBot="1" x14ac:dyDescent="0.25">
      <c r="A16" s="676"/>
      <c r="B16" s="441"/>
      <c r="C16" s="442"/>
      <c r="D16" s="442"/>
      <c r="E16" s="443" t="s">
        <v>460</v>
      </c>
      <c r="F16" s="444">
        <f>F12</f>
        <v>40150.51</v>
      </c>
      <c r="G16" s="444">
        <f>ABS(F16+G12)</f>
        <v>55206.95</v>
      </c>
      <c r="H16" s="444">
        <f>G16+H12</f>
        <v>70263.39</v>
      </c>
      <c r="I16" s="444">
        <f>H16+I12</f>
        <v>80301.02</v>
      </c>
      <c r="J16" s="444">
        <f>I16+J12</f>
        <v>90338.65</v>
      </c>
      <c r="K16" s="444">
        <f>J16+K12</f>
        <v>100376.28</v>
      </c>
      <c r="L16" s="668"/>
      <c r="M16" s="668"/>
    </row>
    <row r="17" spans="1:13" x14ac:dyDescent="0.2">
      <c r="A17" s="676"/>
      <c r="B17" s="660" t="s">
        <v>467</v>
      </c>
      <c r="C17" s="661"/>
      <c r="D17" s="661"/>
      <c r="E17" s="662"/>
      <c r="F17" s="439">
        <f>ABS(M17*F19/100)</f>
        <v>1804.75</v>
      </c>
      <c r="G17" s="439">
        <f>ABS(M17*G19/100)</f>
        <v>7219.02</v>
      </c>
      <c r="H17" s="439">
        <f>ABS(M17*H19/100)</f>
        <v>5414.26</v>
      </c>
      <c r="I17" s="439">
        <f>ABS(M17*I19/100)</f>
        <v>9023.77</v>
      </c>
      <c r="J17" s="439">
        <f>ABS(M17*J19/100)</f>
        <v>9023.77</v>
      </c>
      <c r="K17" s="439">
        <f>ABS(M17*K19/100)</f>
        <v>3609.51</v>
      </c>
      <c r="L17" s="666">
        <f>(M17/M43)*100</f>
        <v>2.14</v>
      </c>
      <c r="M17" s="666">
        <f>'Planilha Final'!I18+'Planilha Final'!I22</f>
        <v>36095.08</v>
      </c>
    </row>
    <row r="18" spans="1:13" ht="24.75" customHeight="1" x14ac:dyDescent="0.2">
      <c r="A18" s="676"/>
      <c r="B18" s="663"/>
      <c r="C18" s="664"/>
      <c r="D18" s="664"/>
      <c r="E18" s="665"/>
      <c r="F18" s="669"/>
      <c r="G18" s="670"/>
      <c r="H18" s="670"/>
      <c r="I18" s="670"/>
      <c r="J18" s="670"/>
      <c r="K18" s="671"/>
      <c r="L18" s="667"/>
      <c r="M18" s="667"/>
    </row>
    <row r="19" spans="1:13" x14ac:dyDescent="0.2">
      <c r="A19" s="676"/>
      <c r="B19" s="672" t="s">
        <v>458</v>
      </c>
      <c r="C19" s="673"/>
      <c r="D19" s="673"/>
      <c r="E19" s="674"/>
      <c r="F19" s="440">
        <v>5</v>
      </c>
      <c r="G19" s="440">
        <v>20</v>
      </c>
      <c r="H19" s="440">
        <v>15</v>
      </c>
      <c r="I19" s="440">
        <v>25</v>
      </c>
      <c r="J19" s="440">
        <v>25</v>
      </c>
      <c r="K19" s="440">
        <v>10</v>
      </c>
      <c r="L19" s="667"/>
      <c r="M19" s="667"/>
    </row>
    <row r="20" spans="1:13" x14ac:dyDescent="0.2">
      <c r="A20" s="676"/>
      <c r="B20" s="672" t="s">
        <v>459</v>
      </c>
      <c r="C20" s="673"/>
      <c r="D20" s="673"/>
      <c r="E20" s="674"/>
      <c r="F20" s="440">
        <f>ABS(E19+F19)</f>
        <v>5</v>
      </c>
      <c r="G20" s="440">
        <f>ABS(F19+G19)</f>
        <v>25</v>
      </c>
      <c r="H20" s="440">
        <f>G20+H19</f>
        <v>40</v>
      </c>
      <c r="I20" s="440">
        <f>H20+I19</f>
        <v>65</v>
      </c>
      <c r="J20" s="440">
        <f>I20+J19</f>
        <v>90</v>
      </c>
      <c r="K20" s="440">
        <f>J20+K19</f>
        <v>100</v>
      </c>
      <c r="L20" s="667"/>
      <c r="M20" s="667"/>
    </row>
    <row r="21" spans="1:13" ht="13.5" thickBot="1" x14ac:dyDescent="0.25">
      <c r="A21" s="676"/>
      <c r="B21" s="441"/>
      <c r="C21" s="442"/>
      <c r="D21" s="442"/>
      <c r="E21" s="443" t="s">
        <v>460</v>
      </c>
      <c r="F21" s="444">
        <f>F17</f>
        <v>1804.75</v>
      </c>
      <c r="G21" s="444">
        <f>ABS(F21+G17)</f>
        <v>9023.77</v>
      </c>
      <c r="H21" s="444">
        <f>G21+H17</f>
        <v>14438.03</v>
      </c>
      <c r="I21" s="444">
        <f>H21+I17</f>
        <v>23461.8</v>
      </c>
      <c r="J21" s="444">
        <f>I21+J17</f>
        <v>32485.57</v>
      </c>
      <c r="K21" s="444">
        <f>J21+K17</f>
        <v>36095.08</v>
      </c>
      <c r="L21" s="668"/>
      <c r="M21" s="668"/>
    </row>
    <row r="22" spans="1:13" x14ac:dyDescent="0.2">
      <c r="A22" s="676"/>
      <c r="B22" s="660" t="s">
        <v>468</v>
      </c>
      <c r="C22" s="661"/>
      <c r="D22" s="661"/>
      <c r="E22" s="662"/>
      <c r="F22" s="439"/>
      <c r="G22" s="439">
        <f>ABS(M22*G24/100)</f>
        <v>153082.89000000001</v>
      </c>
      <c r="H22" s="439">
        <f>ABS(M22*H24/100)</f>
        <v>153082.89000000001</v>
      </c>
      <c r="I22" s="439">
        <f>ABS(M22*I24/100)</f>
        <v>255138.15</v>
      </c>
      <c r="J22" s="439">
        <f>ABS(M22*J24/100)</f>
        <v>255138.15</v>
      </c>
      <c r="K22" s="439">
        <f>ABS(M22*K24/100)</f>
        <v>204110.52</v>
      </c>
      <c r="L22" s="666">
        <f>(M22/M43)*100</f>
        <v>60.38</v>
      </c>
      <c r="M22" s="666">
        <f>'Planilha Final'!I43+'Planilha Final'!I56+'Planilha Final'!I75</f>
        <v>1020552.58</v>
      </c>
    </row>
    <row r="23" spans="1:13" ht="37.5" customHeight="1" x14ac:dyDescent="0.2">
      <c r="A23" s="676"/>
      <c r="B23" s="663"/>
      <c r="C23" s="664"/>
      <c r="D23" s="664"/>
      <c r="E23" s="665"/>
      <c r="F23" s="669"/>
      <c r="G23" s="670"/>
      <c r="H23" s="670"/>
      <c r="I23" s="670"/>
      <c r="J23" s="670"/>
      <c r="K23" s="671"/>
      <c r="L23" s="667"/>
      <c r="M23" s="667"/>
    </row>
    <row r="24" spans="1:13" x14ac:dyDescent="0.2">
      <c r="A24" s="676"/>
      <c r="B24" s="672" t="s">
        <v>458</v>
      </c>
      <c r="C24" s="673"/>
      <c r="D24" s="673"/>
      <c r="E24" s="674"/>
      <c r="F24" s="440"/>
      <c r="G24" s="440">
        <v>15</v>
      </c>
      <c r="H24" s="440">
        <v>15</v>
      </c>
      <c r="I24" s="440">
        <v>25</v>
      </c>
      <c r="J24" s="440">
        <v>25</v>
      </c>
      <c r="K24" s="440">
        <v>20</v>
      </c>
      <c r="L24" s="667"/>
      <c r="M24" s="667"/>
    </row>
    <row r="25" spans="1:13" x14ac:dyDescent="0.2">
      <c r="A25" s="676"/>
      <c r="B25" s="672" t="s">
        <v>459</v>
      </c>
      <c r="C25" s="673"/>
      <c r="D25" s="673"/>
      <c r="E25" s="674"/>
      <c r="F25" s="440"/>
      <c r="G25" s="440">
        <f>ABS(F24+G24)</f>
        <v>15</v>
      </c>
      <c r="H25" s="440">
        <f>G25+H24</f>
        <v>30</v>
      </c>
      <c r="I25" s="440">
        <f>H25+I24</f>
        <v>55</v>
      </c>
      <c r="J25" s="440">
        <f>I25+J24</f>
        <v>80</v>
      </c>
      <c r="K25" s="440">
        <f>J25+K24</f>
        <v>100</v>
      </c>
      <c r="L25" s="667"/>
      <c r="M25" s="667"/>
    </row>
    <row r="26" spans="1:13" ht="13.5" thickBot="1" x14ac:dyDescent="0.25">
      <c r="A26" s="676"/>
      <c r="B26" s="441"/>
      <c r="C26" s="442"/>
      <c r="D26" s="442"/>
      <c r="E26" s="443" t="s">
        <v>460</v>
      </c>
      <c r="F26" s="445"/>
      <c r="G26" s="445">
        <f>ABS(F26+G22)</f>
        <v>153082.89000000001</v>
      </c>
      <c r="H26" s="445">
        <f>G26+H22</f>
        <v>306165.78000000003</v>
      </c>
      <c r="I26" s="445">
        <f>H26+I22</f>
        <v>561303.93000000005</v>
      </c>
      <c r="J26" s="445">
        <f>I26+J22</f>
        <v>816442.08</v>
      </c>
      <c r="K26" s="445">
        <f>J26+K22</f>
        <v>1020552.6</v>
      </c>
      <c r="L26" s="668"/>
      <c r="M26" s="668"/>
    </row>
    <row r="27" spans="1:13" ht="12.75" customHeight="1" x14ac:dyDescent="0.2">
      <c r="A27" s="676"/>
      <c r="B27" s="660" t="s">
        <v>469</v>
      </c>
      <c r="C27" s="661"/>
      <c r="D27" s="661"/>
      <c r="E27" s="662"/>
      <c r="F27" s="439"/>
      <c r="G27" s="439">
        <f>ABS(M27*G29/100)</f>
        <v>14960.84</v>
      </c>
      <c r="H27" s="439">
        <f>ABS(M27*H29/100)</f>
        <v>14960.84</v>
      </c>
      <c r="I27" s="439">
        <f>ABS(M27*I29/100)</f>
        <v>29921.67</v>
      </c>
      <c r="J27" s="439">
        <f>ABS(M27*J29/100)</f>
        <v>29921.67</v>
      </c>
      <c r="K27" s="439">
        <f>ABS(M27*K29/100)</f>
        <v>9973.89</v>
      </c>
      <c r="L27" s="666">
        <f>(M27/M43)*100</f>
        <v>5.9</v>
      </c>
      <c r="M27" s="666">
        <f>'Planilha Final'!I59</f>
        <v>99738.9</v>
      </c>
    </row>
    <row r="28" spans="1:13" ht="24" customHeight="1" x14ac:dyDescent="0.2">
      <c r="A28" s="676"/>
      <c r="B28" s="663"/>
      <c r="C28" s="664"/>
      <c r="D28" s="664"/>
      <c r="E28" s="665"/>
      <c r="F28" s="669"/>
      <c r="G28" s="670"/>
      <c r="H28" s="670"/>
      <c r="I28" s="670"/>
      <c r="J28" s="670"/>
      <c r="K28" s="671"/>
      <c r="L28" s="667"/>
      <c r="M28" s="667"/>
    </row>
    <row r="29" spans="1:13" x14ac:dyDescent="0.2">
      <c r="A29" s="676"/>
      <c r="B29" s="672" t="s">
        <v>458</v>
      </c>
      <c r="C29" s="673"/>
      <c r="D29" s="673"/>
      <c r="E29" s="674"/>
      <c r="F29" s="440"/>
      <c r="G29" s="440">
        <v>15</v>
      </c>
      <c r="H29" s="440">
        <v>15</v>
      </c>
      <c r="I29" s="440">
        <v>30</v>
      </c>
      <c r="J29" s="440">
        <v>30</v>
      </c>
      <c r="K29" s="440">
        <v>10</v>
      </c>
      <c r="L29" s="667"/>
      <c r="M29" s="667"/>
    </row>
    <row r="30" spans="1:13" x14ac:dyDescent="0.2">
      <c r="A30" s="676"/>
      <c r="B30" s="672" t="s">
        <v>459</v>
      </c>
      <c r="C30" s="673"/>
      <c r="D30" s="673"/>
      <c r="E30" s="674"/>
      <c r="F30" s="440"/>
      <c r="G30" s="440">
        <f>ABS(F29+G29)</f>
        <v>15</v>
      </c>
      <c r="H30" s="440">
        <f>G30+H29</f>
        <v>30</v>
      </c>
      <c r="I30" s="440">
        <f>H30+I29</f>
        <v>60</v>
      </c>
      <c r="J30" s="440">
        <f>I30+J29</f>
        <v>90</v>
      </c>
      <c r="K30" s="440">
        <f>J30+K29</f>
        <v>100</v>
      </c>
      <c r="L30" s="667"/>
      <c r="M30" s="667"/>
    </row>
    <row r="31" spans="1:13" ht="13.5" thickBot="1" x14ac:dyDescent="0.25">
      <c r="A31" s="676"/>
      <c r="B31" s="441"/>
      <c r="C31" s="442"/>
      <c r="D31" s="442"/>
      <c r="E31" s="443" t="s">
        <v>460</v>
      </c>
      <c r="F31" s="444"/>
      <c r="G31" s="444">
        <f>ABS(F31+G27)</f>
        <v>14960.84</v>
      </c>
      <c r="H31" s="444">
        <f>G31+H27</f>
        <v>29921.68</v>
      </c>
      <c r="I31" s="444">
        <f>H31+I27</f>
        <v>59843.35</v>
      </c>
      <c r="J31" s="444">
        <f>I31+J27</f>
        <v>89765.02</v>
      </c>
      <c r="K31" s="444">
        <f>J31+K27</f>
        <v>99738.91</v>
      </c>
      <c r="L31" s="668"/>
      <c r="M31" s="668"/>
    </row>
    <row r="32" spans="1:13" ht="13.5" thickBot="1" x14ac:dyDescent="0.25">
      <c r="A32" s="676"/>
    </row>
    <row r="33" spans="1:13" x14ac:dyDescent="0.2">
      <c r="A33" s="676"/>
      <c r="B33" s="660" t="s">
        <v>509</v>
      </c>
      <c r="C33" s="661"/>
      <c r="D33" s="661"/>
      <c r="E33" s="662"/>
      <c r="F33" s="439">
        <f>ABS(M33*F35/100)</f>
        <v>21223.71</v>
      </c>
      <c r="G33" s="439">
        <f>ABS(M33*G35/100)</f>
        <v>42447.41</v>
      </c>
      <c r="H33" s="439">
        <f>ABS(M33*H35/100)</f>
        <v>63671.12</v>
      </c>
      <c r="I33" s="439">
        <f>ABS(M33*I35/100)</f>
        <v>127342.23</v>
      </c>
      <c r="J33" s="439">
        <f>ABS(M33*J35/100)</f>
        <v>127342.23</v>
      </c>
      <c r="K33" s="439">
        <f>ABS(M33*K35/100)</f>
        <v>42447.41</v>
      </c>
      <c r="L33" s="666">
        <f>M33/M43*100</f>
        <v>25.11</v>
      </c>
      <c r="M33" s="666">
        <f>'Planilha Final'!I99</f>
        <v>424474.1</v>
      </c>
    </row>
    <row r="34" spans="1:13" ht="37.5" customHeight="1" x14ac:dyDescent="0.2">
      <c r="A34" s="676"/>
      <c r="B34" s="663"/>
      <c r="C34" s="664"/>
      <c r="D34" s="664"/>
      <c r="E34" s="665"/>
      <c r="F34" s="669"/>
      <c r="G34" s="670"/>
      <c r="H34" s="670"/>
      <c r="I34" s="670"/>
      <c r="J34" s="670"/>
      <c r="K34" s="671"/>
      <c r="L34" s="667"/>
      <c r="M34" s="667"/>
    </row>
    <row r="35" spans="1:13" x14ac:dyDescent="0.2">
      <c r="A35" s="676"/>
      <c r="B35" s="672" t="s">
        <v>458</v>
      </c>
      <c r="C35" s="673"/>
      <c r="D35" s="673"/>
      <c r="E35" s="674"/>
      <c r="F35" s="440">
        <v>5</v>
      </c>
      <c r="G35" s="440">
        <v>10</v>
      </c>
      <c r="H35" s="440">
        <v>15</v>
      </c>
      <c r="I35" s="440">
        <v>30</v>
      </c>
      <c r="J35" s="440">
        <v>30</v>
      </c>
      <c r="K35" s="440">
        <v>10</v>
      </c>
      <c r="L35" s="667"/>
      <c r="M35" s="667"/>
    </row>
    <row r="36" spans="1:13" x14ac:dyDescent="0.2">
      <c r="A36" s="676"/>
      <c r="B36" s="672" t="s">
        <v>459</v>
      </c>
      <c r="C36" s="673"/>
      <c r="D36" s="673"/>
      <c r="E36" s="674"/>
      <c r="F36" s="440">
        <f>ABS(E35+F35)</f>
        <v>5</v>
      </c>
      <c r="G36" s="440">
        <f>ABS(F35+G35)</f>
        <v>15</v>
      </c>
      <c r="H36" s="440">
        <f>G36+H35</f>
        <v>30</v>
      </c>
      <c r="I36" s="440">
        <f>H36+I35</f>
        <v>60</v>
      </c>
      <c r="J36" s="440">
        <f>I36+J35</f>
        <v>90</v>
      </c>
      <c r="K36" s="440">
        <f>J36+K35</f>
        <v>100</v>
      </c>
      <c r="L36" s="667"/>
      <c r="M36" s="667"/>
    </row>
    <row r="37" spans="1:13" ht="13.5" thickBot="1" x14ac:dyDescent="0.25">
      <c r="A37" s="676"/>
      <c r="B37" s="441"/>
      <c r="C37" s="442"/>
      <c r="D37" s="442"/>
      <c r="E37" s="443" t="s">
        <v>460</v>
      </c>
      <c r="F37" s="444">
        <f>F33</f>
        <v>21223.71</v>
      </c>
      <c r="G37" s="444">
        <f>ABS(F37+G33)</f>
        <v>63671.12</v>
      </c>
      <c r="H37" s="444">
        <f>G37+H33</f>
        <v>127342.24</v>
      </c>
      <c r="I37" s="444">
        <f>H37+I33</f>
        <v>254684.47</v>
      </c>
      <c r="J37" s="444">
        <f>I37+J33</f>
        <v>382026.7</v>
      </c>
      <c r="K37" s="444">
        <f>J37+K33</f>
        <v>424474.11</v>
      </c>
      <c r="L37" s="668"/>
      <c r="M37" s="668"/>
    </row>
    <row r="38" spans="1:13" x14ac:dyDescent="0.2">
      <c r="A38" s="676"/>
      <c r="B38" s="660" t="s">
        <v>231</v>
      </c>
      <c r="C38" s="661"/>
      <c r="D38" s="661"/>
      <c r="E38" s="662"/>
      <c r="F38" s="439"/>
      <c r="G38" s="439">
        <f>ABS(M38*G40/100)</f>
        <v>1340.64</v>
      </c>
      <c r="H38" s="439">
        <f>ABS(M38*H40/100)</f>
        <v>1340.64</v>
      </c>
      <c r="I38" s="439">
        <f>ABS(M38*I40/100)</f>
        <v>2234.4</v>
      </c>
      <c r="J38" s="439">
        <f>ABS(M38*J40/100)</f>
        <v>2234.4</v>
      </c>
      <c r="K38" s="439">
        <f>ABS(M38*K40/100)</f>
        <v>1787.52</v>
      </c>
      <c r="L38" s="666">
        <f>M38/M43*100</f>
        <v>0.53</v>
      </c>
      <c r="M38" s="666">
        <f>'Planilha Final'!I103</f>
        <v>8937.6</v>
      </c>
    </row>
    <row r="39" spans="1:13" x14ac:dyDescent="0.2">
      <c r="A39" s="676"/>
      <c r="B39" s="663"/>
      <c r="C39" s="664"/>
      <c r="D39" s="664"/>
      <c r="E39" s="665"/>
      <c r="F39" s="669"/>
      <c r="G39" s="670"/>
      <c r="H39" s="670"/>
      <c r="I39" s="670"/>
      <c r="J39" s="670"/>
      <c r="K39" s="671"/>
      <c r="L39" s="667"/>
      <c r="M39" s="667"/>
    </row>
    <row r="40" spans="1:13" x14ac:dyDescent="0.2">
      <c r="A40" s="676"/>
      <c r="B40" s="672" t="s">
        <v>458</v>
      </c>
      <c r="C40" s="673"/>
      <c r="D40" s="673"/>
      <c r="E40" s="674"/>
      <c r="F40" s="440"/>
      <c r="G40" s="440">
        <v>15</v>
      </c>
      <c r="H40" s="440">
        <v>15</v>
      </c>
      <c r="I40" s="440">
        <v>25</v>
      </c>
      <c r="J40" s="440">
        <v>25</v>
      </c>
      <c r="K40" s="440">
        <v>20</v>
      </c>
      <c r="L40" s="667"/>
      <c r="M40" s="667"/>
    </row>
    <row r="41" spans="1:13" x14ac:dyDescent="0.2">
      <c r="A41" s="676"/>
      <c r="B41" s="672" t="s">
        <v>459</v>
      </c>
      <c r="C41" s="673"/>
      <c r="D41" s="673"/>
      <c r="E41" s="674"/>
      <c r="F41" s="440"/>
      <c r="G41" s="440">
        <f>ABS(F40+G40)</f>
        <v>15</v>
      </c>
      <c r="H41" s="440">
        <f>G41+H40</f>
        <v>30</v>
      </c>
      <c r="I41" s="440">
        <f>H41+I40</f>
        <v>55</v>
      </c>
      <c r="J41" s="440">
        <f>I41+J40</f>
        <v>80</v>
      </c>
      <c r="K41" s="440">
        <f>J41+K40</f>
        <v>100</v>
      </c>
      <c r="L41" s="667"/>
      <c r="M41" s="667"/>
    </row>
    <row r="42" spans="1:13" ht="13.5" thickBot="1" x14ac:dyDescent="0.25">
      <c r="A42" s="677"/>
      <c r="B42" s="441"/>
      <c r="C42" s="442"/>
      <c r="D42" s="442"/>
      <c r="E42" s="443" t="s">
        <v>460</v>
      </c>
      <c r="F42" s="444"/>
      <c r="G42" s="444">
        <f>ABS(F42+G38)</f>
        <v>1340.64</v>
      </c>
      <c r="H42" s="444">
        <f>G42+H38</f>
        <v>2681.28</v>
      </c>
      <c r="I42" s="444">
        <f>H42+I38</f>
        <v>4915.68</v>
      </c>
      <c r="J42" s="444">
        <f>I42+J38</f>
        <v>7150.08</v>
      </c>
      <c r="K42" s="444">
        <f>J42+K38</f>
        <v>8937.6</v>
      </c>
      <c r="L42" s="668"/>
      <c r="M42" s="668"/>
    </row>
    <row r="43" spans="1:13" ht="13.5" thickTop="1" x14ac:dyDescent="0.2">
      <c r="A43" s="640" t="s">
        <v>461</v>
      </c>
      <c r="B43" s="642" t="s">
        <v>462</v>
      </c>
      <c r="C43" s="643"/>
      <c r="D43" s="643"/>
      <c r="E43" s="644"/>
      <c r="F43" s="446">
        <f>F12+F17+F33</f>
        <v>63178.97</v>
      </c>
      <c r="G43" s="446">
        <f t="shared" ref="G43:M43" si="0">G12+G17+G22+G27+G33+G38</f>
        <v>234107.24</v>
      </c>
      <c r="H43" s="446">
        <f t="shared" si="0"/>
        <v>253526.19</v>
      </c>
      <c r="I43" s="446">
        <f t="shared" si="0"/>
        <v>433697.85</v>
      </c>
      <c r="J43" s="446">
        <f t="shared" si="0"/>
        <v>433697.85</v>
      </c>
      <c r="K43" s="446">
        <f t="shared" si="0"/>
        <v>271966.48</v>
      </c>
      <c r="L43" s="447">
        <f t="shared" si="0"/>
        <v>100</v>
      </c>
      <c r="M43" s="645">
        <f t="shared" si="0"/>
        <v>1690174.54</v>
      </c>
    </row>
    <row r="44" spans="1:13" x14ac:dyDescent="0.2">
      <c r="A44" s="641"/>
      <c r="B44" s="647" t="s">
        <v>463</v>
      </c>
      <c r="C44" s="648"/>
      <c r="D44" s="648"/>
      <c r="E44" s="649"/>
      <c r="F44" s="448">
        <f>ABS(F43)</f>
        <v>63178.97</v>
      </c>
      <c r="G44" s="448">
        <f>F44+G43</f>
        <v>297286.21000000002</v>
      </c>
      <c r="H44" s="448">
        <f>G44+H43</f>
        <v>550812.4</v>
      </c>
      <c r="I44" s="448">
        <f>H44+I43</f>
        <v>984510.25</v>
      </c>
      <c r="J44" s="448">
        <f>I44+J43</f>
        <v>1418208.1</v>
      </c>
      <c r="K44" s="448">
        <f>ABS(J44+K43)</f>
        <v>1690174.58</v>
      </c>
      <c r="L44" s="449"/>
      <c r="M44" s="646"/>
    </row>
    <row r="45" spans="1:13" x14ac:dyDescent="0.2">
      <c r="A45" s="650" t="s">
        <v>464</v>
      </c>
      <c r="B45" s="652" t="s">
        <v>465</v>
      </c>
      <c r="C45" s="653"/>
      <c r="D45" s="653"/>
      <c r="E45" s="654"/>
      <c r="F45" s="440">
        <f>ABS(F43/M43*100)</f>
        <v>3.74</v>
      </c>
      <c r="G45" s="440">
        <f>ABS(G43/M43*100)</f>
        <v>13.85</v>
      </c>
      <c r="H45" s="440">
        <f>ABS(H43/M43*100)</f>
        <v>15</v>
      </c>
      <c r="I45" s="440">
        <f>ABS(I43/M43*100)</f>
        <v>25.66</v>
      </c>
      <c r="J45" s="440">
        <f>ABS(J43/M43*100)</f>
        <v>25.66</v>
      </c>
      <c r="K45" s="440">
        <f>ABS(K43/M43*100)</f>
        <v>16.09</v>
      </c>
      <c r="L45" s="450"/>
      <c r="M45" s="655"/>
    </row>
    <row r="46" spans="1:13" ht="13.5" thickBot="1" x14ac:dyDescent="0.25">
      <c r="A46" s="651"/>
      <c r="B46" s="657" t="s">
        <v>463</v>
      </c>
      <c r="C46" s="658"/>
      <c r="D46" s="658"/>
      <c r="E46" s="659"/>
      <c r="F46" s="451">
        <f>ABS(F45)</f>
        <v>3.74</v>
      </c>
      <c r="G46" s="451">
        <f>F46+G45</f>
        <v>17.59</v>
      </c>
      <c r="H46" s="451">
        <f>G46+H45</f>
        <v>32.590000000000003</v>
      </c>
      <c r="I46" s="451">
        <f>H46+I45</f>
        <v>58.25</v>
      </c>
      <c r="J46" s="451">
        <f>I46+J45</f>
        <v>83.91</v>
      </c>
      <c r="K46" s="452">
        <f>J46+K45</f>
        <v>100</v>
      </c>
      <c r="L46" s="453"/>
      <c r="M46" s="656"/>
    </row>
    <row r="47" spans="1:13" ht="14.25" thickTop="1" thickBot="1" x14ac:dyDescent="0.25"/>
    <row r="48" spans="1:13" ht="14.25" thickTop="1" thickBot="1" x14ac:dyDescent="0.25">
      <c r="A48" s="637" t="s">
        <v>52</v>
      </c>
      <c r="B48" s="638"/>
      <c r="C48" s="638"/>
      <c r="D48" s="638"/>
      <c r="E48" s="638"/>
      <c r="F48" s="638"/>
      <c r="G48" s="638"/>
      <c r="H48" s="638"/>
      <c r="I48" s="638"/>
      <c r="J48" s="638"/>
      <c r="K48" s="638"/>
      <c r="L48" s="639"/>
      <c r="M48" s="454">
        <f>M43</f>
        <v>1690174.54</v>
      </c>
    </row>
    <row r="49" ht="13.5" thickTop="1" x14ac:dyDescent="0.2"/>
  </sheetData>
  <mergeCells count="63">
    <mergeCell ref="A9:A10"/>
    <mergeCell ref="B9:E10"/>
    <mergeCell ref="F9:K9"/>
    <mergeCell ref="L9:L11"/>
    <mergeCell ref="M9:M11"/>
    <mergeCell ref="A11:E11"/>
    <mergeCell ref="F10:F11"/>
    <mergeCell ref="G10:G11"/>
    <mergeCell ref="H10:H11"/>
    <mergeCell ref="I10:I11"/>
    <mergeCell ref="J10:J11"/>
    <mergeCell ref="K10:K11"/>
    <mergeCell ref="A3:K3"/>
    <mergeCell ref="A5:K5"/>
    <mergeCell ref="A6:K6"/>
    <mergeCell ref="A7:M7"/>
    <mergeCell ref="A8:M8"/>
    <mergeCell ref="A12:A42"/>
    <mergeCell ref="B12:E13"/>
    <mergeCell ref="L12:L16"/>
    <mergeCell ref="M12:M16"/>
    <mergeCell ref="F13:K13"/>
    <mergeCell ref="B14:E14"/>
    <mergeCell ref="B15:E15"/>
    <mergeCell ref="B17:E18"/>
    <mergeCell ref="L17:L21"/>
    <mergeCell ref="M17:M21"/>
    <mergeCell ref="F18:K18"/>
    <mergeCell ref="B19:E19"/>
    <mergeCell ref="B20:E20"/>
    <mergeCell ref="B22:E23"/>
    <mergeCell ref="L22:L26"/>
    <mergeCell ref="M22:M26"/>
    <mergeCell ref="F23:K23"/>
    <mergeCell ref="B24:E24"/>
    <mergeCell ref="B25:E25"/>
    <mergeCell ref="B27:E28"/>
    <mergeCell ref="L27:L31"/>
    <mergeCell ref="M27:M31"/>
    <mergeCell ref="F28:K28"/>
    <mergeCell ref="B29:E29"/>
    <mergeCell ref="B30:E30"/>
    <mergeCell ref="B33:E34"/>
    <mergeCell ref="L33:L37"/>
    <mergeCell ref="M33:M37"/>
    <mergeCell ref="F34:K34"/>
    <mergeCell ref="B35:E35"/>
    <mergeCell ref="B36:E36"/>
    <mergeCell ref="B38:E39"/>
    <mergeCell ref="L38:L42"/>
    <mergeCell ref="M38:M42"/>
    <mergeCell ref="F39:K39"/>
    <mergeCell ref="B40:E40"/>
    <mergeCell ref="B41:E41"/>
    <mergeCell ref="A48:L48"/>
    <mergeCell ref="A43:A44"/>
    <mergeCell ref="B43:E43"/>
    <mergeCell ref="M43:M44"/>
    <mergeCell ref="B44:E44"/>
    <mergeCell ref="A45:A46"/>
    <mergeCell ref="B45:E45"/>
    <mergeCell ref="M45:M46"/>
    <mergeCell ref="B46:E46"/>
  </mergeCells>
  <pageMargins left="0.51181102362204722" right="0.51181102362204722" top="0.78740157480314965" bottom="0.78740157480314965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Planilha Final</vt:lpstr>
      <vt:lpstr>Dados da obra</vt:lpstr>
      <vt:lpstr>1.Adm. Local</vt:lpstr>
      <vt:lpstr>2.Ser.Prel.</vt:lpstr>
      <vt:lpstr>Mobilização</vt:lpstr>
      <vt:lpstr>4.Memória </vt:lpstr>
      <vt:lpstr>Composições</vt:lpstr>
      <vt:lpstr>COTAÇÃO</vt:lpstr>
      <vt:lpstr>Cronograma</vt:lpstr>
      <vt:lpstr>Percentual</vt:lpstr>
      <vt:lpstr>'1.Adm. Local'!Area_de_impressao</vt:lpstr>
      <vt:lpstr>'2.Ser.Prel.'!Area_de_impressao</vt:lpstr>
      <vt:lpstr>'4.Memória '!Area_de_impressao</vt:lpstr>
      <vt:lpstr>Composições!Area_de_impressao</vt:lpstr>
      <vt:lpstr>COTAÇÃO!Area_de_impressao</vt:lpstr>
      <vt:lpstr>'Dados da obra'!Area_de_impressao</vt:lpstr>
      <vt:lpstr>Mobilização!Area_de_impressao</vt:lpstr>
      <vt:lpstr>'Planilha Final'!Area_de_impressao</vt:lpstr>
      <vt:lpstr>'4.Memória 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patricia barbosa</cp:lastModifiedBy>
  <cp:lastPrinted>2022-02-09T18:47:26Z</cp:lastPrinted>
  <dcterms:created xsi:type="dcterms:W3CDTF">2019-05-03T14:47:32Z</dcterms:created>
  <dcterms:modified xsi:type="dcterms:W3CDTF">2022-02-17T13:49:09Z</dcterms:modified>
</cp:coreProperties>
</file>