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tabRatio="867" firstSheet="1" activeTab="1"/>
  </bookViews>
  <sheets>
    <sheet name="DADOS" sheetId="1" state="hidden" r:id="rId1"/>
    <sheet name="ORÇAMENTO GERAL" sheetId="2" r:id="rId2"/>
    <sheet name="MC-DRE" sheetId="3" r:id="rId3"/>
    <sheet name="MC-TER" sheetId="4" r:id="rId4"/>
    <sheet name="MC-PAV" sheetId="5" r:id="rId5"/>
    <sheet name="CRONOGRAMA" sheetId="6" r:id="rId6"/>
    <sheet name="CPU-I" sheetId="7" state="hidden" r:id="rId7"/>
    <sheet name="CPU-II" sheetId="8" r:id="rId8"/>
    <sheet name="CPU-III" sheetId="9" r:id="rId9"/>
    <sheet name="CPU-IV" sheetId="10" r:id="rId10"/>
    <sheet name="CPU-V" sheetId="11" state="hidden" r:id="rId11"/>
    <sheet name="CPU-VI" sheetId="12" state="hidden" r:id="rId12"/>
    <sheet name="CPU-VII" sheetId="13" state="hidden" r:id="rId13"/>
    <sheet name="LS" sheetId="14" r:id="rId14"/>
    <sheet name="BDI" sheetId="15" r:id="rId15"/>
    <sheet name="CPU-cbuq" sheetId="16" state="hidden" r:id="rId16"/>
    <sheet name="PV PARA REDE 600" sheetId="17" state="hidden" r:id="rId17"/>
  </sheets>
  <externalReferences>
    <externalReference r:id="rId20"/>
  </externalReferences>
  <definedNames>
    <definedName name="_xlnm.Print_Area" localSheetId="14">'BDI'!$A$1:$H$53</definedName>
    <definedName name="_xlnm.Print_Area" localSheetId="15">'CPU-cbuq'!$A$1:$G$46</definedName>
    <definedName name="_xlnm.Print_Area" localSheetId="6">'CPU-I'!$A$1:$G$36</definedName>
    <definedName name="_xlnm.Print_Area" localSheetId="8">'CPU-III'!$A$1:$G$41</definedName>
    <definedName name="_xlnm.Print_Area" localSheetId="9">'CPU-IV'!$A$1:$G$41</definedName>
    <definedName name="_xlnm.Print_Area" localSheetId="10">'CPU-V'!$A$1:$G$42</definedName>
    <definedName name="_xlnm.Print_Area" localSheetId="11">'CPU-VI'!$A$1:$G$42</definedName>
    <definedName name="_xlnm.Print_Area" localSheetId="12">'CPU-VII'!$A$1:$G$46</definedName>
    <definedName name="_xlnm.Print_Area" localSheetId="5">'CRONOGRAMA'!$A$1:$P$35</definedName>
    <definedName name="_xlnm.Print_Area" localSheetId="0">'DADOS'!$A$1:$L$29</definedName>
    <definedName name="_xlnm.Print_Area" localSheetId="2">'MC-DRE'!$A$1:$R$230</definedName>
    <definedName name="_xlnm.Print_Area" localSheetId="4">'MC-PAV'!$A$1:$T$38</definedName>
    <definedName name="_xlnm.Print_Area" localSheetId="3">'MC-TER'!$A$1:$S$39</definedName>
    <definedName name="_xlnm.Print_Area" localSheetId="1">'ORÇAMENTO GERAL'!$C$1:$K$143</definedName>
    <definedName name="_xlnm.Print_Titles" localSheetId="2">'MC-DRE'!$1:$12</definedName>
    <definedName name="_xlnm.Print_Titles" localSheetId="1">'ORÇAMENTO GERAL'!$1:$15</definedName>
  </definedNames>
  <calcPr fullCalcOnLoad="1" fullPrecision="0"/>
</workbook>
</file>

<file path=xl/comments1.xml><?xml version="1.0" encoding="utf-8"?>
<comments xmlns="http://schemas.openxmlformats.org/spreadsheetml/2006/main">
  <authors>
    <author>jeniffer nascimento</author>
  </authors>
  <commentList>
    <comment ref="O9" authorId="0">
      <text>
        <r>
          <rPr>
            <b/>
            <sz val="9"/>
            <rFont val="Segoe UI"/>
            <family val="2"/>
          </rPr>
          <t>jeniffer nascimento:</t>
        </r>
        <r>
          <rPr>
            <sz val="9"/>
            <rFont val="Segoe UI"/>
            <family val="2"/>
          </rPr>
          <t xml:space="preserve">
ATUALIZAR CONFORME QTDE DE RUAS
</t>
        </r>
      </text>
    </comment>
  </commentList>
</comments>
</file>

<file path=xl/comments17.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5.xml><?xml version="1.0" encoding="utf-8"?>
<comments xmlns="http://schemas.openxmlformats.org/spreadsheetml/2006/main">
  <authors>
    <author>jeniffer nascimento</author>
  </authors>
  <commentList>
    <comment ref="R13" authorId="0">
      <text>
        <r>
          <rPr>
            <b/>
            <sz val="36"/>
            <rFont val="Segoe UI"/>
            <family val="2"/>
          </rPr>
          <t>jeniffer nascimento:</t>
        </r>
        <r>
          <rPr>
            <sz val="36"/>
            <rFont val="Segoe UI"/>
            <family val="2"/>
          </rPr>
          <t xml:space="preserve">
% vai variar de acordo com a via</t>
        </r>
      </text>
    </comment>
    <comment ref="S13" authorId="0">
      <text>
        <r>
          <rPr>
            <b/>
            <sz val="36"/>
            <rFont val="Segoe UI"/>
            <family val="2"/>
          </rPr>
          <t>jeniffer nascimento:</t>
        </r>
        <r>
          <rPr>
            <sz val="36"/>
            <rFont val="Segoe UI"/>
            <family val="2"/>
          </rPr>
          <t xml:space="preserve">
% vai variar de acordo com a via</t>
        </r>
      </text>
    </comment>
  </commentList>
</comments>
</file>

<file path=xl/sharedStrings.xml><?xml version="1.0" encoding="utf-8"?>
<sst xmlns="http://schemas.openxmlformats.org/spreadsheetml/2006/main" count="1962" uniqueCount="776">
  <si>
    <t>m³</t>
  </si>
  <si>
    <t>SERVIÇOS PRELIMINARES</t>
  </si>
  <si>
    <t>m²</t>
  </si>
  <si>
    <t>m</t>
  </si>
  <si>
    <t>2.1</t>
  </si>
  <si>
    <t>DISPOSITIVOS DE DRENAGEM PROFUNDA</t>
  </si>
  <si>
    <t>DESCRIÇÃO</t>
  </si>
  <si>
    <t>ITEM</t>
  </si>
  <si>
    <t>D</t>
  </si>
  <si>
    <t>TOTAL DO  ITEM 1:</t>
  </si>
  <si>
    <t>3.1</t>
  </si>
  <si>
    <t>LIMPEZA FINAL</t>
  </si>
  <si>
    <t>TOTAL DO ITEM 3:</t>
  </si>
  <si>
    <t>DISPOSITIVOS DE DRENAGEM SUPERFICIAL</t>
  </si>
  <si>
    <t>TOTAL DO ITEM 4:</t>
  </si>
  <si>
    <t>5.1</t>
  </si>
  <si>
    <t>C</t>
  </si>
  <si>
    <t>SERVIÇOS DE TERRAPLENAGEM</t>
  </si>
  <si>
    <t>TOTAL DO ITEM 5:</t>
  </si>
  <si>
    <t>DEPARTAMENTO DE OBRAS</t>
  </si>
  <si>
    <t>PREFEITURA MUNICIPAL DE ANANINDEUA</t>
  </si>
  <si>
    <t>1.1</t>
  </si>
  <si>
    <t>1.2</t>
  </si>
  <si>
    <t>UNIDADE</t>
  </si>
  <si>
    <t>TOTAL</t>
  </si>
  <si>
    <t>PLANILHA ORÇAMENTÁRIA</t>
  </si>
  <si>
    <t>PREÇO UNITÁRIO</t>
  </si>
  <si>
    <t>TOTAL DA OBRA COM BDI:</t>
  </si>
  <si>
    <t>SERVIÇOS DE REVESTIMENTO</t>
  </si>
  <si>
    <t>Ton</t>
  </si>
  <si>
    <t>Ton x Km</t>
  </si>
  <si>
    <t>ton</t>
  </si>
  <si>
    <t>3.2</t>
  </si>
  <si>
    <t>94992</t>
  </si>
  <si>
    <t>SERVIÇOS DE CAIXA PRIMÁRIA</t>
  </si>
  <si>
    <t>4.1</t>
  </si>
  <si>
    <t>4.2</t>
  </si>
  <si>
    <t>4.3</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</si>
  <si>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</si>
  <si>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</si>
  <si>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</si>
  <si>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</si>
  <si>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</si>
  <si>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</si>
  <si>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</si>
  <si>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</si>
  <si>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</si>
  <si>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</si>
  <si>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</si>
  <si>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</si>
  <si>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</si>
  <si>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</si>
  <si>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</si>
  <si>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</si>
  <si>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</si>
  <si>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</si>
  <si>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</si>
  <si>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</si>
  <si>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</si>
  <si>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</si>
  <si>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</si>
  <si>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</si>
  <si>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</si>
  <si>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</si>
  <si>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</si>
  <si>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</si>
  <si>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</si>
  <si>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</si>
  <si>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</si>
  <si>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</si>
  <si>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</si>
  <si>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3.3</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</si>
  <si>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</si>
  <si>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</si>
  <si>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</si>
  <si>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</si>
  <si>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</si>
  <si>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</si>
  <si>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</si>
  <si>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</si>
  <si>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</si>
  <si>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</si>
  <si>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</si>
  <si>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</si>
  <si>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</si>
  <si>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</si>
  <si>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</si>
  <si>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</si>
  <si>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</si>
  <si>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</si>
  <si>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</si>
  <si>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</si>
  <si>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</si>
  <si>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</si>
  <si>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</si>
  <si>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</si>
  <si>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</si>
  <si>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</si>
  <si>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</si>
  <si>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</si>
  <si>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</si>
  <si>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</si>
  <si>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</si>
  <si>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</si>
  <si>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</si>
  <si>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</si>
  <si>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</si>
  <si>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</si>
  <si>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</si>
  <si>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</si>
  <si>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</si>
  <si>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</si>
  <si>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</si>
  <si>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</si>
  <si>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</si>
  <si>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</si>
  <si>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</si>
  <si>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</si>
  <si>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</si>
  <si>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</si>
  <si>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</si>
  <si>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</si>
  <si>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</si>
  <si>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</si>
  <si>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</si>
  <si>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</si>
  <si>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</si>
  <si>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</si>
  <si>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</si>
  <si>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</si>
  <si>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</si>
  <si>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</si>
  <si>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</si>
  <si>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</si>
  <si>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Total de Reincidência de um Grupo sobre o outro</t>
  </si>
  <si>
    <t>*GRUPO E</t>
  </si>
  <si>
    <t>E1</t>
  </si>
  <si>
    <t>Total dos Encargos Sociais Complementares</t>
  </si>
  <si>
    <t>Fonte: Informação Dias de Chuva - INMET</t>
  </si>
  <si>
    <t>DISCRIMINAÇÃO DOS CUSTOS INDIRETOS</t>
  </si>
  <si>
    <t>PORCENTAGEM (%) ADOTADA</t>
  </si>
  <si>
    <t>VARIÁVEIS ACRESCIDAS DE ACORDO COM DIÁRIO OFICIAL DA UNIÃO DO DIA 20 DE SETEMBRO DE 2011</t>
  </si>
  <si>
    <t>CUSTOS TRIBUTÁRIOS</t>
  </si>
  <si>
    <t>TRIBUTOS FEDERAIS</t>
  </si>
  <si>
    <t>PIS</t>
  </si>
  <si>
    <t>PROGRAMAÇÃO DE INTEGRAÇÃO SOCIAL</t>
  </si>
  <si>
    <t>CONFINS</t>
  </si>
  <si>
    <t>FINANC. DA SEGURIDADE SOCIAL</t>
  </si>
  <si>
    <t>TRIBUTO MUNICIPAL</t>
  </si>
  <si>
    <t>ISS</t>
  </si>
  <si>
    <t>5.2</t>
  </si>
  <si>
    <t>5.3</t>
  </si>
  <si>
    <t>TOTAL DO ITEM 6:</t>
  </si>
  <si>
    <t>Limpeza geral e entrega da obra</t>
  </si>
  <si>
    <t>QTDE.</t>
  </si>
  <si>
    <t>90099</t>
  </si>
  <si>
    <t xml:space="preserve">Escavação mecanizada de vala com prof. até 1,5 m, com retroescavadeira, larg. menor que 0,80 m, em solo de 1A categoria. </t>
  </si>
  <si>
    <t>Usinagem de concreto betuminoso usinado a quente (CBUQ), CAP 50/70, para capa de rolamento e=3cm</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</si>
  <si>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</si>
  <si>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</si>
  <si>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</si>
  <si>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</si>
  <si>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</si>
  <si>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</si>
  <si>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</si>
  <si>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</si>
  <si>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</si>
  <si>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</si>
  <si>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</si>
  <si>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</si>
  <si>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</si>
  <si>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</si>
  <si>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</si>
  <si>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</si>
  <si>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</si>
  <si>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</si>
  <si>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</si>
  <si>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</si>
  <si>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</si>
  <si>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</si>
  <si>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</si>
  <si>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</si>
  <si>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</si>
  <si>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</si>
  <si>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TOTAL DO ITEM 7:</t>
  </si>
  <si>
    <t>88301</t>
  </si>
  <si>
    <t>88304</t>
  </si>
  <si>
    <t>6.1</t>
  </si>
  <si>
    <t>6.2</t>
  </si>
  <si>
    <t>7.1</t>
  </si>
  <si>
    <t>FONTE</t>
  </si>
  <si>
    <t>SEDOP</t>
  </si>
  <si>
    <t>CPU</t>
  </si>
  <si>
    <t>SINAPI</t>
  </si>
  <si>
    <t>SECRETARIA MUNICIPAL DE SANEAMENTO E INFRAESTRUTURA</t>
  </si>
  <si>
    <t>MÃO DE OBRA</t>
  </si>
  <si>
    <t>SERVENTE COM ENCARGOS COMPLEMENTARES</t>
  </si>
  <si>
    <t xml:space="preserve">( A  )   T O T A L                                      </t>
  </si>
  <si>
    <t>MATERIAL</t>
  </si>
  <si>
    <t xml:space="preserve">                   </t>
  </si>
  <si>
    <t>( B  )   T O T A L</t>
  </si>
  <si>
    <t>EQUIPAMENTOS</t>
  </si>
  <si>
    <t>M3</t>
  </si>
  <si>
    <t>( C )   T O T A L</t>
  </si>
  <si>
    <t xml:space="preserve">CUSTO DIRETO TOTAL (A)+(B)+(C)     </t>
  </si>
  <si>
    <t>BDI</t>
  </si>
  <si>
    <t xml:space="preserve">       C U S T O   U N I T Á R I O     T O T A L</t>
  </si>
  <si>
    <t>Espalhamento de material com trator de esteiras. AF_11/2019</t>
  </si>
  <si>
    <t>Execução de Imprimação com asfálto diluído CM-30. AF_11/2019</t>
  </si>
  <si>
    <t>Execução de pintura de ligação com emulsão asfáltica RR-2C. AF_11/2019</t>
  </si>
  <si>
    <t>270220</t>
  </si>
  <si>
    <t>II</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</si>
  <si>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</si>
  <si>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</si>
  <si>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</si>
  <si>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</si>
  <si>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</si>
  <si>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</si>
  <si>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</si>
  <si>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</si>
  <si>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</si>
  <si>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</si>
  <si>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</si>
  <si>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</si>
  <si>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</si>
  <si>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</si>
  <si>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</si>
  <si>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180723</t>
  </si>
  <si>
    <t>180724</t>
  </si>
  <si>
    <t>020018</t>
  </si>
  <si>
    <t>Demolição manual de concreto simples (para execução de calçada)</t>
  </si>
  <si>
    <t>VIA</t>
  </si>
  <si>
    <t>=</t>
  </si>
  <si>
    <t>L=</t>
  </si>
  <si>
    <t>Quantidade (un)</t>
  </si>
  <si>
    <t>Preparo de fundo de vala com largura menor que 1.5 m (acerto do solo natural). AF_08/2020</t>
  </si>
  <si>
    <t xml:space="preserve">Execução de boca de lobo  </t>
  </si>
  <si>
    <t xml:space="preserve">Execução de poço de visita </t>
  </si>
  <si>
    <t>m³Xkm</t>
  </si>
  <si>
    <t>H</t>
  </si>
  <si>
    <t>SEIXO ROLADO PARA APLICAÇÃO EM CONCRETO</t>
  </si>
  <si>
    <t>5684</t>
  </si>
  <si>
    <t>ROLO COMPACTADOR VIBRATÓRIO DE UM CILINDRO AÇO LISO, POTÊNCIA 80 HP, PESO OPERACIONAL MÁXIMO 8,1 T, IMPACTO DINÂMICO 16,15 / 9,5 T, LARGURA DE TRABALHO 1,68 M - CHP DIURNO. AF_06/2014</t>
  </si>
  <si>
    <t>5685</t>
  </si>
  <si>
    <t>ROLO COMPACTADOR VIBRATÓRIO DE UM CILINDRO AÇO LISO, POTÊNCIA 80 HP, PESO OPERACIONAL MÁXIMO 8,1 T, IMPACTO DINÂMICO 16,15 / 9,5 T, LARGURA DE TRABALHO 1,68 M - CHI DIURNO. AF_06/2014</t>
  </si>
  <si>
    <t>0,0040000</t>
  </si>
  <si>
    <t>88253</t>
  </si>
  <si>
    <t>Auxiliar de topográfo com engargos complementares</t>
  </si>
  <si>
    <t>MEMÓRIA DE CÁLCULO</t>
  </si>
  <si>
    <t>Ref.</t>
  </si>
  <si>
    <t>Quantidade</t>
  </si>
  <si>
    <t>h/dia</t>
  </si>
  <si>
    <t>dias/mês</t>
  </si>
  <si>
    <t>quant. Meses</t>
  </si>
  <si>
    <t>Topográfo</t>
  </si>
  <si>
    <t>Auxiliar de topográfo</t>
  </si>
  <si>
    <t>PREÇO UNIT. C/ BDI</t>
  </si>
  <si>
    <t>PORCENTAGEM (%) ADOTADA PELA MÉDIA DOS QUARTIS</t>
  </si>
  <si>
    <t>CPRB</t>
  </si>
  <si>
    <t>Variável de Desoneração de 4,5%</t>
  </si>
  <si>
    <t>DEMONSTRAÇÃO DOS TRIBUTOS MUNICIPAL</t>
  </si>
  <si>
    <t>AC =</t>
  </si>
  <si>
    <t>S+G =</t>
  </si>
  <si>
    <t>R =</t>
  </si>
  <si>
    <t>(1+AC+S+R+G)=</t>
  </si>
  <si>
    <t>DF=</t>
  </si>
  <si>
    <t>(1+DF)=</t>
  </si>
  <si>
    <t>(1+L)=</t>
  </si>
  <si>
    <t>I=</t>
  </si>
  <si>
    <t>(1-I)=</t>
  </si>
  <si>
    <t>BDI=</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</si>
  <si>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</si>
  <si>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</si>
  <si>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</si>
  <si>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</si>
  <si>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</si>
  <si>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</si>
  <si>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</si>
  <si>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COM DESONERAÇÃO</t>
  </si>
  <si>
    <t>SEM DESONERAÇÃO</t>
  </si>
  <si>
    <t>TOTAL (A+B+C+D)</t>
  </si>
  <si>
    <t>SECRETARIA MUNICIAL DE SANEAMENTO E INFRAESTRUTURA</t>
  </si>
  <si>
    <t>Código</t>
  </si>
  <si>
    <t>CPU-02</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</si>
  <si>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</si>
  <si>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</si>
  <si>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</si>
  <si>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</si>
  <si>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0,0280000</t>
  </si>
  <si>
    <t>5932</t>
  </si>
  <si>
    <t>MOTONIVELADORA POTÊNCIA BÁSICA LÍQUIDA (PRIMEIRA MARCHA) 125 HP, PESO BRUTO 13032 KG, LARGURA DA LÂMINA DE 3,7 M - CHP DIURNO. AF_06/2014</t>
  </si>
  <si>
    <t>0,0080000</t>
  </si>
  <si>
    <t>5934</t>
  </si>
  <si>
    <t>MOTONIVELADORA POTÊNCIA BÁSICA LÍQUIDA (PRIMEIRA MARCHA) 125 HP, PESO BRUTO 13032 KG, LARGURA DA LÂMINA DE 3,7 M - CHI DIURNO. AF_06/2014</t>
  </si>
  <si>
    <t>96463</t>
  </si>
  <si>
    <t>ROLO COMPACTADOR DE PNEUS, ESTATICO, PRESSAO VARIAVEL, POTENCIA 110 HP, PESO SEM/COM LASTRO 10,8/27 T, LARGURA DE ROLAGEM 2,30 M - CHP DIURNO. AF_06/2017</t>
  </si>
  <si>
    <t>96464</t>
  </si>
  <si>
    <t>ROLO COMPACTADOR DE PNEUS, ESTATICO, PRESSAO VARIAVEL, POTENCIA 110 HP, PESO SEM/COM LASTRO 10,8/27 T, LARGURA DE ROLAGEM 2,30 M - CHI DIURNO. AF_06/2017</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</si>
  <si>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</si>
  <si>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</si>
  <si>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</si>
  <si>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</si>
  <si>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</si>
  <si>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</si>
  <si>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</si>
  <si>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</si>
  <si>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</si>
  <si>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</si>
  <si>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</si>
  <si>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</si>
  <si>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</si>
  <si>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</si>
  <si>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</si>
  <si>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5841 </t>
  </si>
  <si>
    <t xml:space="preserve"> 0,004</t>
  </si>
  <si>
    <t>ESPARGIDOR DE ASFALTO PRESSURIZADO, TANQUE 6 M3 COM ISOLAÇÃO TÉRMICA, AQUECIDO COM 2 MAÇARICOS, COM BARRA ESPARGIDORA 3,60 M, MONTADO SOBRE CAMINHÃO  TOCO, PBT 14.300 KG, POTÊNCIA 185 CV - CHP DIURNO. AF_08/2015</t>
  </si>
  <si>
    <t xml:space="preserve"> 0,001</t>
  </si>
  <si>
    <t xml:space="preserve"> 89035 </t>
  </si>
  <si>
    <t xml:space="preserve"> 0,0017</t>
  </si>
  <si>
    <t xml:space="preserve"> 89036 </t>
  </si>
  <si>
    <t xml:space="preserve"> 0,0041</t>
  </si>
  <si>
    <t>ESPARGIDOR DE ASFALTO PRESSURIZADO, TANQUE 6 M3 COM ISOLAÇÃO TÉRMICA, AQUECIDO COM 2 MAÇARICOS, COM BARRA ESPARGIDORA 3,60 M, MONTADO SOBRE CAMINHÃO  TOCO, PBT 14.300 KG, POTÊNCIA 185 CV - CHI DIURNO. AF_08/2015</t>
  </si>
  <si>
    <t xml:space="preserve"> 0,0049</t>
  </si>
  <si>
    <t>CAP - VISCOSIDADE ABSOLUTA À 60ºC</t>
  </si>
  <si>
    <t>ESPECIFICAÇÕES 
(DIMENÇÕES/PESO)</t>
  </si>
  <si>
    <t>PREÇO POR KG</t>
  </si>
  <si>
    <t>CAP - 7</t>
  </si>
  <si>
    <t>CAP - 20</t>
  </si>
  <si>
    <t>CAP - 40</t>
  </si>
  <si>
    <t xml:space="preserve">CAP - Segundo ensaio de Penetração, 
realizado a 25ºC </t>
  </si>
  <si>
    <t>CAP - 30/45</t>
  </si>
  <si>
    <t>CAP - 50/70</t>
  </si>
  <si>
    <t>CAP - 85/100</t>
  </si>
  <si>
    <t>CAP - 55/75</t>
  </si>
  <si>
    <t>CAP - 150/200</t>
  </si>
  <si>
    <t>Asfalto Diluído</t>
  </si>
  <si>
    <t>CM ECOPRIME</t>
  </si>
  <si>
    <t>CR-70</t>
  </si>
  <si>
    <t>EAI CM ECOIMPRIMA</t>
  </si>
  <si>
    <t>30 TON</t>
  </si>
  <si>
    <t>CR-3000</t>
  </si>
  <si>
    <t>CM-30</t>
  </si>
  <si>
    <t>CM-70</t>
  </si>
  <si>
    <t>CM-250</t>
  </si>
  <si>
    <t>CM-800</t>
  </si>
  <si>
    <t>Emulsão Asfáltica</t>
  </si>
  <si>
    <t>RR-1C</t>
  </si>
  <si>
    <t>RR-2C</t>
  </si>
  <si>
    <t>RL-1C</t>
  </si>
  <si>
    <t>Colchão de areia e=20 cm</t>
  </si>
  <si>
    <t>Transporte com caminhão basculante de 14 m³, em via em revestimento primário. AF_07/2020</t>
  </si>
  <si>
    <t>93379</t>
  </si>
  <si>
    <t>Carga, manobra e descarga de solos e materiais granulares em caminhão basculante 18 m³ - carga com escavadeira hidráulica (caçamba de 1,20 m³ / 155 hp) e descarga livre (unidade: t). Af_07/2020</t>
  </si>
  <si>
    <t>4.4</t>
  </si>
  <si>
    <t>93591</t>
  </si>
  <si>
    <t>Transporte com caminhão basculante 14 m³, em via urbana em leito natural. AF_07/2020</t>
  </si>
  <si>
    <t>Ø 400</t>
  </si>
  <si>
    <t>LARGURA</t>
  </si>
  <si>
    <t>(m)</t>
  </si>
  <si>
    <t>TRECHO</t>
  </si>
  <si>
    <t>BAIRRO</t>
  </si>
  <si>
    <t>(und.)</t>
  </si>
  <si>
    <t>PROFUNDIDADE</t>
  </si>
  <si>
    <t>TOTAL (A)</t>
  </si>
  <si>
    <t>DECLIVIDADE</t>
  </si>
  <si>
    <t>PREPARO DE FUNDO</t>
  </si>
  <si>
    <t>VOLUME TUBOS</t>
  </si>
  <si>
    <t>E = (AxBxC) + (AxBxD)</t>
  </si>
  <si>
    <t>COLCHÃO DE AREIA</t>
  </si>
  <si>
    <t>ASSENTAMENTO</t>
  </si>
  <si>
    <t>CÁLCULO PARA TUBULAÇÃO DE 400 MM</t>
  </si>
  <si>
    <t>CÁLCULO PARA TUBULAÇÃO DE 600 MM</t>
  </si>
  <si>
    <t>CÁLCULO PARA TUBULAÇÃO DE 800 MM</t>
  </si>
  <si>
    <t>CÁLCULO PARA TUBULAÇÃO DE 1000 MM</t>
  </si>
  <si>
    <t>VIA/TRECHO</t>
  </si>
  <si>
    <t>COLCHÃO</t>
  </si>
  <si>
    <t>$ TOTAL</t>
  </si>
  <si>
    <t>CAIXA PARA BOCA DE LOBO</t>
  </si>
  <si>
    <t>POÇOS DE VISITA</t>
  </si>
  <si>
    <t>Ø 600</t>
  </si>
  <si>
    <t>MEMÓRIA DE CÁLCULO PARA DRENAGEM PROFUNDA</t>
  </si>
  <si>
    <t>EXTENSÃO</t>
  </si>
  <si>
    <t xml:space="preserve">TOTAL </t>
  </si>
  <si>
    <t>DADOS</t>
  </si>
  <si>
    <t>TERRAPLENAGEM</t>
  </si>
  <si>
    <t>CAIXA PRIMÁRIA</t>
  </si>
  <si>
    <t>PAVIMENTAÇÃO ASFÁLTICA</t>
  </si>
  <si>
    <t>TRANSPORTE (m³ x km)</t>
  </si>
  <si>
    <t>TRANSPORTE CBUQ</t>
  </si>
  <si>
    <t>RUAS</t>
  </si>
  <si>
    <t>ESPESSURA (m)</t>
  </si>
  <si>
    <t>LARGURA (m)</t>
  </si>
  <si>
    <t>DEMOLIÇÃO (m³)</t>
  </si>
  <si>
    <t>EXTENSÃO (m)</t>
  </si>
  <si>
    <t>CALÇADA  (m²)</t>
  </si>
  <si>
    <t>PASSEIO</t>
  </si>
  <si>
    <t>D = A x C x esp</t>
  </si>
  <si>
    <t>ESCAVAÇÃO PARA MEIO FIO (m³)</t>
  </si>
  <si>
    <t>LIMPEZA MECANIZADA (m²)</t>
  </si>
  <si>
    <t>ESCAVAÇÃO (m³)</t>
  </si>
  <si>
    <t>IMPRIMAÇAO (m²)</t>
  </si>
  <si>
    <t>PINT. LIG.  (m²)</t>
  </si>
  <si>
    <t>MEMÓRIA DE CÁLCULO PARA INFRAESTRUTURA</t>
  </si>
  <si>
    <t>$ UNIT</t>
  </si>
  <si>
    <t>0,1600000</t>
  </si>
  <si>
    <t>0,0120000</t>
  </si>
  <si>
    <t>0,0360000</t>
  </si>
  <si>
    <t>0,0320000</t>
  </si>
  <si>
    <t>0,0050000</t>
  </si>
  <si>
    <t>0,0350000</t>
  </si>
  <si>
    <t>5921</t>
  </si>
  <si>
    <t>GRADE DE DISCO REBOCÁVEL COM 20 DISCOS 24" X 6 MM COM PNEUS PARA TRANSPORTE - CHP DIURNO. AF_06/2014</t>
  </si>
  <si>
    <t>5923</t>
  </si>
  <si>
    <t>GRADE DE DISCO REBOCÁVEL COM 20 DISCOS 24" X 6 MM COM PNEUS PARA TRANSPORTE - CHI DIURNO. AF_06/2014</t>
  </si>
  <si>
    <t>89035</t>
  </si>
  <si>
    <t>89036</t>
  </si>
  <si>
    <t>SINAPI DEZ/2021</t>
  </si>
  <si>
    <t>1.3</t>
  </si>
  <si>
    <t>I</t>
  </si>
  <si>
    <t>ENGENHEIRO CIVIL DE OBRA PLENO COM ENCARGOS COMPLEMENTARES</t>
  </si>
  <si>
    <t>ENCARREGADO GERAL COM ENCARGOS COMPLEMENTARES</t>
  </si>
  <si>
    <t>VIGIA NOTURNO COM ENCARGOS COMPLEMENTARES</t>
  </si>
  <si>
    <t>Engenheiro Civil</t>
  </si>
  <si>
    <t>Encarregado Geral</t>
  </si>
  <si>
    <t>Vigia noturno</t>
  </si>
  <si>
    <t>Administração da obra</t>
  </si>
  <si>
    <t>V</t>
  </si>
  <si>
    <t>Assentamento de tubo de concreto para redes coletoras de águas pluviais, diâmetro de 1200 mm, junta rígida, instalado em local com alto nível de interferências. AF_12/2015</t>
  </si>
  <si>
    <t>Assentamento de tubo de concreto para redes coletoras de águas pluviais, diâmetro de 1500 mm, junta rígida, instalado em local com alto nível de interferências. AF_12/2015</t>
  </si>
  <si>
    <t>92821</t>
  </si>
  <si>
    <t>Assentamento de tubo de concreto para redes coletoras de águas pluviais, diâmetro de 400 mm, junta rígida, instalado em local com alto nível de interferências. AF_12/2015</t>
  </si>
  <si>
    <t>Assentamento de tubo de concreto para redes coletoras de águas pluviais, diâmetro de 600mm, junta rígida, instalado em local com baixo alto de interferências. AF_12/2015</t>
  </si>
  <si>
    <t>Assentamento de tubo de concreto para redes coletoras de águas pluviais, diâmetro de 800mm, junta rígida, instalado em local com alto nível de interferências. AF_12/2015</t>
  </si>
  <si>
    <t>Assentamento de tubo de concreto para redes coletoras de águas pluviais, diâmetro de 1000 mm, junta rígida, instalado em local com alto nível de interferências</t>
  </si>
  <si>
    <t>Locação de rede com auxílio de equipamento topográfico</t>
  </si>
  <si>
    <t>VALOR TOTAL</t>
  </si>
  <si>
    <t>DEMOLIÇÕES E RETIRADAS</t>
  </si>
  <si>
    <t>020174</t>
  </si>
  <si>
    <t>Retirada de entulho - manualmente (Incluindo Caixa Coletora)</t>
  </si>
  <si>
    <t>TOTAL DO  ITEM 2:</t>
  </si>
  <si>
    <t>00012574</t>
  </si>
  <si>
    <t>00012575</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</si>
  <si>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</si>
  <si>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</si>
  <si>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</si>
  <si>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</si>
  <si>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</si>
  <si>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</si>
  <si>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</si>
  <si>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</si>
  <si>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</si>
  <si>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</si>
  <si>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</si>
  <si>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</si>
  <si>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</si>
  <si>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</si>
  <si>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</si>
  <si>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</si>
  <si>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</si>
  <si>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</si>
  <si>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</si>
  <si>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</si>
  <si>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</si>
  <si>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</si>
  <si>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</si>
  <si>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</si>
  <si>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</si>
  <si>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</si>
  <si>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</si>
  <si>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</si>
  <si>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4.5</t>
  </si>
  <si>
    <t>4.5.1</t>
  </si>
  <si>
    <t>4.5.2</t>
  </si>
  <si>
    <t>4.5.3</t>
  </si>
  <si>
    <t>4.5.4</t>
  </si>
  <si>
    <t>4.5.5</t>
  </si>
  <si>
    <t>4.5.6</t>
  </si>
  <si>
    <t>4.5.7</t>
  </si>
  <si>
    <t>4.6</t>
  </si>
  <si>
    <t>4.6.1</t>
  </si>
  <si>
    <t>4.6.2</t>
  </si>
  <si>
    <t>4.6.3</t>
  </si>
  <si>
    <t>4.6.4</t>
  </si>
  <si>
    <t>4.6.5</t>
  </si>
  <si>
    <t>4.6.6</t>
  </si>
  <si>
    <t>4.6.7</t>
  </si>
  <si>
    <t xml:space="preserve">Execução de tampa de boca de lobo  </t>
  </si>
  <si>
    <t>ORSE</t>
  </si>
  <si>
    <t>Tampa de concreto armado, dimensões: 1,00x1,20mx0,07m com furos</t>
  </si>
  <si>
    <t xml:space="preserve">Execução de tampa de poço de visita </t>
  </si>
  <si>
    <t>98115</t>
  </si>
  <si>
    <t>Tampa circular para esgoto e drenagem, em concreto pré-moldado, diâmetro interno = 0,6 M. AF_12/2020</t>
  </si>
  <si>
    <t>MEIO FIO E SARJETA</t>
  </si>
  <si>
    <t>RETIRADAS</t>
  </si>
  <si>
    <t>ENTULHO (m³)</t>
  </si>
  <si>
    <t>CÁLCULO PARA TUBULAÇÃO DE 1200 MM</t>
  </si>
  <si>
    <t>CÁLCULO PARA TUBULAÇÃO DE 1500 MM</t>
  </si>
  <si>
    <t>TAMPA PARA BOCA DE LOBO</t>
  </si>
  <si>
    <t>TAMPA PARA POÇOS DE VISITA</t>
  </si>
  <si>
    <t>5.4</t>
  </si>
  <si>
    <t>TOTAL DO ITEM 8:</t>
  </si>
  <si>
    <t>7.2</t>
  </si>
  <si>
    <t>7.3</t>
  </si>
  <si>
    <t>7.4</t>
  </si>
  <si>
    <t>8.1</t>
  </si>
  <si>
    <t>OBSERVAÇÃO 2 JENIFFER: APENAS OCULTAR OS ITENS E LINHAS DA MEMÓRIA QUE NÃO SERÃO CONTEMPLADOS, INCLUSIVE AS GUIAS!</t>
  </si>
  <si>
    <t>OBSERVAÇÃO 3 JENIFFER: NÃO ENCAMINHAR JUNTO AO PROCESSO A GUIA "DADOS"</t>
  </si>
  <si>
    <t xml:space="preserve">OBSERVAÇÃO JENIFFER: TEM QUE DEIXAR ESTA LISTA (DADOS) E AS MEMÓRIAS NA MESMA ORDEM DE RUAS PARA QUE O VALOR INDIVIDUAL SEJA CALCULADO CORRETAMENTE. </t>
  </si>
  <si>
    <t>T</t>
  </si>
  <si>
    <t>OBS: Vigência de 10/2020 à 09/2021</t>
  </si>
  <si>
    <t xml:space="preserve">m³ </t>
  </si>
  <si>
    <t>CARGA E DESCARGA P/ TRANSPORTE (m³)</t>
  </si>
  <si>
    <t>ESPESSURA DE CORTE (m)</t>
  </si>
  <si>
    <t>Reforço de bordo</t>
  </si>
  <si>
    <t>90776</t>
  </si>
  <si>
    <t>GRADE DE DISCO CONTROLE REMOTO REBOCÁVEL, COM 24 DISCOS 24 X 6 MM COM PNEUS PARA TRANSPORTE - CHP DIURNO. AF_06/2014</t>
  </si>
  <si>
    <t>GRADE DE DISCO CONTROLE REMOTO REBOCÁVEL, COM 24 DISCOS 24 X 6 MM COM PNEUS PARA TRANSPORTE - CHI DIURNO. AF_06/2014</t>
  </si>
  <si>
    <t>1.4</t>
  </si>
  <si>
    <t>Barracão de madeira/Almoxarifado</t>
  </si>
  <si>
    <t>180722</t>
  </si>
  <si>
    <t>Aterro incluindo carga, descarga, transporte e apiloamento</t>
  </si>
  <si>
    <t>030675</t>
  </si>
  <si>
    <t>Escavação mecanizada</t>
  </si>
  <si>
    <t>4.1.8</t>
  </si>
  <si>
    <t>fazer cpu p atualizar</t>
  </si>
  <si>
    <t>Limpeza do terreno</t>
  </si>
  <si>
    <t>4.2.8</t>
  </si>
  <si>
    <t>4.3.8</t>
  </si>
  <si>
    <t>4.3.9</t>
  </si>
  <si>
    <t>4.4.8</t>
  </si>
  <si>
    <t>4.4.9</t>
  </si>
  <si>
    <t>4.5.8</t>
  </si>
  <si>
    <t>4.5.9</t>
  </si>
  <si>
    <t>4.6.8</t>
  </si>
  <si>
    <t>4.6.9</t>
  </si>
  <si>
    <t>CAMADA ARENOSO</t>
  </si>
  <si>
    <t>UNID.</t>
  </si>
  <si>
    <t xml:space="preserve">$ UNIT. </t>
  </si>
  <si>
    <t>CÁLCULO DA MÉDIA  =</t>
  </si>
  <si>
    <t>Escavação horizontal em solo de 1A categoria com trator de esteiras. AF_07/2020</t>
  </si>
  <si>
    <t>F = E</t>
  </si>
  <si>
    <t>ESCAVAÇÃO MECANIZADA</t>
  </si>
  <si>
    <t>CARGA  E DESCARGA</t>
  </si>
  <si>
    <t>ATERRO</t>
  </si>
  <si>
    <t>ESCORAMENTO</t>
  </si>
  <si>
    <t>TRANSPORTE ESCAVAÇÃO</t>
  </si>
  <si>
    <t>G = F x empolamento 25% x DMT</t>
  </si>
  <si>
    <t>H = AxB</t>
  </si>
  <si>
    <t>I = H</t>
  </si>
  <si>
    <t>J = (πxr²)xA</t>
  </si>
  <si>
    <t>EXTENSÃO ESPINHA</t>
  </si>
  <si>
    <t>4.11</t>
  </si>
  <si>
    <t>4.11.1</t>
  </si>
  <si>
    <t>Execução de ala de lançamento</t>
  </si>
  <si>
    <t xml:space="preserve">Ala de lançamento para rede tubular </t>
  </si>
  <si>
    <t>ALA DE LANÇAMENTO</t>
  </si>
  <si>
    <t>TUBULAÇÃO 400</t>
  </si>
  <si>
    <t>FORN</t>
  </si>
  <si>
    <t>ESC</t>
  </si>
  <si>
    <t xml:space="preserve">CARGA </t>
  </si>
  <si>
    <t>TRANSPORTE ESC</t>
  </si>
  <si>
    <t xml:space="preserve">PREPARO </t>
  </si>
  <si>
    <t>TUBULAÇÃO 600</t>
  </si>
  <si>
    <t>TUBULAÇÃO 800</t>
  </si>
  <si>
    <t>TUBULAÇÃO 1000</t>
  </si>
  <si>
    <t>TUBULAÇÃO 1200</t>
  </si>
  <si>
    <t>TUBULAÇÃO 1500</t>
  </si>
  <si>
    <t>$</t>
  </si>
  <si>
    <t>DRENAGEM PROFUNDA</t>
  </si>
  <si>
    <t>PAVIMENTAÇÃO</t>
  </si>
  <si>
    <t>MEIO FIO / SARJETA</t>
  </si>
  <si>
    <t>CALÇADA</t>
  </si>
  <si>
    <t>DEMOLIÇÃO</t>
  </si>
  <si>
    <t>ENTULHO</t>
  </si>
  <si>
    <t>SARJETA</t>
  </si>
  <si>
    <t>MEIO FIO</t>
  </si>
  <si>
    <t>C = A x (B+1)</t>
  </si>
  <si>
    <t>LISTA DE RUAS (DADOS GERAIS)</t>
  </si>
  <si>
    <t>J00001</t>
  </si>
  <si>
    <t>ATERRO ARENOSO</t>
  </si>
  <si>
    <t>Ø 1500</t>
  </si>
  <si>
    <t xml:space="preserve">EXTENSÃO </t>
  </si>
  <si>
    <t>Ø 1200</t>
  </si>
  <si>
    <t>Ø 1000</t>
  </si>
  <si>
    <t>Ø 800</t>
  </si>
  <si>
    <t>95877</t>
  </si>
  <si>
    <t>Transporte com caminhão basculante 18 m³, em via urbana pavimentada até DMT 30 km. AF_07/2020</t>
  </si>
  <si>
    <t>m³ x Km</t>
  </si>
  <si>
    <t>E = C x D</t>
  </si>
  <si>
    <t>G = E x 1,3 x DMT</t>
  </si>
  <si>
    <t>ESPALHAMENTO (m³)</t>
  </si>
  <si>
    <t>CARGA E DESCARGA (m³)</t>
  </si>
  <si>
    <t>TRANSPORTE  (m³ x km)</t>
  </si>
  <si>
    <t>I = C x H</t>
  </si>
  <si>
    <t>M</t>
  </si>
  <si>
    <t>J = I</t>
  </si>
  <si>
    <t>K = I</t>
  </si>
  <si>
    <t>L = I x 1,3 x DMT</t>
  </si>
  <si>
    <t>Aterro arenoso</t>
  </si>
  <si>
    <t>EXECUÇÃO E COMPACTAÇÃO (m³)</t>
  </si>
  <si>
    <t>N = C x M</t>
  </si>
  <si>
    <t>O = N</t>
  </si>
  <si>
    <t>SERV. PRELIM. + LIMPEZA</t>
  </si>
  <si>
    <t xml:space="preserve">CÓDIGO DESONERADO </t>
  </si>
  <si>
    <t>Locação de pavimentação. AF_10/2018</t>
  </si>
  <si>
    <t>95995</t>
  </si>
  <si>
    <t>Execução de pavimento com aplicação de concreto asfáltico, camada de rolamento - exclusive carga e transporte. AF_11/2019</t>
  </si>
  <si>
    <t>TON</t>
  </si>
  <si>
    <t>M³</t>
  </si>
  <si>
    <t>F = J</t>
  </si>
  <si>
    <t>Øext  + 0,5</t>
  </si>
  <si>
    <t>Øext  + 0,6</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</si>
  <si>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</si>
  <si>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</si>
  <si>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</si>
  <si>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</si>
  <si>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</si>
  <si>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</si>
  <si>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</si>
  <si>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</si>
  <si>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</si>
  <si>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</si>
  <si>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</si>
  <si>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</si>
  <si>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</si>
  <si>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</si>
  <si>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7.5</t>
  </si>
  <si>
    <t>VI</t>
  </si>
  <si>
    <t>REFORÇO</t>
  </si>
  <si>
    <t>REFORÇO (m³)</t>
  </si>
  <si>
    <t>E = (AxBxC) + (AxCxD)</t>
  </si>
  <si>
    <t>1,5 ≤ H ≥ 3,0 e 1,5 ≤ L ≥ 2,5</t>
  </si>
  <si>
    <t>CBUQ (m³)</t>
  </si>
  <si>
    <t>REATERRO</t>
  </si>
  <si>
    <t>M = AxCx2</t>
  </si>
  <si>
    <t>N = A</t>
  </si>
  <si>
    <t>K = (E - J) x 70%</t>
  </si>
  <si>
    <t>L = (E - J) x 30%</t>
  </si>
  <si>
    <t>Escoramento de vala, tipo descontínuo, com profundidade de 1,5 A 3,0 m, largura maior ou igual A 1,5 M e menor que 2,5 M. AF_08/2020</t>
  </si>
  <si>
    <t>Reaterro mecanizado de vala com retroescavadeira, largura de 0,8 m até 1,5 m, profundidade até 1,5 m, com solo de 1 categoria em locais com baixo nível de interferência. AF_04/2016</t>
  </si>
  <si>
    <t>CPU - I</t>
  </si>
  <si>
    <t>CPU - II</t>
  </si>
  <si>
    <t>CPU - III</t>
  </si>
  <si>
    <t>J00001 - SEDOP</t>
  </si>
  <si>
    <t>ROLO COMPACTADOR VIBRATÓRIO PÉ DE CARNEIRO PARA SOLOS, POTÊNCIA 80 HP, PESO OPERACIONAL SEM/COM LASTRO 7,4 / 8,8 T, LARGURA DE TRABALHO 1,68 M - CHP DIURNO. AF_02/2016</t>
  </si>
  <si>
    <t>ROLO COMPACTADOR VIBRATÓRIO PÉ DE CARNEIRO PARA SOLOS, POTÊNCIA 80 HP, PESO OPERACIONAL SEM/COM LASTRO 7,4 / 8,8 T, LARGURA DE TRABALHO 1,68 M - CHI DIURNO. AF_02/2016</t>
  </si>
  <si>
    <t>CAMADA ARENOSO/SEIXO</t>
  </si>
  <si>
    <t>P = N</t>
  </si>
  <si>
    <t>Q = E x 1,3 x DMT</t>
  </si>
  <si>
    <t>6.3</t>
  </si>
  <si>
    <t>6.4</t>
  </si>
  <si>
    <t>6.5</t>
  </si>
  <si>
    <t>6.6</t>
  </si>
  <si>
    <t>6.7</t>
  </si>
  <si>
    <t>6.8</t>
  </si>
  <si>
    <t>CPU - V</t>
  </si>
  <si>
    <t>CPU - VI</t>
  </si>
  <si>
    <t>SERVIÇO: Execução e compactação de base e ou sub base para pavimentação de solo arenoso (SOLO MELHORADO COM SEIXO) - exclusive escavação, carga e transporte. (Seixo: 31 % / Aterro: 69%)</t>
  </si>
  <si>
    <t>SERVIÇO: Execução e compactação de base e ou sub base para pavimentação de solo estabilizado granulometricamente sem mistura de solos - exclusive escavação, carga e transporte. AF_11/2019</t>
  </si>
  <si>
    <t>DEMONSTRAÇÕES DAS VARIÁVEIS DA FÓRMULAS ADOTADA PELO TCU</t>
  </si>
  <si>
    <t>COMPOSIÇÃO DE ENCARGOS SOCIAIS</t>
  </si>
  <si>
    <t>ENCARGOS SOCIAIS SOBRE A MÃO DE OBRA</t>
  </si>
  <si>
    <t>Reincidência de Grupo A sobre Aviso Prévio Trabalho e Reincidência do FGTS sobre Aviso Prévio Indenizado</t>
  </si>
  <si>
    <t>COMPOSIÇÃO DE TAXA DE BDI</t>
  </si>
  <si>
    <t>ADMINISTRAÇÃO CENTRAL DA OBRA - AC</t>
  </si>
  <si>
    <t>RISCO - R</t>
  </si>
  <si>
    <t>DESPESAS FINANCEIRAS - DF</t>
  </si>
  <si>
    <t>Subtotal</t>
  </si>
  <si>
    <t>SEGURO - S + GARANTIA - G</t>
  </si>
  <si>
    <t xml:space="preserve"> LUCRO - L</t>
  </si>
  <si>
    <t>DEMONSTRAÇÃO DOS TRIBUTOS FEDERAIS</t>
  </si>
  <si>
    <t>TRIBUTOS FEDERAIS - TF *</t>
  </si>
  <si>
    <t>* TF</t>
  </si>
  <si>
    <t>TRIBUTOS MUNICIPAIS - TM **</t>
  </si>
  <si>
    <t>** TM</t>
  </si>
  <si>
    <t>(A)</t>
  </si>
  <si>
    <t>(B)</t>
  </si>
  <si>
    <t>(C)</t>
  </si>
  <si>
    <t>(D)</t>
  </si>
  <si>
    <t>I-(CPRB/100)</t>
  </si>
  <si>
    <t>Serviço: Usinagem de concreto betuminoso usinado a quente (CBUQ), CAP 50/70, para capa de rolamento</t>
  </si>
  <si>
    <t>Serviço: Reforço de bordo</t>
  </si>
  <si>
    <t>Serviço: Imprimação com asfalto diluído CM-30</t>
  </si>
  <si>
    <t xml:space="preserve">A - Custo Total Mão-de-obra:                     </t>
  </si>
  <si>
    <t xml:space="preserve">B - Custo Total de Equipamentos:            </t>
  </si>
  <si>
    <t xml:space="preserve">C - Custo Total de Materiais:                </t>
  </si>
  <si>
    <t>SERVIÇO:  Admnistração da obra</t>
  </si>
  <si>
    <t>Serviço: Locação de rede com auxílio de equipamento topográfico</t>
  </si>
  <si>
    <t xml:space="preserve"> Unidade: </t>
  </si>
  <si>
    <t xml:space="preserve">Unidade: </t>
  </si>
  <si>
    <t xml:space="preserve">REF. SINAPI 100565 </t>
  </si>
  <si>
    <t>OBRA:</t>
  </si>
  <si>
    <t>VALOR DA OBRA:</t>
  </si>
  <si>
    <t xml:space="preserve"> Unidade:</t>
  </si>
  <si>
    <t>REF - SINAPI 101768</t>
  </si>
  <si>
    <t>B – Materias</t>
  </si>
  <si>
    <t>C – Equipamentos</t>
  </si>
  <si>
    <t xml:space="preserve">B - Custo Total de Materiais:            </t>
  </si>
  <si>
    <t xml:space="preserve">C - Custo Total de Equipamentos:                </t>
  </si>
  <si>
    <t>B – Materiais</t>
  </si>
  <si>
    <t>B - Custo Total de Materiais:</t>
  </si>
  <si>
    <t>C - Custo Total de Equipamentos:</t>
  </si>
  <si>
    <t>M²</t>
  </si>
  <si>
    <t>Unidade:</t>
  </si>
  <si>
    <t xml:space="preserve">SINAPI </t>
  </si>
  <si>
    <t xml:space="preserve">OBSERVAÇÃO: </t>
  </si>
  <si>
    <t xml:space="preserve">AJUSTAR QUANTIDADE DE MESES CONFORME NECESSIDADE/DEMANDA DA OBRA </t>
  </si>
  <si>
    <t>Tubo em concreto simples d= 400mm (fornecimento)</t>
  </si>
  <si>
    <t>Tubo em concreto armado d= 600mm (fornecimento)</t>
  </si>
  <si>
    <t>Tubo em concreto armado d= 800mm (fornecimento)</t>
  </si>
  <si>
    <t>Tubo em concreto armado d= 1000mm (fornecimento)</t>
  </si>
  <si>
    <t>Tubo de concreto armado para águas pluviais, classe PA-3, diâmetro nominal de 1200 mm (fornecimento)</t>
  </si>
  <si>
    <t>Tubo de concreto armado para águas pluviais, classe PA-3, diâmetro nominal de 1500 mm (fornecimento)</t>
  </si>
  <si>
    <t>Aterro incluindo carga, descarga, transporte e apiloamento (CALÇADA)</t>
  </si>
  <si>
    <t>ATERRO (m³)</t>
  </si>
  <si>
    <t xml:space="preserve">Execução e compactação de base e ou sub base para pavimentação de solo estabilizado granulometricamente sem mistura de solos - exclusive escavação, carga e transporte. AF_11/2019. </t>
  </si>
  <si>
    <t>Execução e compactação de base e ou sub base para pavimentação de solo arenoso (SOLO MELHORADO COM SEIXO) - exclusive escavação, carga e transporte. (Seixo: 31 % / Aterro: 69%)</t>
  </si>
  <si>
    <t>Serviço: Execução de pintura de ligação com emulsão asfáltica RR-2C. AF_11/2019</t>
  </si>
  <si>
    <t>REF - SINAPI 96402</t>
  </si>
  <si>
    <t>ESPARGIDOR DE ASFALTO PRESSURIZADO, TANQUE 6 M3 COM ISOLAÇÃO TÉRMICA, AQUECIDO COM 2 MAÇARICOS, COM BARRA ESPARGIDORA 3,60 M, MONTADO SOBRE CAMINHÃO TOCO, PBT 14.300 KG, POTÊNCIA 185 CV - CHP DIURNO. AF_08/2015</t>
  </si>
  <si>
    <t>ESPARGIDOR DE ASFALTO PRESSURIZADO, TANQUE 6 M3 COM ISOLAÇÃO TÉRMICA, AQUECIDO COM 2 MAÇARICOS, COM BARRA ESPARGIDORA 3,60 M, MONTADO SOBRE CAMINHÃO TOCO, PBT 14.300 KG, POTÊNCIA 185 CV - CHI DIURNO. AF_08/2015</t>
  </si>
  <si>
    <t>EMULSAO ASFALTICA CATIONICA RR-2C PARA USO EM PAVIMENTACAO ASFALTICA (COLETADO CAIXA NA ANP ACRESCIDO DE ICMS)</t>
  </si>
  <si>
    <t xml:space="preserve">CBAA - ASFALTOS LTDA </t>
  </si>
  <si>
    <t>Emulsão Asfáltica Cationica Tipo RR-2C.</t>
  </si>
  <si>
    <t>DATA</t>
  </si>
  <si>
    <t>Eco- Imprima E.A.I</t>
  </si>
  <si>
    <t>EMAM ASFALTOS (Acará/PA)</t>
  </si>
  <si>
    <t>VII</t>
  </si>
  <si>
    <t>WBL - NKN</t>
  </si>
  <si>
    <t>7.6</t>
  </si>
  <si>
    <t>Fresagem de pavimento asfaltico (profundidade até 5,0 cm) - exclusive transporte. AF_11/2019</t>
  </si>
  <si>
    <t>FRESAGEM (m²)</t>
  </si>
  <si>
    <t>E = D</t>
  </si>
  <si>
    <t>F = A x C x 2</t>
  </si>
  <si>
    <t>G = H x 0,43 x 0,10</t>
  </si>
  <si>
    <t>H = A x 2</t>
  </si>
  <si>
    <t>K = A x B</t>
  </si>
  <si>
    <t>Q = A x B</t>
  </si>
  <si>
    <t>SINALIZAÇÃO VIÁRIA</t>
  </si>
  <si>
    <t xml:space="preserve">Sinalização Horizontal </t>
  </si>
  <si>
    <t>SICRO</t>
  </si>
  <si>
    <t>5213405</t>
  </si>
  <si>
    <t>Pintura setas/zebrados - tinta b. acrílica - espessura 0,6 mm (manual)</t>
  </si>
  <si>
    <t>5213401</t>
  </si>
  <si>
    <t>Pintura de faixa - tinta b. acrílica - espessura - 0,4 mm (mecânica)</t>
  </si>
  <si>
    <t>Sinalização  Vertical</t>
  </si>
  <si>
    <t>5213440</t>
  </si>
  <si>
    <t>Fornecimento e implantação de placa de regulamentação em aço D = 0,60 m - película retrorrefletiva tipo I + SI</t>
  </si>
  <si>
    <t>5216111</t>
  </si>
  <si>
    <t>Fornecimento e implantação de suporte e travessa para placa de sinalização em madeira de lei tratada 8 x 8 cm</t>
  </si>
  <si>
    <t>8.1.1</t>
  </si>
  <si>
    <t>8.1.2</t>
  </si>
  <si>
    <t>8.2</t>
  </si>
  <si>
    <t>8.2.1</t>
  </si>
  <si>
    <t>8.2.2</t>
  </si>
  <si>
    <t>SARJETA (m)</t>
  </si>
  <si>
    <t>MEIO FIO (m)</t>
  </si>
  <si>
    <t>I = A x 2</t>
  </si>
  <si>
    <t>J = D + G</t>
  </si>
  <si>
    <t>L = A x B</t>
  </si>
  <si>
    <t>N= L x M</t>
  </si>
  <si>
    <t>O = N x DMT</t>
  </si>
  <si>
    <t>P = (%xA)x(%xB)xespx2</t>
  </si>
  <si>
    <t>PASS. ALEGRE / BR-16</t>
  </si>
  <si>
    <t>PASS. KENEDY</t>
  </si>
  <si>
    <t>PASS. ALEGRE / BR-17</t>
  </si>
  <si>
    <t>PASS. ALEGRE / BR-18</t>
  </si>
  <si>
    <t>PASS. UBIRATAN MACIEL</t>
  </si>
  <si>
    <t>COQUEIRO</t>
  </si>
  <si>
    <t xml:space="preserve">PASS. ALEGRE </t>
  </si>
  <si>
    <t>PASS. SANTANA / PASS. RUA NOVA</t>
  </si>
  <si>
    <t>R = A x B x 30%</t>
  </si>
  <si>
    <t>DATA BASE: SEDOP - SETEMBRO/2022 ; SINAPI - DEZEMBRO/2022 ; SICRO JULHO/2022</t>
  </si>
  <si>
    <t>PASS. NS. DO CARMO</t>
  </si>
  <si>
    <t>UM MILHÃO, NOVECENTOS E VINTE MIL, SETECENTOS E DEZESSEIS REAIS E CINQUENTA E DOIS CENTAVOS</t>
  </si>
  <si>
    <t>EXECUÇÃO DOS SERVIÇOS DE DRENAGEM URBANA E TERRAPLENAGEM NA NS. DO CARMO, PASS. KENEDY, PASS. UBIRATAN MACIEL E PASS. ALEGRE - BAIRRO COQUEIRO  - NO MUNICÍPIO DE ANANINDEUA - PA.</t>
  </si>
</sst>
</file>

<file path=xl/styles.xml><?xml version="1.0" encoding="utf-8"?>
<styleSheet xmlns="http://schemas.openxmlformats.org/spreadsheetml/2006/main">
  <numFmts count="4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_);_(&quot;R$ &quot;* \(#,##0\);_(&quot;R$ &quot;* &quot;-&quot;_);_(@_)"/>
    <numFmt numFmtId="165" formatCode="_(* #,##0_);_(* \(#,##0\);_(* &quot;-&quot;_);_(@_)"/>
    <numFmt numFmtId="166" formatCode="_(&quot;R$ &quot;* #,##0.00_);_(&quot;R$ &quot;* \(#,##0.00\);_(&quot;R$ &quot;* &quot;-&quot;??_);_(@_)"/>
    <numFmt numFmtId="167" formatCode="_(* #,##0.00_);_(* \(#,##0.00\);_(* &quot;-&quot;??_);_(@_)"/>
    <numFmt numFmtId="168" formatCode="0.0000"/>
    <numFmt numFmtId="169" formatCode="_(* #,##0.0000_);_(* \(#,##0.0000\);_(* &quot;-&quot;??_);_(@_)"/>
    <numFmt numFmtId="170" formatCode="#,##0.000"/>
    <numFmt numFmtId="171" formatCode="&quot;R$&quot;\ #,##0.00"/>
    <numFmt numFmtId="172" formatCode="[$-416]mmmm\-yy;@"/>
    <numFmt numFmtId="173" formatCode="#,##0.000000"/>
    <numFmt numFmtId="174" formatCode="0.000%"/>
    <numFmt numFmtId="175" formatCode="&quot; &quot;#,##0.00&quot; &quot;;&quot;-&quot;#,##0.00&quot; &quot;;&quot; -&quot;00&quot; &quot;;&quot; &quot;@&quot; &quot;"/>
    <numFmt numFmtId="176" formatCode="#,##0.0000000"/>
    <numFmt numFmtId="177" formatCode="0.0"/>
    <numFmt numFmtId="178" formatCode="#,##0.0000"/>
    <numFmt numFmtId="179" formatCode="_-* #,##0.0000_-;\-* #,##0.0000_-;_-* &quot;-&quot;????_-;_-@_-"/>
    <numFmt numFmtId="180" formatCode="_(* #,##0.0_);_(* \(#,##0.0\);_(* &quot;-&quot;??_);_(@_)"/>
    <numFmt numFmtId="181" formatCode="_(* #,##0.000_);_(* \(#,##0.000\);_(* &quot;-&quot;??_);_(@_)"/>
    <numFmt numFmtId="182" formatCode="[$-416]dddd\,\ d&quot; de &quot;mmmm&quot; de &quot;yyyy"/>
    <numFmt numFmtId="183" formatCode="&quot;Sim&quot;;&quot;Sim&quot;;&quot;Não&quot;"/>
    <numFmt numFmtId="184" formatCode="&quot;Verdadeiro&quot;;&quot;Verdadeiro&quot;;&quot;Falso&quot;"/>
    <numFmt numFmtId="185" formatCode="&quot;Ativado&quot;;&quot;Ativado&quot;;&quot;Desativado&quot;"/>
    <numFmt numFmtId="186" formatCode="[$€-2]\ #,##0.00_);[Red]\([$€-2]\ #,##0.00\)"/>
    <numFmt numFmtId="187" formatCode="0.000"/>
    <numFmt numFmtId="188" formatCode="0.00000"/>
    <numFmt numFmtId="189" formatCode="0.000000"/>
    <numFmt numFmtId="190" formatCode="0.0000000"/>
    <numFmt numFmtId="191" formatCode="_(* #,##0.00_);_(* \(#,##0.00\);_(* \-??_);_(@_)"/>
    <numFmt numFmtId="192" formatCode="_(* #,##0.00_);_(* \(#,##0.00\);_(* \ ??_);_(@_)"/>
    <numFmt numFmtId="193" formatCode="0.0%"/>
    <numFmt numFmtId="194" formatCode="dd/mm/yy;@"/>
    <numFmt numFmtId="195" formatCode="#."/>
  </numFmts>
  <fonts count="109">
    <font>
      <sz val="10"/>
      <name val="Arial"/>
      <family val="0"/>
    </font>
    <font>
      <u val="single"/>
      <sz val="10"/>
      <color indexed="12"/>
      <name val="Arial"/>
      <family val="2"/>
    </font>
    <font>
      <u val="single"/>
      <sz val="10"/>
      <color indexed="36"/>
      <name val="Arial"/>
      <family val="2"/>
    </font>
    <font>
      <sz val="9"/>
      <name val="Segoe UI"/>
      <family val="2"/>
    </font>
    <font>
      <b/>
      <sz val="9"/>
      <name val="Segoe UI"/>
      <family val="2"/>
    </font>
    <font>
      <sz val="11"/>
      <name val="Arial"/>
      <family val="2"/>
    </font>
    <font>
      <sz val="10"/>
      <name val="Swis721 Lt BT"/>
      <family val="2"/>
    </font>
    <font>
      <sz val="9"/>
      <name val="Arial"/>
      <family val="2"/>
    </font>
    <font>
      <sz val="11"/>
      <color indexed="8"/>
      <name val="Calibri"/>
      <family val="2"/>
    </font>
    <font>
      <b/>
      <sz val="36"/>
      <name val="Segoe UI"/>
      <family val="2"/>
    </font>
    <font>
      <sz val="36"/>
      <name val="Segoe UI"/>
      <family val="2"/>
    </font>
    <font>
      <b/>
      <sz val="18"/>
      <name val="Ebrima"/>
      <family val="0"/>
    </font>
    <font>
      <sz val="10"/>
      <name val="Ebrima"/>
      <family val="0"/>
    </font>
    <font>
      <b/>
      <sz val="14"/>
      <name val="Ebrima"/>
      <family val="0"/>
    </font>
    <font>
      <sz val="11"/>
      <name val="Ebrima"/>
      <family val="0"/>
    </font>
    <font>
      <sz val="14"/>
      <name val="Ebrima"/>
      <family val="0"/>
    </font>
    <font>
      <sz val="14"/>
      <color indexed="8"/>
      <name val="Ebrima"/>
      <family val="0"/>
    </font>
    <font>
      <b/>
      <sz val="14"/>
      <color indexed="9"/>
      <name val="Ebrima"/>
      <family val="0"/>
    </font>
    <font>
      <b/>
      <sz val="14"/>
      <color indexed="8"/>
      <name val="Ebrima"/>
      <family val="0"/>
    </font>
    <font>
      <b/>
      <sz val="14"/>
      <color indexed="62"/>
      <name val="Ebrima"/>
      <family val="0"/>
    </font>
    <font>
      <b/>
      <sz val="16"/>
      <name val="Ebrima"/>
      <family val="0"/>
    </font>
    <font>
      <b/>
      <sz val="10"/>
      <name val="Ebrima"/>
      <family val="0"/>
    </font>
    <font>
      <b/>
      <sz val="9"/>
      <name val="Ebrima"/>
      <family val="0"/>
    </font>
    <font>
      <sz val="9"/>
      <name val="Ebrima"/>
      <family val="0"/>
    </font>
    <font>
      <b/>
      <sz val="8"/>
      <name val="Ebrima"/>
      <family val="0"/>
    </font>
    <font>
      <sz val="8"/>
      <name val="Ebrima"/>
      <family val="0"/>
    </font>
    <font>
      <b/>
      <sz val="11"/>
      <name val="Ebrima"/>
      <family val="0"/>
    </font>
    <font>
      <sz val="12"/>
      <name val="Ebrima"/>
      <family val="0"/>
    </font>
    <font>
      <b/>
      <sz val="12"/>
      <name val="Ebrima"/>
      <family val="0"/>
    </font>
    <font>
      <sz val="16"/>
      <name val="Ebrima"/>
      <family val="0"/>
    </font>
    <font>
      <b/>
      <sz val="15"/>
      <name val="Ebrima"/>
      <family val="0"/>
    </font>
    <font>
      <b/>
      <sz val="20"/>
      <name val="Ebrima"/>
      <family val="0"/>
    </font>
    <font>
      <sz val="20"/>
      <name val="Ebrima"/>
      <family val="0"/>
    </font>
    <font>
      <b/>
      <sz val="20"/>
      <color indexed="59"/>
      <name val="Ebrima"/>
      <family val="0"/>
    </font>
    <font>
      <b/>
      <sz val="22"/>
      <name val="Ebrima"/>
      <family val="0"/>
    </font>
    <font>
      <sz val="22"/>
      <name val="Ebrima"/>
      <family val="0"/>
    </font>
    <font>
      <b/>
      <sz val="20"/>
      <color indexed="8"/>
      <name val="Ebrima"/>
      <family val="0"/>
    </font>
    <font>
      <sz val="36"/>
      <name val="Ebrima"/>
      <family val="0"/>
    </font>
    <font>
      <b/>
      <sz val="36"/>
      <name val="Ebrima"/>
      <family val="0"/>
    </font>
    <font>
      <b/>
      <sz val="36"/>
      <color indexed="8"/>
      <name val="Ebri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sz val="10"/>
      <color indexed="8"/>
      <name val="Calibri"/>
      <family val="2"/>
    </font>
    <font>
      <b/>
      <sz val="10"/>
      <name val="Calibri"/>
      <family val="2"/>
    </font>
    <font>
      <b/>
      <sz val="12"/>
      <color indexed="8"/>
      <name val="Ebrima"/>
      <family val="0"/>
    </font>
    <font>
      <sz val="11"/>
      <color indexed="8"/>
      <name val="Ebrima"/>
      <family val="0"/>
    </font>
    <font>
      <sz val="10"/>
      <color indexed="8"/>
      <name val="Ebrima"/>
      <family val="0"/>
    </font>
    <font>
      <b/>
      <sz val="10"/>
      <color indexed="8"/>
      <name val="Ebrima"/>
      <family val="0"/>
    </font>
    <font>
      <sz val="9"/>
      <color indexed="8"/>
      <name val="Ebrima"/>
      <family val="0"/>
    </font>
    <font>
      <sz val="8"/>
      <color indexed="8"/>
      <name val="Ebrima"/>
      <family val="0"/>
    </font>
    <font>
      <b/>
      <sz val="8"/>
      <color indexed="8"/>
      <name val="Ebrima"/>
      <family val="0"/>
    </font>
    <font>
      <b/>
      <sz val="11"/>
      <color indexed="8"/>
      <name val="Ebrima"/>
      <family val="0"/>
    </font>
    <font>
      <b/>
      <sz val="9"/>
      <color indexed="8"/>
      <name val="Ebrima"/>
      <family val="0"/>
    </font>
    <font>
      <b/>
      <sz val="16"/>
      <color indexed="8"/>
      <name val="Ebrima"/>
      <family val="0"/>
    </font>
    <font>
      <sz val="16"/>
      <color indexed="8"/>
      <name val="Ebrima"/>
      <family val="0"/>
    </font>
    <font>
      <sz val="18"/>
      <color indexed="8"/>
      <name val="Cambria Math"/>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Calibri"/>
      <family val="2"/>
    </font>
    <font>
      <sz val="10"/>
      <color theme="1"/>
      <name val="Calibri"/>
      <family val="2"/>
    </font>
    <font>
      <sz val="14"/>
      <color theme="1"/>
      <name val="Ebrima"/>
      <family val="0"/>
    </font>
    <font>
      <b/>
      <sz val="14"/>
      <color theme="1"/>
      <name val="Ebrima"/>
      <family val="0"/>
    </font>
    <font>
      <b/>
      <sz val="12"/>
      <color theme="1"/>
      <name val="Ebrima"/>
      <family val="0"/>
    </font>
    <font>
      <sz val="11"/>
      <color theme="1"/>
      <name val="Ebrima"/>
      <family val="0"/>
    </font>
    <font>
      <sz val="10"/>
      <color theme="1"/>
      <name val="Ebrima"/>
      <family val="0"/>
    </font>
    <font>
      <b/>
      <sz val="10"/>
      <color theme="1"/>
      <name val="Ebrima"/>
      <family val="0"/>
    </font>
    <font>
      <sz val="9"/>
      <color theme="1"/>
      <name val="Ebrima"/>
      <family val="0"/>
    </font>
    <font>
      <sz val="8"/>
      <color theme="1"/>
      <name val="Ebrima"/>
      <family val="0"/>
    </font>
    <font>
      <b/>
      <sz val="8"/>
      <color theme="1"/>
      <name val="Ebrima"/>
      <family val="0"/>
    </font>
    <font>
      <sz val="10"/>
      <color rgb="FF000000"/>
      <name val="Ebrima"/>
      <family val="0"/>
    </font>
    <font>
      <b/>
      <sz val="11"/>
      <color theme="1"/>
      <name val="Ebrima"/>
      <family val="0"/>
    </font>
    <font>
      <sz val="9"/>
      <color rgb="FF000000"/>
      <name val="Ebrima"/>
      <family val="0"/>
    </font>
    <font>
      <sz val="11"/>
      <color rgb="FF000000"/>
      <name val="Ebrima"/>
      <family val="0"/>
    </font>
    <font>
      <b/>
      <sz val="10"/>
      <color rgb="FF000000"/>
      <name val="Ebrima"/>
      <family val="0"/>
    </font>
    <font>
      <b/>
      <sz val="8"/>
      <color rgb="FF000000"/>
      <name val="Ebrima"/>
      <family val="0"/>
    </font>
    <font>
      <b/>
      <sz val="9"/>
      <color rgb="FF000000"/>
      <name val="Ebrima"/>
      <family val="0"/>
    </font>
    <font>
      <b/>
      <sz val="16"/>
      <color theme="1"/>
      <name val="Ebrima"/>
      <family val="0"/>
    </font>
    <font>
      <sz val="16"/>
      <color theme="1"/>
      <name val="Ebrima"/>
      <family val="0"/>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indexed="9"/>
        <bgColor indexed="64"/>
      </patternFill>
    </fill>
    <fill>
      <patternFill patternType="solid">
        <fgColor indexed="10"/>
        <bgColor indexed="64"/>
      </patternFill>
    </fill>
    <fill>
      <patternFill patternType="solid">
        <fgColor rgb="FFFFC000"/>
        <bgColor indexed="64"/>
      </patternFill>
    </fill>
    <fill>
      <patternFill patternType="solid">
        <fgColor rgb="FFFFFF66"/>
        <bgColor indexed="64"/>
      </patternFill>
    </fill>
    <fill>
      <patternFill patternType="solid">
        <fgColor theme="0" tint="-0.24997000396251678"/>
        <bgColor indexed="64"/>
      </patternFill>
    </fill>
    <fill>
      <patternFill patternType="solid">
        <fgColor rgb="FFCAE7EE"/>
        <bgColor indexed="64"/>
      </patternFill>
    </fill>
    <fill>
      <patternFill patternType="solid">
        <fgColor rgb="FFCAE7EE"/>
        <bgColor indexed="64"/>
      </patternFill>
    </fill>
    <fill>
      <patternFill patternType="solid">
        <fgColor theme="2"/>
        <bgColor indexed="64"/>
      </patternFill>
    </fill>
    <fill>
      <patternFill patternType="solid">
        <fgColor rgb="FFFF0000"/>
        <bgColor indexed="64"/>
      </patternFill>
    </fill>
    <fill>
      <patternFill patternType="solid">
        <fgColor theme="1" tint="0.04998999834060669"/>
        <bgColor indexed="64"/>
      </patternFill>
    </fill>
    <fill>
      <patternFill patternType="solid">
        <fgColor theme="1" tint="0.04998999834060669"/>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right/>
      <top/>
      <bottom style="thin">
        <color indexed="8"/>
      </bottom>
    </border>
    <border>
      <left style="thin">
        <color indexed="8"/>
      </left>
      <right style="thin">
        <color indexed="8"/>
      </right>
      <top/>
      <bottom style="thin">
        <color indexed="8"/>
      </bottom>
    </border>
    <border>
      <left/>
      <right/>
      <top style="medium">
        <color indexed="8"/>
      </top>
      <bottom style="medium">
        <color indexed="8"/>
      </bottom>
    </border>
    <border>
      <left style="thin">
        <color indexed="8"/>
      </left>
      <right style="medium"/>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medium"/>
      <right style="thin"/>
      <top/>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medium"/>
      <top/>
      <bottom>
        <color indexed="63"/>
      </bottom>
    </border>
    <border>
      <left>
        <color indexed="63"/>
      </left>
      <right>
        <color indexed="63"/>
      </right>
      <top style="medium"/>
      <bottom style="medium"/>
    </border>
    <border>
      <left style="thin">
        <color indexed="8"/>
      </left>
      <right style="medium"/>
      <top style="medium"/>
      <bottom style="medium"/>
    </border>
    <border>
      <left style="medium"/>
      <right>
        <color indexed="63"/>
      </right>
      <top style="medium"/>
      <bottom>
        <color indexed="63"/>
      </bottom>
    </border>
    <border>
      <left style="medium"/>
      <right>
        <color indexed="63"/>
      </right>
      <top>
        <color indexed="63"/>
      </top>
      <bottom style="double"/>
    </border>
    <border>
      <left style="medium"/>
      <right style="thin"/>
      <top style="thin"/>
      <bottom style="thin"/>
    </border>
    <border>
      <left style="medium"/>
      <right style="thin"/>
      <top style="thin"/>
      <bottom>
        <color indexed="63"/>
      </bottom>
    </border>
    <border>
      <left style="medium"/>
      <right style="thin"/>
      <top>
        <color indexed="63"/>
      </top>
      <bottom style="double"/>
    </border>
    <border>
      <left style="thin"/>
      <right style="thin"/>
      <top>
        <color indexed="63"/>
      </top>
      <bottom style="double"/>
    </border>
    <border>
      <left style="medium"/>
      <right style="thin"/>
      <top style="medium"/>
      <bottom style="mediu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top/>
      <bottom style="medium"/>
    </border>
    <border>
      <left/>
      <right/>
      <top/>
      <bottom style="medium"/>
    </border>
    <border>
      <left style="thin"/>
      <right style="medium"/>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border>
    <border>
      <left style="thin"/>
      <right style="medium"/>
      <top>
        <color indexed="63"/>
      </top>
      <bottom style="double"/>
    </border>
    <border>
      <left style="medium"/>
      <right/>
      <top/>
      <bottom style="thin">
        <color indexed="8"/>
      </bottom>
    </border>
    <border>
      <left style="thin"/>
      <right>
        <color indexed="63"/>
      </right>
      <top style="double">
        <color indexed="8"/>
      </top>
      <bottom>
        <color indexed="63"/>
      </bottom>
    </border>
    <border>
      <left style="thin"/>
      <right>
        <color indexed="63"/>
      </right>
      <top>
        <color indexed="63"/>
      </top>
      <bottom style="double"/>
    </border>
    <border>
      <left style="thin"/>
      <right style="medium"/>
      <top style="double">
        <color indexed="8"/>
      </top>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style="medium"/>
      <top/>
      <bottom style="thin"/>
    </border>
    <border>
      <left style="thin"/>
      <right style="medium"/>
      <top style="medium"/>
      <bottom style="medium"/>
    </border>
    <border>
      <left>
        <color indexed="63"/>
      </left>
      <right>
        <color indexed="63"/>
      </right>
      <top>
        <color indexed="63"/>
      </top>
      <bottom style="double"/>
    </border>
    <border>
      <left>
        <color indexed="63"/>
      </left>
      <right style="medium"/>
      <top>
        <color indexed="63"/>
      </top>
      <bottom style="double"/>
    </border>
    <border>
      <left style="thin"/>
      <right style="thin"/>
      <top style="medium"/>
      <bottom style="medium"/>
    </border>
    <border>
      <left style="thin"/>
      <right>
        <color indexed="63"/>
      </right>
      <top style="medium"/>
      <bottom style="medium"/>
    </border>
    <border>
      <left style="thin"/>
      <right style="medium"/>
      <top style="double"/>
      <bottom>
        <color indexed="63"/>
      </bottom>
    </border>
    <border>
      <left style="thin"/>
      <right>
        <color indexed="63"/>
      </right>
      <top style="thin"/>
      <bottom style="medium"/>
    </border>
    <border>
      <left style="medium"/>
      <right>
        <color indexed="63"/>
      </right>
      <top>
        <color indexed="63"/>
      </top>
      <bottom style="thin"/>
    </border>
    <border>
      <left style="thin"/>
      <right style="thin"/>
      <top style="medium"/>
      <bottom style="thin"/>
    </border>
    <border>
      <left style="thin"/>
      <right style="thin"/>
      <top>
        <color indexed="63"/>
      </top>
      <bottom>
        <color indexed="63"/>
      </bottom>
    </border>
    <border>
      <left>
        <color indexed="63"/>
      </left>
      <right style="thin"/>
      <top style="thin"/>
      <bottom style="medium"/>
    </border>
    <border>
      <left style="thin"/>
      <right style="medium"/>
      <top style="thin"/>
      <bottom/>
    </border>
    <border>
      <left style="medium"/>
      <right>
        <color indexed="63"/>
      </right>
      <top style="thin"/>
      <bottom style="medium"/>
    </border>
    <border>
      <left/>
      <right style="medium"/>
      <top/>
      <bottom style="medium"/>
    </border>
    <border>
      <left>
        <color indexed="63"/>
      </left>
      <right style="thin"/>
      <top>
        <color indexed="63"/>
      </top>
      <bottom style="thin"/>
    </border>
    <border>
      <left style="thin"/>
      <right style="medium"/>
      <top style="double"/>
      <bottom style="thin"/>
    </border>
    <border>
      <left style="medium"/>
      <right style="medium"/>
      <top style="thin"/>
      <bottom style="thin"/>
    </border>
    <border>
      <left>
        <color indexed="63"/>
      </left>
      <right>
        <color indexed="63"/>
      </right>
      <top>
        <color indexed="63"/>
      </top>
      <bottom style="thin"/>
    </border>
    <border>
      <left style="medium"/>
      <right style="medium"/>
      <top>
        <color indexed="63"/>
      </top>
      <bottom style="thin"/>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color indexed="63"/>
      </left>
      <right>
        <color indexed="63"/>
      </right>
      <top style="thin"/>
      <bottom style="double"/>
    </border>
    <border>
      <left style="medium"/>
      <right style="medium"/>
      <top style="thin"/>
      <bottom style="double"/>
    </border>
    <border>
      <left>
        <color indexed="63"/>
      </left>
      <right style="thin"/>
      <top style="thin"/>
      <bottom style="double"/>
    </border>
    <border>
      <left style="medium"/>
      <right style="medium"/>
      <top>
        <color indexed="63"/>
      </top>
      <bottom style="double"/>
    </border>
    <border>
      <left style="medium"/>
      <right>
        <color indexed="63"/>
      </right>
      <top style="medium"/>
      <bottom style="medium"/>
    </border>
    <border>
      <left>
        <color indexed="63"/>
      </left>
      <right style="thin"/>
      <top style="medium"/>
      <bottom style="medium"/>
    </border>
    <border>
      <left style="thin"/>
      <right>
        <color indexed="63"/>
      </right>
      <top style="double"/>
      <bottom style="double"/>
    </border>
    <border>
      <left>
        <color indexed="63"/>
      </left>
      <right>
        <color indexed="63"/>
      </right>
      <top style="double"/>
      <bottom style="double"/>
    </border>
    <border>
      <left>
        <color indexed="63"/>
      </left>
      <right style="thin"/>
      <top>
        <color indexed="63"/>
      </top>
      <bottom style="medium"/>
    </border>
    <border>
      <left>
        <color indexed="63"/>
      </left>
      <right>
        <color indexed="63"/>
      </right>
      <top style="thin"/>
      <bottom style="medium"/>
    </border>
    <border>
      <left style="medium"/>
      <right>
        <color indexed="63"/>
      </right>
      <top style="double"/>
      <bottom style="double"/>
    </border>
    <border>
      <left>
        <color indexed="63"/>
      </left>
      <right style="medium"/>
      <top style="double"/>
      <bottom style="double"/>
    </border>
    <border>
      <left style="medium"/>
      <right style="thin"/>
      <top>
        <color indexed="63"/>
      </top>
      <bottom>
        <color indexed="63"/>
      </bottom>
    </border>
    <border>
      <left style="double"/>
      <right>
        <color indexed="63"/>
      </right>
      <top>
        <color indexed="63"/>
      </top>
      <bottom>
        <color indexed="63"/>
      </bottom>
    </border>
    <border>
      <left style="thin"/>
      <right style="medium"/>
      <top style="medium"/>
      <bottom style="thin"/>
    </border>
    <border>
      <left style="thin"/>
      <right>
        <color indexed="63"/>
      </right>
      <top style="medium"/>
      <bottom style="thin"/>
    </border>
    <border>
      <left style="thin"/>
      <right style="thin"/>
      <top style="medium"/>
      <bottom>
        <color indexed="63"/>
      </bottom>
    </border>
    <border>
      <left style="medium"/>
      <right style="thin"/>
      <top style="medium"/>
      <bottom style="thin"/>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top/>
      <bottom style="double">
        <color indexed="8"/>
      </bottom>
    </border>
    <border>
      <left/>
      <right/>
      <top/>
      <bottom style="double">
        <color indexed="8"/>
      </bottom>
    </border>
    <border>
      <left/>
      <right style="medium"/>
      <top/>
      <bottom style="double">
        <color indexed="8"/>
      </bottom>
    </border>
    <border>
      <left style="medium"/>
      <right>
        <color indexed="63"/>
      </right>
      <top style="double">
        <color indexed="8"/>
      </top>
      <bottom>
        <color indexed="63"/>
      </bottom>
    </border>
    <border>
      <left>
        <color indexed="63"/>
      </left>
      <right>
        <color indexed="63"/>
      </right>
      <top style="double">
        <color indexed="8"/>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style="thin"/>
      <top/>
      <bottom style="double"/>
    </border>
    <border>
      <left>
        <color indexed="63"/>
      </left>
      <right style="medium"/>
      <top style="double"/>
      <bottom>
        <color indexed="63"/>
      </bottom>
    </border>
    <border>
      <left>
        <color indexed="63"/>
      </left>
      <right style="thin"/>
      <top style="double"/>
      <bottom>
        <color indexed="63"/>
      </bottom>
    </border>
    <border>
      <left style="thin"/>
      <right style="thin"/>
      <top style="double"/>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color indexed="63"/>
      </top>
      <bottom style="thin">
        <color indexed="8"/>
      </bottom>
    </border>
    <border>
      <left>
        <color indexed="63"/>
      </left>
      <right style="medium"/>
      <top>
        <color indexed="63"/>
      </top>
      <bottom style="thin">
        <color indexed="8"/>
      </bottom>
    </border>
    <border>
      <left style="thin"/>
      <right>
        <color indexed="63"/>
      </right>
      <top style="thin"/>
      <bottom style="thin">
        <color indexed="8"/>
      </bottom>
    </border>
    <border>
      <left>
        <color indexed="63"/>
      </left>
      <right style="medium"/>
      <top style="thin"/>
      <bottom style="thin">
        <color indexed="8"/>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8" fillId="30"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71" fillId="0" borderId="0">
      <alignment/>
      <protection/>
    </xf>
    <xf numFmtId="0" fontId="0" fillId="0" borderId="0">
      <alignment/>
      <protection/>
    </xf>
    <xf numFmtId="0" fontId="0" fillId="0" borderId="0">
      <alignment/>
      <protection/>
    </xf>
    <xf numFmtId="0" fontId="71" fillId="0" borderId="0">
      <alignment/>
      <protection/>
    </xf>
    <xf numFmtId="0" fontId="5"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71" fillId="0" borderId="0" applyFont="0" applyFill="0" applyBorder="0" applyAlignment="0" applyProtection="0"/>
    <xf numFmtId="9" fontId="0" fillId="0" borderId="0" applyFill="0" applyBorder="0" applyAlignment="0" applyProtection="0"/>
    <xf numFmtId="0" fontId="80" fillId="21" borderId="5" applyNumberFormat="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7" fontId="71" fillId="0" borderId="0" applyFont="0" applyFill="0" applyBorder="0" applyAlignment="0" applyProtection="0"/>
    <xf numFmtId="167" fontId="6" fillId="0" borderId="0" applyFont="0" applyFill="0" applyBorder="0" applyAlignment="0" applyProtection="0"/>
    <xf numFmtId="191" fontId="0" fillId="0" borderId="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0" borderId="9" applyNumberFormat="0" applyFill="0" applyAlignment="0" applyProtection="0"/>
    <xf numFmtId="167" fontId="0"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 fillId="0" borderId="0" applyFont="0" applyFill="0" applyBorder="0" applyAlignment="0" applyProtection="0"/>
  </cellStyleXfs>
  <cellXfs count="1350">
    <xf numFmtId="0" fontId="0" fillId="0" borderId="0" xfId="0" applyAlignment="1">
      <alignment/>
    </xf>
    <xf numFmtId="0" fontId="56" fillId="0" borderId="0" xfId="0" applyFont="1" applyAlignment="1">
      <alignment vertical="center"/>
    </xf>
    <xf numFmtId="0" fontId="56" fillId="0" borderId="0" xfId="54" applyFont="1" applyAlignment="1">
      <alignment vertical="center"/>
      <protection/>
    </xf>
    <xf numFmtId="0" fontId="88" fillId="33" borderId="0" xfId="0" applyFont="1" applyFill="1" applyAlignment="1">
      <alignment vertical="center"/>
    </xf>
    <xf numFmtId="0" fontId="56" fillId="0" borderId="10" xfId="0" applyFont="1" applyFill="1" applyBorder="1" applyAlignment="1">
      <alignment horizontal="center" vertical="center"/>
    </xf>
    <xf numFmtId="4" fontId="56" fillId="0" borderId="10" xfId="0" applyNumberFormat="1" applyFont="1" applyFill="1" applyBorder="1" applyAlignment="1">
      <alignment horizontal="right" vertical="center"/>
    </xf>
    <xf numFmtId="0" fontId="56" fillId="0" borderId="11" xfId="0" applyFont="1" applyFill="1" applyBorder="1" applyAlignment="1">
      <alignment vertical="center"/>
    </xf>
    <xf numFmtId="4" fontId="56" fillId="0" borderId="12" xfId="0" applyNumberFormat="1" applyFont="1" applyFill="1" applyBorder="1" applyAlignment="1">
      <alignment horizontal="right" vertical="center"/>
    </xf>
    <xf numFmtId="0" fontId="56" fillId="0" borderId="11" xfId="0" applyFont="1" applyFill="1" applyBorder="1" applyAlignment="1">
      <alignment horizontal="center" vertical="center"/>
    </xf>
    <xf numFmtId="0" fontId="58" fillId="34" borderId="13" xfId="0" applyFont="1" applyFill="1" applyBorder="1" applyAlignment="1">
      <alignment vertical="center"/>
    </xf>
    <xf numFmtId="0" fontId="58" fillId="34" borderId="14" xfId="0" applyFont="1" applyFill="1" applyBorder="1" applyAlignment="1">
      <alignment vertical="center"/>
    </xf>
    <xf numFmtId="0" fontId="58" fillId="34" borderId="15" xfId="0" applyFont="1" applyFill="1" applyBorder="1" applyAlignment="1">
      <alignment vertical="center"/>
    </xf>
    <xf numFmtId="4" fontId="58" fillId="34" borderId="16" xfId="0" applyNumberFormat="1" applyFont="1" applyFill="1" applyBorder="1" applyAlignment="1">
      <alignment vertical="center"/>
    </xf>
    <xf numFmtId="0" fontId="56" fillId="0" borderId="17" xfId="0" applyFont="1" applyFill="1" applyBorder="1" applyAlignment="1">
      <alignment vertical="center"/>
    </xf>
    <xf numFmtId="0" fontId="56" fillId="0" borderId="18" xfId="0" applyFont="1" applyFill="1" applyBorder="1" applyAlignment="1">
      <alignment horizontal="center" vertical="center"/>
    </xf>
    <xf numFmtId="0" fontId="58" fillId="34" borderId="19" xfId="0" applyFont="1" applyFill="1" applyBorder="1" applyAlignment="1">
      <alignment vertical="center"/>
    </xf>
    <xf numFmtId="2" fontId="58" fillId="34" borderId="19" xfId="0" applyNumberFormat="1" applyFont="1" applyFill="1" applyBorder="1" applyAlignment="1">
      <alignment vertical="center"/>
    </xf>
    <xf numFmtId="4" fontId="56" fillId="0" borderId="20" xfId="0" applyNumberFormat="1" applyFont="1" applyFill="1" applyBorder="1" applyAlignment="1">
      <alignment vertical="center"/>
    </xf>
    <xf numFmtId="0" fontId="56" fillId="0" borderId="21" xfId="0" applyFont="1" applyFill="1" applyBorder="1" applyAlignment="1">
      <alignment horizontal="left" vertical="center" wrapText="1"/>
    </xf>
    <xf numFmtId="2" fontId="56" fillId="0" borderId="18" xfId="0" applyNumberFormat="1" applyFont="1" applyFill="1" applyBorder="1" applyAlignment="1">
      <alignment horizontal="right" vertical="center"/>
    </xf>
    <xf numFmtId="4" fontId="56" fillId="0" borderId="18" xfId="0" applyNumberFormat="1" applyFont="1" applyFill="1" applyBorder="1" applyAlignment="1">
      <alignment horizontal="right" vertical="center"/>
    </xf>
    <xf numFmtId="0" fontId="56" fillId="0" borderId="22" xfId="0" applyFont="1" applyFill="1" applyBorder="1" applyAlignment="1">
      <alignment vertical="top" wrapText="1"/>
    </xf>
    <xf numFmtId="188" fontId="56" fillId="0" borderId="10" xfId="0" applyNumberFormat="1" applyFont="1" applyFill="1" applyBorder="1" applyAlignment="1">
      <alignment horizontal="right" vertical="center"/>
    </xf>
    <xf numFmtId="0" fontId="56" fillId="0" borderId="22" xfId="0" applyFont="1" applyFill="1" applyBorder="1" applyAlignment="1">
      <alignment vertical="center" wrapText="1"/>
    </xf>
    <xf numFmtId="168" fontId="56" fillId="0" borderId="18" xfId="0" applyNumberFormat="1" applyFont="1" applyFill="1" applyBorder="1" applyAlignment="1">
      <alignment horizontal="right" vertical="center"/>
    </xf>
    <xf numFmtId="167" fontId="56" fillId="0" borderId="23" xfId="60" applyNumberFormat="1" applyFont="1" applyBorder="1" applyAlignment="1">
      <alignment horizontal="center" vertical="center"/>
      <protection/>
    </xf>
    <xf numFmtId="167" fontId="56" fillId="0" borderId="24" xfId="60" applyNumberFormat="1" applyFont="1" applyBorder="1" applyAlignment="1">
      <alignment horizontal="center" vertical="center"/>
      <protection/>
    </xf>
    <xf numFmtId="0" fontId="56" fillId="0" borderId="24" xfId="60" applyFont="1" applyBorder="1" applyAlignment="1">
      <alignment horizontal="center" vertical="center"/>
      <protection/>
    </xf>
    <xf numFmtId="0" fontId="89" fillId="0" borderId="24" xfId="60" applyFont="1" applyBorder="1" applyAlignment="1">
      <alignment horizontal="center" vertical="center"/>
      <protection/>
    </xf>
    <xf numFmtId="0" fontId="56" fillId="0" borderId="25" xfId="0" applyFont="1" applyFill="1" applyBorder="1" applyAlignment="1">
      <alignment horizontal="center" vertical="center"/>
    </xf>
    <xf numFmtId="0" fontId="56" fillId="0" borderId="26" xfId="0" applyFont="1" applyFill="1" applyBorder="1" applyAlignment="1">
      <alignment horizontal="center" vertical="center"/>
    </xf>
    <xf numFmtId="10" fontId="58" fillId="0" borderId="27" xfId="0" applyNumberFormat="1" applyFont="1" applyFill="1" applyBorder="1" applyAlignment="1">
      <alignment horizontal="center" vertical="center"/>
    </xf>
    <xf numFmtId="4" fontId="56" fillId="0" borderId="28" xfId="0" applyNumberFormat="1" applyFont="1" applyFill="1" applyBorder="1" applyAlignment="1">
      <alignment vertical="center"/>
    </xf>
    <xf numFmtId="0" fontId="58" fillId="2" borderId="29" xfId="0" applyFont="1" applyFill="1" applyBorder="1" applyAlignment="1">
      <alignment vertical="center"/>
    </xf>
    <xf numFmtId="0" fontId="58" fillId="2" borderId="29" xfId="0" applyFont="1" applyFill="1" applyBorder="1" applyAlignment="1">
      <alignment horizontal="center" vertical="center"/>
    </xf>
    <xf numFmtId="2" fontId="58" fillId="2" borderId="29" xfId="0" applyNumberFormat="1" applyFont="1" applyFill="1" applyBorder="1" applyAlignment="1">
      <alignment vertical="center"/>
    </xf>
    <xf numFmtId="4" fontId="58" fillId="2" borderId="30" xfId="0" applyNumberFormat="1" applyFont="1" applyFill="1" applyBorder="1" applyAlignment="1">
      <alignment vertical="center"/>
    </xf>
    <xf numFmtId="0" fontId="56" fillId="35" borderId="31" xfId="54" applyFont="1" applyFill="1" applyBorder="1" applyAlignment="1">
      <alignment vertical="center"/>
      <protection/>
    </xf>
    <xf numFmtId="0" fontId="56" fillId="35" borderId="32" xfId="54" applyFont="1" applyFill="1" applyBorder="1" applyAlignment="1">
      <alignment vertical="center"/>
      <protection/>
    </xf>
    <xf numFmtId="0" fontId="88" fillId="33" borderId="33" xfId="0" applyFont="1" applyFill="1" applyBorder="1" applyAlignment="1">
      <alignment horizontal="center" vertical="center"/>
    </xf>
    <xf numFmtId="0" fontId="88" fillId="33" borderId="33" xfId="0" applyFont="1" applyFill="1" applyBorder="1" applyAlignment="1">
      <alignment vertical="center"/>
    </xf>
    <xf numFmtId="0" fontId="88" fillId="33" borderId="34" xfId="0" applyFont="1" applyFill="1" applyBorder="1" applyAlignment="1">
      <alignment vertical="center"/>
    </xf>
    <xf numFmtId="167" fontId="58" fillId="14" borderId="35" xfId="60" applyNumberFormat="1" applyFont="1" applyFill="1" applyBorder="1" applyAlignment="1">
      <alignment horizontal="center" vertical="center" wrapText="1"/>
      <protection/>
    </xf>
    <xf numFmtId="167" fontId="58" fillId="14" borderId="36" xfId="60" applyNumberFormat="1" applyFont="1" applyFill="1" applyBorder="1" applyAlignment="1">
      <alignment horizontal="center" vertical="center" wrapText="1"/>
      <protection/>
    </xf>
    <xf numFmtId="0" fontId="88" fillId="36" borderId="37" xfId="0" applyFont="1" applyFill="1" applyBorder="1" applyAlignment="1">
      <alignment vertical="center"/>
    </xf>
    <xf numFmtId="0" fontId="90" fillId="0" borderId="0" xfId="0" applyFont="1" applyAlignment="1">
      <alignment vertical="center"/>
    </xf>
    <xf numFmtId="0" fontId="90" fillId="0" borderId="0" xfId="0" applyFont="1" applyAlignment="1">
      <alignment horizontal="center" vertical="center"/>
    </xf>
    <xf numFmtId="0" fontId="90" fillId="0" borderId="0" xfId="0" applyFont="1" applyAlignment="1">
      <alignment/>
    </xf>
    <xf numFmtId="0" fontId="90" fillId="0" borderId="0" xfId="0" applyFont="1" applyBorder="1" applyAlignment="1">
      <alignment vertical="center"/>
    </xf>
    <xf numFmtId="0" fontId="90" fillId="0" borderId="38" xfId="0" applyFont="1" applyBorder="1" applyAlignment="1">
      <alignment vertical="center"/>
    </xf>
    <xf numFmtId="0" fontId="90" fillId="0" borderId="33" xfId="0" applyFont="1" applyBorder="1" applyAlignment="1">
      <alignment horizontal="center" vertical="center"/>
    </xf>
    <xf numFmtId="0" fontId="90" fillId="0" borderId="39" xfId="0" applyFont="1" applyBorder="1" applyAlignment="1">
      <alignment vertical="center"/>
    </xf>
    <xf numFmtId="43" fontId="90" fillId="0" borderId="39" xfId="86" applyFont="1" applyBorder="1" applyAlignment="1">
      <alignment horizontal="center" vertical="center"/>
    </xf>
    <xf numFmtId="43" fontId="90" fillId="0" borderId="40" xfId="86" applyFont="1" applyBorder="1" applyAlignment="1">
      <alignment horizontal="center" vertical="center"/>
    </xf>
    <xf numFmtId="0" fontId="91" fillId="37" borderId="33" xfId="0" applyFont="1" applyFill="1" applyBorder="1" applyAlignment="1">
      <alignment horizontal="center" vertical="center"/>
    </xf>
    <xf numFmtId="0" fontId="91" fillId="37" borderId="39" xfId="0" applyFont="1" applyFill="1" applyBorder="1" applyAlignment="1">
      <alignment vertical="center"/>
    </xf>
    <xf numFmtId="167" fontId="91" fillId="37" borderId="39" xfId="0" applyNumberFormat="1" applyFont="1" applyFill="1" applyBorder="1" applyAlignment="1">
      <alignment horizontal="center" vertical="center"/>
    </xf>
    <xf numFmtId="167" fontId="91" fillId="37" borderId="40" xfId="0" applyNumberFormat="1" applyFont="1" applyFill="1" applyBorder="1" applyAlignment="1">
      <alignment horizontal="center" vertical="center"/>
    </xf>
    <xf numFmtId="43" fontId="90" fillId="0" borderId="39" xfId="86" applyFont="1" applyBorder="1" applyAlignment="1">
      <alignment vertical="center"/>
    </xf>
    <xf numFmtId="167" fontId="91" fillId="37" borderId="39" xfId="0" applyNumberFormat="1" applyFont="1" applyFill="1" applyBorder="1" applyAlignment="1">
      <alignment vertical="center"/>
    </xf>
    <xf numFmtId="167" fontId="91" fillId="37" borderId="40" xfId="0" applyNumberFormat="1" applyFont="1" applyFill="1" applyBorder="1" applyAlignment="1">
      <alignment vertical="center"/>
    </xf>
    <xf numFmtId="43" fontId="90" fillId="0" borderId="40" xfId="86" applyFont="1" applyBorder="1" applyAlignment="1">
      <alignment vertical="center"/>
    </xf>
    <xf numFmtId="167" fontId="90" fillId="0" borderId="39" xfId="0" applyNumberFormat="1" applyFont="1" applyBorder="1" applyAlignment="1">
      <alignment vertical="center"/>
    </xf>
    <xf numFmtId="167" fontId="90" fillId="0" borderId="40" xfId="0" applyNumberFormat="1" applyFont="1" applyBorder="1" applyAlignment="1">
      <alignment vertical="center"/>
    </xf>
    <xf numFmtId="0" fontId="91" fillId="37" borderId="41" xfId="0" applyFont="1" applyFill="1" applyBorder="1" applyAlignment="1">
      <alignment horizontal="center" vertical="center"/>
    </xf>
    <xf numFmtId="0" fontId="91" fillId="37" borderId="42" xfId="0" applyFont="1" applyFill="1" applyBorder="1" applyAlignment="1">
      <alignment vertical="center"/>
    </xf>
    <xf numFmtId="167" fontId="91" fillId="37" borderId="42" xfId="0" applyNumberFormat="1" applyFont="1" applyFill="1" applyBorder="1" applyAlignment="1">
      <alignment vertical="center"/>
    </xf>
    <xf numFmtId="167" fontId="91" fillId="37" borderId="43" xfId="0" applyNumberFormat="1" applyFont="1" applyFill="1" applyBorder="1" applyAlignment="1">
      <alignment vertical="center"/>
    </xf>
    <xf numFmtId="0" fontId="90" fillId="0" borderId="40" xfId="0" applyFont="1" applyBorder="1" applyAlignment="1">
      <alignment vertical="center"/>
    </xf>
    <xf numFmtId="0" fontId="91" fillId="0" borderId="33" xfId="0" applyFont="1" applyBorder="1" applyAlignment="1">
      <alignment horizontal="center" vertical="center"/>
    </xf>
    <xf numFmtId="0" fontId="91" fillId="0" borderId="39" xfId="0" applyFont="1" applyBorder="1" applyAlignment="1">
      <alignment vertical="center"/>
    </xf>
    <xf numFmtId="167" fontId="91" fillId="0" borderId="39" xfId="0" applyNumberFormat="1" applyFont="1" applyBorder="1" applyAlignment="1">
      <alignment vertical="center"/>
    </xf>
    <xf numFmtId="167" fontId="91" fillId="0" borderId="40" xfId="0" applyNumberFormat="1" applyFont="1" applyBorder="1" applyAlignment="1">
      <alignment vertical="center"/>
    </xf>
    <xf numFmtId="167" fontId="91" fillId="34" borderId="42" xfId="0" applyNumberFormat="1" applyFont="1" applyFill="1" applyBorder="1" applyAlignment="1">
      <alignment vertical="center"/>
    </xf>
    <xf numFmtId="167" fontId="91" fillId="34" borderId="43" xfId="0" applyNumberFormat="1" applyFont="1" applyFill="1" applyBorder="1" applyAlignment="1">
      <alignment vertical="center"/>
    </xf>
    <xf numFmtId="0" fontId="90" fillId="0" borderId="39" xfId="0" applyFont="1" applyBorder="1" applyAlignment="1">
      <alignment horizontal="justify" vertical="center" wrapText="1"/>
    </xf>
    <xf numFmtId="0" fontId="92" fillId="35" borderId="44" xfId="0" applyFont="1" applyFill="1" applyBorder="1" applyAlignment="1">
      <alignment horizontal="center" vertical="center"/>
    </xf>
    <xf numFmtId="0" fontId="92" fillId="35" borderId="0" xfId="0" applyFont="1" applyFill="1" applyBorder="1" applyAlignment="1">
      <alignment horizontal="center" vertical="center"/>
    </xf>
    <xf numFmtId="0" fontId="92" fillId="35" borderId="38" xfId="0" applyFont="1" applyFill="1" applyBorder="1" applyAlignment="1">
      <alignment horizontal="center" vertical="center"/>
    </xf>
    <xf numFmtId="0" fontId="11" fillId="0" borderId="0" xfId="0" applyFont="1" applyAlignment="1" applyProtection="1">
      <alignment horizontal="center" vertical="center"/>
      <protection locked="0"/>
    </xf>
    <xf numFmtId="0" fontId="12" fillId="0" borderId="0" xfId="57" applyFont="1">
      <alignment/>
      <protection/>
    </xf>
    <xf numFmtId="0" fontId="11" fillId="35" borderId="44" xfId="0" applyFont="1" applyFill="1" applyBorder="1" applyAlignment="1" applyProtection="1">
      <alignment vertical="center"/>
      <protection locked="0"/>
    </xf>
    <xf numFmtId="0" fontId="11" fillId="35" borderId="38" xfId="0" applyFont="1" applyFill="1" applyBorder="1" applyAlignment="1" applyProtection="1">
      <alignment vertical="center"/>
      <protection locked="0"/>
    </xf>
    <xf numFmtId="0" fontId="11" fillId="0" borderId="0" xfId="0" applyFont="1" applyAlignment="1" applyProtection="1">
      <alignment vertical="center"/>
      <protection locked="0"/>
    </xf>
    <xf numFmtId="2" fontId="14" fillId="0" borderId="0" xfId="63" applyNumberFormat="1" applyFont="1" applyAlignment="1" applyProtection="1">
      <alignment horizontal="left" vertical="center" wrapText="1"/>
      <protection locked="0"/>
    </xf>
    <xf numFmtId="0" fontId="93" fillId="0" borderId="0" xfId="0" applyFont="1" applyAlignment="1">
      <alignment/>
    </xf>
    <xf numFmtId="2" fontId="14" fillId="0" borderId="0" xfId="63" applyNumberFormat="1" applyFont="1" applyAlignment="1" applyProtection="1">
      <alignment horizontal="left" vertical="center"/>
      <protection locked="0"/>
    </xf>
    <xf numFmtId="194" fontId="14" fillId="35" borderId="32" xfId="63" applyNumberFormat="1" applyFont="1" applyFill="1" applyBorder="1" applyAlignment="1" applyProtection="1">
      <alignment horizontal="center" vertical="center"/>
      <protection locked="0"/>
    </xf>
    <xf numFmtId="171" fontId="14" fillId="0" borderId="0" xfId="0" applyNumberFormat="1" applyFont="1" applyAlignment="1" applyProtection="1">
      <alignment horizontal="center" vertical="center"/>
      <protection locked="0"/>
    </xf>
    <xf numFmtId="0" fontId="12" fillId="0" borderId="0" xfId="0" applyFont="1" applyAlignment="1">
      <alignment/>
    </xf>
    <xf numFmtId="0" fontId="12" fillId="0" borderId="0" xfId="57" applyFont="1" applyAlignment="1">
      <alignment vertical="center"/>
      <protection/>
    </xf>
    <xf numFmtId="0" fontId="15" fillId="0" borderId="44" xfId="0" applyFont="1" applyBorder="1" applyAlignment="1">
      <alignment vertical="center"/>
    </xf>
    <xf numFmtId="0" fontId="15" fillId="0" borderId="0" xfId="0" applyFont="1" applyAlignment="1">
      <alignment vertical="center"/>
    </xf>
    <xf numFmtId="0" fontId="15" fillId="0" borderId="44" xfId="0" applyFont="1" applyBorder="1" applyAlignment="1">
      <alignment/>
    </xf>
    <xf numFmtId="0" fontId="15" fillId="0" borderId="0" xfId="0" applyFont="1" applyAlignment="1">
      <alignment/>
    </xf>
    <xf numFmtId="0" fontId="15" fillId="0" borderId="38" xfId="0" applyFont="1" applyBorder="1" applyAlignment="1">
      <alignment/>
    </xf>
    <xf numFmtId="10" fontId="15" fillId="0" borderId="0" xfId="67" applyNumberFormat="1" applyFont="1" applyBorder="1" applyAlignment="1">
      <alignment/>
    </xf>
    <xf numFmtId="10" fontId="15" fillId="0" borderId="38" xfId="67" applyNumberFormat="1" applyFont="1" applyBorder="1" applyAlignment="1">
      <alignment/>
    </xf>
    <xf numFmtId="10" fontId="13" fillId="0" borderId="0" xfId="0" applyNumberFormat="1" applyFont="1" applyAlignment="1">
      <alignment/>
    </xf>
    <xf numFmtId="10" fontId="13" fillId="0" borderId="38" xfId="0" applyNumberFormat="1" applyFont="1" applyBorder="1" applyAlignment="1">
      <alignment/>
    </xf>
    <xf numFmtId="0" fontId="13" fillId="8" borderId="45" xfId="0" applyFont="1" applyFill="1" applyBorder="1" applyAlignment="1">
      <alignment horizontal="right" vertical="center"/>
    </xf>
    <xf numFmtId="0" fontId="13" fillId="8" borderId="46" xfId="0" applyFont="1" applyFill="1" applyBorder="1" applyAlignment="1">
      <alignment vertical="center"/>
    </xf>
    <xf numFmtId="10" fontId="13" fillId="8" borderId="47" xfId="0" applyNumberFormat="1" applyFont="1" applyFill="1" applyBorder="1" applyAlignment="1">
      <alignment vertical="center"/>
    </xf>
    <xf numFmtId="0" fontId="13" fillId="0" borderId="48" xfId="0" applyFont="1" applyBorder="1" applyAlignment="1">
      <alignment vertical="center"/>
    </xf>
    <xf numFmtId="0" fontId="13" fillId="0" borderId="46" xfId="0" applyFont="1" applyBorder="1" applyAlignment="1">
      <alignment vertical="center"/>
    </xf>
    <xf numFmtId="10" fontId="13" fillId="0" borderId="49" xfId="0" applyNumberFormat="1" applyFont="1" applyBorder="1" applyAlignment="1">
      <alignment vertical="center"/>
    </xf>
    <xf numFmtId="0" fontId="15" fillId="0" borderId="38" xfId="0" applyFont="1" applyBorder="1" applyAlignment="1">
      <alignment horizontal="right" vertical="center"/>
    </xf>
    <xf numFmtId="0" fontId="15" fillId="38" borderId="50" xfId="57" applyFont="1" applyFill="1" applyBorder="1">
      <alignment/>
      <protection/>
    </xf>
    <xf numFmtId="0" fontId="15" fillId="38" borderId="51" xfId="57" applyFont="1" applyFill="1" applyBorder="1">
      <alignment/>
      <protection/>
    </xf>
    <xf numFmtId="0" fontId="17" fillId="39" borderId="52" xfId="0" applyFont="1" applyFill="1" applyBorder="1" applyAlignment="1">
      <alignment horizontal="center" vertical="center" wrapText="1"/>
    </xf>
    <xf numFmtId="0" fontId="18" fillId="0" borderId="0" xfId="0" applyFont="1" applyBorder="1" applyAlignment="1">
      <alignment horizontal="center" vertical="center"/>
    </xf>
    <xf numFmtId="2"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vertical="center"/>
    </xf>
    <xf numFmtId="2" fontId="19" fillId="0" borderId="0" xfId="0" applyNumberFormat="1" applyFont="1" applyBorder="1" applyAlignment="1">
      <alignment vertical="center"/>
    </xf>
    <xf numFmtId="2" fontId="18" fillId="0" borderId="0" xfId="0" applyNumberFormat="1" applyFont="1" applyBorder="1" applyAlignment="1">
      <alignment horizontal="center" vertical="center"/>
    </xf>
    <xf numFmtId="2" fontId="15" fillId="0" borderId="0" xfId="0" applyNumberFormat="1" applyFont="1" applyBorder="1" applyAlignment="1">
      <alignment horizontal="center" vertical="center"/>
    </xf>
    <xf numFmtId="0" fontId="15" fillId="0" borderId="0" xfId="0" applyFont="1" applyAlignment="1" quotePrefix="1">
      <alignment/>
    </xf>
    <xf numFmtId="0" fontId="15" fillId="0" borderId="0" xfId="0" applyFont="1" applyAlignment="1">
      <alignment horizontal="right"/>
    </xf>
    <xf numFmtId="0" fontId="15" fillId="0" borderId="0" xfId="0" applyFont="1" applyAlignment="1" quotePrefix="1">
      <alignment horizontal="right"/>
    </xf>
    <xf numFmtId="0" fontId="94" fillId="35" borderId="31" xfId="0" applyFont="1" applyFill="1" applyBorder="1" applyAlignment="1">
      <alignment/>
    </xf>
    <xf numFmtId="0" fontId="94" fillId="35" borderId="53" xfId="0" applyFont="1" applyFill="1" applyBorder="1" applyAlignment="1">
      <alignment/>
    </xf>
    <xf numFmtId="0" fontId="94" fillId="35" borderId="54" xfId="0" applyFont="1" applyFill="1" applyBorder="1" applyAlignment="1">
      <alignment/>
    </xf>
    <xf numFmtId="0" fontId="94" fillId="35" borderId="0" xfId="0" applyFont="1" applyFill="1" applyBorder="1" applyAlignment="1">
      <alignment horizontal="center" vertical="center"/>
    </xf>
    <xf numFmtId="0" fontId="94" fillId="0" borderId="0" xfId="0" applyFont="1" applyAlignment="1">
      <alignment horizontal="center" vertical="center"/>
    </xf>
    <xf numFmtId="0" fontId="94" fillId="0" borderId="0" xfId="0" applyFont="1" applyAlignment="1">
      <alignment/>
    </xf>
    <xf numFmtId="0" fontId="95" fillId="35" borderId="0" xfId="0" applyFont="1" applyFill="1" applyBorder="1" applyAlignment="1">
      <alignment horizontal="center" vertical="center"/>
    </xf>
    <xf numFmtId="167" fontId="21" fillId="40" borderId="0" xfId="60" applyNumberFormat="1" applyFont="1" applyFill="1" applyBorder="1" applyAlignment="1">
      <alignment horizontal="center" vertical="center" wrapText="1"/>
      <protection/>
    </xf>
    <xf numFmtId="0" fontId="21" fillId="41" borderId="0" xfId="54" applyFont="1" applyFill="1" applyBorder="1" applyAlignment="1">
      <alignment horizontal="center" vertical="center"/>
      <protection/>
    </xf>
    <xf numFmtId="167" fontId="94" fillId="0" borderId="0" xfId="0" applyNumberFormat="1" applyFont="1" applyAlignment="1">
      <alignment vertical="center"/>
    </xf>
    <xf numFmtId="0" fontId="94" fillId="0" borderId="0" xfId="0" applyFont="1" applyAlignment="1">
      <alignment vertical="center"/>
    </xf>
    <xf numFmtId="167" fontId="12" fillId="0" borderId="33" xfId="60" applyNumberFormat="1" applyFont="1" applyBorder="1" applyAlignment="1">
      <alignment horizontal="center" vertical="center"/>
      <protection/>
    </xf>
    <xf numFmtId="167" fontId="12" fillId="0" borderId="39" xfId="60" applyNumberFormat="1" applyFont="1" applyBorder="1" applyAlignment="1">
      <alignment horizontal="center" vertical="center"/>
      <protection/>
    </xf>
    <xf numFmtId="167" fontId="12" fillId="0" borderId="40" xfId="60" applyNumberFormat="1" applyFont="1" applyBorder="1" applyAlignment="1">
      <alignment horizontal="center" vertical="center"/>
      <protection/>
    </xf>
    <xf numFmtId="167" fontId="12" fillId="0" borderId="0" xfId="60" applyNumberFormat="1" applyFont="1" applyBorder="1" applyAlignment="1">
      <alignment horizontal="center" vertical="center"/>
      <protection/>
    </xf>
    <xf numFmtId="0" fontId="12" fillId="0" borderId="33" xfId="60" applyNumberFormat="1" applyFont="1" applyFill="1" applyBorder="1" applyAlignment="1">
      <alignment horizontal="center" vertical="center"/>
      <protection/>
    </xf>
    <xf numFmtId="49" fontId="12" fillId="0" borderId="39" xfId="60" applyNumberFormat="1" applyFont="1" applyFill="1" applyBorder="1" applyAlignment="1">
      <alignment horizontal="center" vertical="center"/>
      <protection/>
    </xf>
    <xf numFmtId="0" fontId="12" fillId="0" borderId="39" xfId="60" applyFont="1" applyFill="1" applyBorder="1" applyAlignment="1">
      <alignment horizontal="justify" vertical="center"/>
      <protection/>
    </xf>
    <xf numFmtId="167" fontId="12" fillId="0" borderId="39" xfId="60" applyNumberFormat="1" applyFont="1" applyFill="1" applyBorder="1" applyAlignment="1">
      <alignment horizontal="center" vertical="center"/>
      <protection/>
    </xf>
    <xf numFmtId="168" fontId="12" fillId="0" borderId="39" xfId="60" applyNumberFormat="1" applyFont="1" applyFill="1" applyBorder="1" applyAlignment="1">
      <alignment horizontal="center" vertical="center"/>
      <protection/>
    </xf>
    <xf numFmtId="167" fontId="94" fillId="0" borderId="39" xfId="75" applyNumberFormat="1" applyFont="1" applyFill="1" applyBorder="1" applyAlignment="1">
      <alignment horizontal="center" vertical="center"/>
    </xf>
    <xf numFmtId="167" fontId="94" fillId="0" borderId="40" xfId="75" applyNumberFormat="1" applyFont="1" applyFill="1" applyBorder="1" applyAlignment="1">
      <alignment horizontal="center" vertical="center"/>
    </xf>
    <xf numFmtId="169" fontId="94" fillId="0" borderId="0" xfId="75" applyNumberFormat="1" applyFont="1" applyFill="1" applyBorder="1" applyAlignment="1">
      <alignment horizontal="center" vertical="center"/>
    </xf>
    <xf numFmtId="167" fontId="12" fillId="34" borderId="0" xfId="60" applyNumberFormat="1" applyFont="1" applyFill="1" applyBorder="1" applyAlignment="1">
      <alignment horizontal="center" vertical="center"/>
      <protection/>
    </xf>
    <xf numFmtId="167" fontId="12" fillId="0" borderId="33" xfId="60" applyNumberFormat="1" applyFont="1" applyFill="1" applyBorder="1" applyAlignment="1">
      <alignment horizontal="center" vertical="center"/>
      <protection/>
    </xf>
    <xf numFmtId="0" fontId="12" fillId="0" borderId="39" xfId="60" applyFont="1" applyFill="1" applyBorder="1" applyAlignment="1">
      <alignment horizontal="center" vertical="center"/>
      <protection/>
    </xf>
    <xf numFmtId="0" fontId="94" fillId="0" borderId="39" xfId="60" applyFont="1" applyFill="1" applyBorder="1" applyAlignment="1">
      <alignment horizontal="center" vertical="center"/>
      <protection/>
    </xf>
    <xf numFmtId="167" fontId="12" fillId="0" borderId="40" xfId="60" applyNumberFormat="1" applyFont="1" applyFill="1" applyBorder="1" applyAlignment="1">
      <alignment horizontal="center" vertical="center"/>
      <protection/>
    </xf>
    <xf numFmtId="0" fontId="12" fillId="0" borderId="39" xfId="60" applyNumberFormat="1" applyFont="1" applyFill="1" applyBorder="1" applyAlignment="1" quotePrefix="1">
      <alignment horizontal="center" vertical="center"/>
      <protection/>
    </xf>
    <xf numFmtId="0" fontId="12" fillId="0" borderId="39" xfId="60" applyFont="1" applyFill="1" applyBorder="1" applyAlignment="1">
      <alignment horizontal="justify" vertical="top" wrapText="1"/>
      <protection/>
    </xf>
    <xf numFmtId="43" fontId="94" fillId="0" borderId="0" xfId="0" applyNumberFormat="1" applyFont="1" applyAlignment="1">
      <alignment horizontal="center" vertical="center"/>
    </xf>
    <xf numFmtId="167" fontId="21" fillId="0" borderId="0" xfId="60" applyNumberFormat="1" applyFont="1" applyBorder="1" applyAlignment="1">
      <alignment horizontal="center" vertical="center"/>
      <protection/>
    </xf>
    <xf numFmtId="169" fontId="12" fillId="0" borderId="39" xfId="60" applyNumberFormat="1" applyFont="1" applyBorder="1" applyAlignment="1">
      <alignment horizontal="center" vertical="center"/>
      <protection/>
    </xf>
    <xf numFmtId="167" fontId="94" fillId="0" borderId="39" xfId="60" applyNumberFormat="1" applyFont="1" applyFill="1" applyBorder="1" applyAlignment="1">
      <alignment horizontal="center" vertical="center"/>
      <protection/>
    </xf>
    <xf numFmtId="167" fontId="21" fillId="0" borderId="40" xfId="60" applyNumberFormat="1" applyFont="1" applyFill="1" applyBorder="1" applyAlignment="1">
      <alignment horizontal="center" vertical="center"/>
      <protection/>
    </xf>
    <xf numFmtId="167" fontId="21" fillId="42" borderId="0" xfId="60" applyNumberFormat="1" applyFont="1" applyFill="1" applyBorder="1" applyAlignment="1">
      <alignment horizontal="center" vertical="center"/>
      <protection/>
    </xf>
    <xf numFmtId="167" fontId="12" fillId="0" borderId="48" xfId="58" applyNumberFormat="1" applyFont="1" applyFill="1" applyBorder="1" applyAlignment="1">
      <alignment vertical="center"/>
      <protection/>
    </xf>
    <xf numFmtId="167" fontId="12" fillId="0" borderId="46" xfId="58" applyNumberFormat="1" applyFont="1" applyFill="1" applyBorder="1" applyAlignment="1">
      <alignment vertical="center"/>
      <protection/>
    </xf>
    <xf numFmtId="10" fontId="12" fillId="0" borderId="39" xfId="65" applyNumberFormat="1" applyFont="1" applyFill="1" applyBorder="1" applyAlignment="1">
      <alignment vertical="center"/>
    </xf>
    <xf numFmtId="167" fontId="12" fillId="0" borderId="40" xfId="58" applyNumberFormat="1" applyFont="1" applyBorder="1" applyAlignment="1">
      <alignment horizontal="center" vertical="center"/>
      <protection/>
    </xf>
    <xf numFmtId="167" fontId="12" fillId="0" borderId="0" xfId="58" applyNumberFormat="1" applyFont="1" applyBorder="1" applyAlignment="1">
      <alignment horizontal="center" vertical="center"/>
      <protection/>
    </xf>
    <xf numFmtId="167" fontId="12" fillId="8" borderId="41" xfId="60" applyNumberFormat="1" applyFont="1" applyFill="1" applyBorder="1" applyAlignment="1" quotePrefix="1">
      <alignment horizontal="center" vertical="center"/>
      <protection/>
    </xf>
    <xf numFmtId="167" fontId="12" fillId="8" borderId="42" xfId="60" applyNumberFormat="1" applyFont="1" applyFill="1" applyBorder="1" applyAlignment="1" quotePrefix="1">
      <alignment horizontal="center" vertical="center"/>
      <protection/>
    </xf>
    <xf numFmtId="167" fontId="21" fillId="8" borderId="43" xfId="61" applyNumberFormat="1" applyFont="1" applyFill="1" applyBorder="1" applyAlignment="1">
      <alignment horizontal="center" vertical="center"/>
      <protection/>
    </xf>
    <xf numFmtId="167" fontId="21" fillId="42" borderId="0" xfId="61" applyNumberFormat="1" applyFont="1" applyFill="1" applyBorder="1" applyAlignment="1">
      <alignment horizontal="center" vertical="center"/>
      <protection/>
    </xf>
    <xf numFmtId="167" fontId="12" fillId="0" borderId="0" xfId="60" applyNumberFormat="1" applyFont="1" applyFill="1" applyBorder="1" applyAlignment="1" quotePrefix="1">
      <alignment horizontal="center" vertical="center"/>
      <protection/>
    </xf>
    <xf numFmtId="167" fontId="21" fillId="0" borderId="0" xfId="60" applyNumberFormat="1" applyFont="1" applyFill="1" applyBorder="1" applyAlignment="1">
      <alignment horizontal="left" vertical="center"/>
      <protection/>
    </xf>
    <xf numFmtId="167" fontId="21" fillId="0" borderId="0" xfId="61" applyNumberFormat="1" applyFont="1" applyFill="1" applyBorder="1" applyAlignment="1">
      <alignment horizontal="center" vertical="center"/>
      <protection/>
    </xf>
    <xf numFmtId="0" fontId="94" fillId="35" borderId="44" xfId="0" applyFont="1" applyFill="1" applyBorder="1" applyAlignment="1">
      <alignment/>
    </xf>
    <xf numFmtId="0" fontId="94" fillId="35" borderId="0" xfId="0" applyFont="1" applyFill="1" applyBorder="1" applyAlignment="1">
      <alignment/>
    </xf>
    <xf numFmtId="0" fontId="94" fillId="35" borderId="38" xfId="0" applyFont="1" applyFill="1" applyBorder="1" applyAlignment="1">
      <alignment/>
    </xf>
    <xf numFmtId="0" fontId="12" fillId="0" borderId="39" xfId="60" applyNumberFormat="1" applyFont="1" applyFill="1" applyBorder="1" applyAlignment="1">
      <alignment horizontal="center" vertical="center"/>
      <protection/>
    </xf>
    <xf numFmtId="169" fontId="12" fillId="0" borderId="39" xfId="60" applyNumberFormat="1" applyFont="1" applyFill="1" applyBorder="1" applyAlignment="1">
      <alignment horizontal="center" vertical="center"/>
      <protection/>
    </xf>
    <xf numFmtId="167" fontId="12" fillId="0" borderId="40" xfId="58" applyNumberFormat="1" applyFont="1" applyFill="1" applyBorder="1" applyAlignment="1">
      <alignment horizontal="center" vertical="center"/>
      <protection/>
    </xf>
    <xf numFmtId="0" fontId="12" fillId="0" borderId="34" xfId="60" applyNumberFormat="1" applyFont="1" applyFill="1" applyBorder="1" applyAlignment="1">
      <alignment horizontal="center" vertical="center"/>
      <protection/>
    </xf>
    <xf numFmtId="49" fontId="12" fillId="0" borderId="55" xfId="60" applyNumberFormat="1" applyFont="1" applyFill="1" applyBorder="1" applyAlignment="1">
      <alignment horizontal="center" vertical="center"/>
      <protection/>
    </xf>
    <xf numFmtId="0" fontId="12" fillId="0" borderId="55" xfId="60" applyFont="1" applyFill="1" applyBorder="1" applyAlignment="1">
      <alignment horizontal="justify" vertical="center"/>
      <protection/>
    </xf>
    <xf numFmtId="167" fontId="12" fillId="0" borderId="55" xfId="60" applyNumberFormat="1" applyFont="1" applyFill="1" applyBorder="1" applyAlignment="1">
      <alignment horizontal="center" vertical="center"/>
      <protection/>
    </xf>
    <xf numFmtId="168" fontId="12" fillId="0" borderId="55" xfId="60" applyNumberFormat="1" applyFont="1" applyFill="1" applyBorder="1" applyAlignment="1">
      <alignment horizontal="center" vertical="center"/>
      <protection/>
    </xf>
    <xf numFmtId="167" fontId="94" fillId="0" borderId="55" xfId="75" applyNumberFormat="1" applyFont="1" applyFill="1" applyBorder="1" applyAlignment="1">
      <alignment horizontal="center" vertical="center"/>
    </xf>
    <xf numFmtId="0" fontId="12" fillId="0" borderId="55" xfId="60" applyNumberFormat="1" applyFont="1" applyFill="1" applyBorder="1" applyAlignment="1" quotePrefix="1">
      <alignment horizontal="center" vertical="center"/>
      <protection/>
    </xf>
    <xf numFmtId="0" fontId="12" fillId="0" borderId="55" xfId="60" applyFont="1" applyFill="1" applyBorder="1" applyAlignment="1">
      <alignment horizontal="justify" vertical="top" wrapText="1"/>
      <protection/>
    </xf>
    <xf numFmtId="0" fontId="12" fillId="0" borderId="39" xfId="60" applyFont="1" applyFill="1" applyBorder="1" applyAlignment="1">
      <alignment horizontal="justify" vertical="top"/>
      <protection/>
    </xf>
    <xf numFmtId="167" fontId="21" fillId="43" borderId="56" xfId="60" applyNumberFormat="1" applyFont="1" applyFill="1" applyBorder="1" applyAlignment="1">
      <alignment horizontal="center" vertical="center" wrapText="1"/>
      <protection/>
    </xf>
    <xf numFmtId="167" fontId="23" fillId="0" borderId="33" xfId="60" applyNumberFormat="1" applyFont="1" applyBorder="1" applyAlignment="1">
      <alignment horizontal="center" vertical="center"/>
      <protection/>
    </xf>
    <xf numFmtId="167" fontId="23" fillId="0" borderId="39" xfId="60" applyNumberFormat="1" applyFont="1" applyBorder="1" applyAlignment="1">
      <alignment horizontal="center" vertical="center"/>
      <protection/>
    </xf>
    <xf numFmtId="167" fontId="23" fillId="0" borderId="40" xfId="60" applyNumberFormat="1" applyFont="1" applyBorder="1" applyAlignment="1">
      <alignment horizontal="center" vertical="center"/>
      <protection/>
    </xf>
    <xf numFmtId="167" fontId="23" fillId="0" borderId="39" xfId="60" applyNumberFormat="1" applyFont="1" applyFill="1" applyBorder="1" applyAlignment="1">
      <alignment horizontal="center" vertical="center"/>
      <protection/>
    </xf>
    <xf numFmtId="169" fontId="23" fillId="0" borderId="39" xfId="60" applyNumberFormat="1" applyFont="1" applyBorder="1" applyAlignment="1">
      <alignment horizontal="center" vertical="center"/>
      <protection/>
    </xf>
    <xf numFmtId="167" fontId="96" fillId="0" borderId="39" xfId="60" applyNumberFormat="1" applyFont="1" applyFill="1" applyBorder="1" applyAlignment="1">
      <alignment horizontal="center" vertical="center"/>
      <protection/>
    </xf>
    <xf numFmtId="167" fontId="22" fillId="0" borderId="40" xfId="60" applyNumberFormat="1" applyFont="1" applyFill="1" applyBorder="1" applyAlignment="1">
      <alignment horizontal="center" vertical="center"/>
      <protection/>
    </xf>
    <xf numFmtId="167" fontId="23" fillId="0" borderId="48" xfId="58" applyNumberFormat="1" applyFont="1" applyFill="1" applyBorder="1" applyAlignment="1">
      <alignment vertical="center"/>
      <protection/>
    </xf>
    <xf numFmtId="167" fontId="23" fillId="0" borderId="46" xfId="58" applyNumberFormat="1" applyFont="1" applyFill="1" applyBorder="1" applyAlignment="1">
      <alignment vertical="center"/>
      <protection/>
    </xf>
    <xf numFmtId="10" fontId="23" fillId="0" borderId="39" xfId="65" applyNumberFormat="1" applyFont="1" applyFill="1" applyBorder="1" applyAlignment="1">
      <alignment vertical="center"/>
    </xf>
    <xf numFmtId="167" fontId="23" fillId="0" borderId="40" xfId="58" applyNumberFormat="1" applyFont="1" applyBorder="1" applyAlignment="1">
      <alignment horizontal="center" vertical="center"/>
      <protection/>
    </xf>
    <xf numFmtId="167" fontId="23" fillId="8" borderId="41" xfId="60" applyNumberFormat="1" applyFont="1" applyFill="1" applyBorder="1" applyAlignment="1" quotePrefix="1">
      <alignment horizontal="center" vertical="center"/>
      <protection/>
    </xf>
    <xf numFmtId="167" fontId="23" fillId="8" borderId="42" xfId="60" applyNumberFormat="1" applyFont="1" applyFill="1" applyBorder="1" applyAlignment="1" quotePrefix="1">
      <alignment horizontal="center" vertical="center"/>
      <protection/>
    </xf>
    <xf numFmtId="167" fontId="22" fillId="8" borderId="43" xfId="61" applyNumberFormat="1" applyFont="1" applyFill="1" applyBorder="1" applyAlignment="1">
      <alignment horizontal="center" vertical="center"/>
      <protection/>
    </xf>
    <xf numFmtId="0" fontId="97" fillId="35" borderId="31" xfId="0" applyFont="1" applyFill="1" applyBorder="1" applyAlignment="1">
      <alignment/>
    </xf>
    <xf numFmtId="0" fontId="97" fillId="35" borderId="53" xfId="0" applyFont="1" applyFill="1" applyBorder="1" applyAlignment="1">
      <alignment/>
    </xf>
    <xf numFmtId="0" fontId="97" fillId="35" borderId="54" xfId="0" applyFont="1" applyFill="1" applyBorder="1" applyAlignment="1">
      <alignment/>
    </xf>
    <xf numFmtId="0" fontId="97" fillId="35" borderId="0" xfId="0" applyFont="1" applyFill="1" applyBorder="1" applyAlignment="1">
      <alignment horizontal="center" vertical="center"/>
    </xf>
    <xf numFmtId="0" fontId="97" fillId="0" borderId="0" xfId="0" applyFont="1" applyAlignment="1">
      <alignment horizontal="center" vertical="center"/>
    </xf>
    <xf numFmtId="0" fontId="97" fillId="0" borderId="0" xfId="0" applyFont="1" applyAlignment="1">
      <alignment/>
    </xf>
    <xf numFmtId="0" fontId="98" fillId="35" borderId="0" xfId="0" applyFont="1" applyFill="1" applyBorder="1" applyAlignment="1">
      <alignment horizontal="center" vertical="center"/>
    </xf>
    <xf numFmtId="167" fontId="24" fillId="40" borderId="0" xfId="60" applyNumberFormat="1" applyFont="1" applyFill="1" applyBorder="1" applyAlignment="1">
      <alignment horizontal="center" vertical="center" wrapText="1"/>
      <protection/>
    </xf>
    <xf numFmtId="0" fontId="24" fillId="41" borderId="0" xfId="54" applyFont="1" applyFill="1" applyBorder="1" applyAlignment="1">
      <alignment horizontal="center" vertical="center"/>
      <protection/>
    </xf>
    <xf numFmtId="167" fontId="97" fillId="0" borderId="0" xfId="0" applyNumberFormat="1" applyFont="1" applyAlignment="1">
      <alignment vertical="center"/>
    </xf>
    <xf numFmtId="0" fontId="97" fillId="0" borderId="0" xfId="0" applyFont="1" applyAlignment="1">
      <alignment vertical="center"/>
    </xf>
    <xf numFmtId="167" fontId="25" fillId="0" borderId="33" xfId="60" applyNumberFormat="1" applyFont="1" applyBorder="1" applyAlignment="1">
      <alignment horizontal="center" vertical="center"/>
      <protection/>
    </xf>
    <xf numFmtId="167" fontId="25" fillId="0" borderId="39" xfId="60" applyNumberFormat="1" applyFont="1" applyBorder="1" applyAlignment="1">
      <alignment horizontal="center" vertical="center"/>
      <protection/>
    </xf>
    <xf numFmtId="167" fontId="25" fillId="0" borderId="40" xfId="60" applyNumberFormat="1" applyFont="1" applyBorder="1" applyAlignment="1">
      <alignment horizontal="center" vertical="center"/>
      <protection/>
    </xf>
    <xf numFmtId="167" fontId="25" fillId="0" borderId="0" xfId="60" applyNumberFormat="1" applyFont="1" applyBorder="1" applyAlignment="1">
      <alignment horizontal="center" vertical="center"/>
      <protection/>
    </xf>
    <xf numFmtId="0" fontId="25" fillId="0" borderId="33" xfId="60" applyNumberFormat="1" applyFont="1" applyFill="1" applyBorder="1" applyAlignment="1">
      <alignment horizontal="center" vertical="center"/>
      <protection/>
    </xf>
    <xf numFmtId="49" fontId="25" fillId="0" borderId="39" xfId="60" applyNumberFormat="1" applyFont="1" applyFill="1" applyBorder="1" applyAlignment="1">
      <alignment horizontal="center" vertical="center"/>
      <protection/>
    </xf>
    <xf numFmtId="0" fontId="25" fillId="0" borderId="39" xfId="60" applyFont="1" applyFill="1" applyBorder="1" applyAlignment="1">
      <alignment horizontal="justify" vertical="center"/>
      <protection/>
    </xf>
    <xf numFmtId="167" fontId="25" fillId="0" borderId="39" xfId="60" applyNumberFormat="1" applyFont="1" applyFill="1" applyBorder="1" applyAlignment="1">
      <alignment horizontal="center" vertical="center"/>
      <protection/>
    </xf>
    <xf numFmtId="168" fontId="25" fillId="0" borderId="39" xfId="60" applyNumberFormat="1" applyFont="1" applyFill="1" applyBorder="1" applyAlignment="1">
      <alignment horizontal="center" vertical="center"/>
      <protection/>
    </xf>
    <xf numFmtId="167" fontId="97" fillId="0" borderId="39" xfId="75" applyNumberFormat="1" applyFont="1" applyFill="1" applyBorder="1" applyAlignment="1">
      <alignment horizontal="center" vertical="center"/>
    </xf>
    <xf numFmtId="167" fontId="97" fillId="0" borderId="40" xfId="75" applyNumberFormat="1" applyFont="1" applyFill="1" applyBorder="1" applyAlignment="1">
      <alignment horizontal="center" vertical="center"/>
    </xf>
    <xf numFmtId="169" fontId="97" fillId="0" borderId="0" xfId="75" applyNumberFormat="1" applyFont="1" applyFill="1" applyBorder="1" applyAlignment="1">
      <alignment horizontal="center" vertical="center"/>
    </xf>
    <xf numFmtId="0" fontId="25" fillId="0" borderId="34" xfId="60" applyNumberFormat="1" applyFont="1" applyFill="1" applyBorder="1" applyAlignment="1">
      <alignment horizontal="center" vertical="center"/>
      <protection/>
    </xf>
    <xf numFmtId="0" fontId="25" fillId="0" borderId="55" xfId="60" applyNumberFormat="1" applyFont="1" applyFill="1" applyBorder="1" applyAlignment="1" quotePrefix="1">
      <alignment horizontal="center" vertical="center"/>
      <protection/>
    </xf>
    <xf numFmtId="0" fontId="25" fillId="0" borderId="55" xfId="60" applyFont="1" applyFill="1" applyBorder="1" applyAlignment="1">
      <alignment horizontal="justify" vertical="center"/>
      <protection/>
    </xf>
    <xf numFmtId="167" fontId="25" fillId="0" borderId="55" xfId="60" applyNumberFormat="1" applyFont="1" applyFill="1" applyBorder="1" applyAlignment="1">
      <alignment horizontal="center" vertical="center"/>
      <protection/>
    </xf>
    <xf numFmtId="168" fontId="25" fillId="0" borderId="55" xfId="60" applyNumberFormat="1" applyFont="1" applyFill="1" applyBorder="1" applyAlignment="1">
      <alignment horizontal="center" vertical="center"/>
      <protection/>
    </xf>
    <xf numFmtId="167" fontId="97" fillId="0" borderId="55" xfId="75" applyNumberFormat="1" applyFont="1" applyFill="1" applyBorder="1" applyAlignment="1">
      <alignment horizontal="center" vertical="center"/>
    </xf>
    <xf numFmtId="167" fontId="25" fillId="34" borderId="0" xfId="60" applyNumberFormat="1" applyFont="1" applyFill="1" applyBorder="1" applyAlignment="1">
      <alignment horizontal="center" vertical="center"/>
      <protection/>
    </xf>
    <xf numFmtId="167" fontId="25" fillId="0" borderId="0" xfId="60" applyNumberFormat="1" applyFont="1" applyFill="1" applyBorder="1" applyAlignment="1">
      <alignment horizontal="center" vertical="center"/>
      <protection/>
    </xf>
    <xf numFmtId="0" fontId="25" fillId="0" borderId="39" xfId="60" applyNumberFormat="1" applyFont="1" applyFill="1" applyBorder="1" applyAlignment="1" quotePrefix="1">
      <alignment horizontal="center" vertical="center"/>
      <protection/>
    </xf>
    <xf numFmtId="0" fontId="25" fillId="0" borderId="39" xfId="60" applyFont="1" applyFill="1" applyBorder="1" applyAlignment="1">
      <alignment horizontal="justify" vertical="top" wrapText="1"/>
      <protection/>
    </xf>
    <xf numFmtId="0" fontId="25" fillId="0" borderId="55" xfId="60" applyFont="1" applyFill="1" applyBorder="1" applyAlignment="1">
      <alignment horizontal="justify" vertical="top" wrapText="1"/>
      <protection/>
    </xf>
    <xf numFmtId="0" fontId="25" fillId="0" borderId="33" xfId="60" applyNumberFormat="1" applyFont="1" applyBorder="1" applyAlignment="1">
      <alignment horizontal="center" vertical="center"/>
      <protection/>
    </xf>
    <xf numFmtId="0" fontId="25" fillId="0" borderId="39" xfId="60" applyNumberFormat="1" applyFont="1" applyBorder="1" applyAlignment="1">
      <alignment horizontal="center" vertical="center"/>
      <protection/>
    </xf>
    <xf numFmtId="0" fontId="25" fillId="0" borderId="39" xfId="60" applyFont="1" applyBorder="1" applyAlignment="1">
      <alignment horizontal="justify" vertical="center"/>
      <protection/>
    </xf>
    <xf numFmtId="167" fontId="97" fillId="0" borderId="39" xfId="75" applyNumberFormat="1" applyFont="1" applyBorder="1" applyAlignment="1">
      <alignment horizontal="center" vertical="center"/>
    </xf>
    <xf numFmtId="0" fontId="25" fillId="0" borderId="39" xfId="60" applyFont="1" applyBorder="1" applyAlignment="1">
      <alignment horizontal="justify" vertical="center" wrapText="1"/>
      <protection/>
    </xf>
    <xf numFmtId="0" fontId="25" fillId="0" borderId="34" xfId="60" applyNumberFormat="1" applyFont="1" applyBorder="1" applyAlignment="1">
      <alignment horizontal="center" vertical="center"/>
      <protection/>
    </xf>
    <xf numFmtId="0" fontId="25" fillId="0" borderId="55" xfId="60" applyNumberFormat="1" applyFont="1" applyBorder="1" applyAlignment="1">
      <alignment horizontal="center" vertical="center"/>
      <protection/>
    </xf>
    <xf numFmtId="0" fontId="25" fillId="0" borderId="55" xfId="60" applyFont="1" applyBorder="1" applyAlignment="1">
      <alignment horizontal="justify" vertical="center" wrapText="1"/>
      <protection/>
    </xf>
    <xf numFmtId="167" fontId="25" fillId="0" borderId="55" xfId="60" applyNumberFormat="1" applyFont="1" applyBorder="1" applyAlignment="1">
      <alignment horizontal="center" vertical="center"/>
      <protection/>
    </xf>
    <xf numFmtId="167" fontId="97" fillId="0" borderId="55" xfId="75" applyNumberFormat="1" applyFont="1" applyBorder="1" applyAlignment="1">
      <alignment horizontal="center" vertical="center"/>
    </xf>
    <xf numFmtId="167" fontId="24" fillId="0" borderId="0" xfId="60" applyNumberFormat="1" applyFont="1" applyBorder="1" applyAlignment="1">
      <alignment horizontal="center" vertical="center"/>
      <protection/>
    </xf>
    <xf numFmtId="169" fontId="25" fillId="0" borderId="39" xfId="60" applyNumberFormat="1" applyFont="1" applyBorder="1" applyAlignment="1">
      <alignment horizontal="center" vertical="center"/>
      <protection/>
    </xf>
    <xf numFmtId="167" fontId="97" fillId="0" borderId="39" xfId="60" applyNumberFormat="1" applyFont="1" applyFill="1" applyBorder="1" applyAlignment="1">
      <alignment horizontal="center" vertical="center"/>
      <protection/>
    </xf>
    <xf numFmtId="167" fontId="24" fillId="0" borderId="40" xfId="60" applyNumberFormat="1" applyFont="1" applyFill="1" applyBorder="1" applyAlignment="1">
      <alignment horizontal="center" vertical="center"/>
      <protection/>
    </xf>
    <xf numFmtId="167" fontId="24" fillId="42" borderId="0" xfId="60" applyNumberFormat="1" applyFont="1" applyFill="1" applyBorder="1" applyAlignment="1">
      <alignment horizontal="center" vertical="center"/>
      <protection/>
    </xf>
    <xf numFmtId="167" fontId="25" fillId="0" borderId="48" xfId="58" applyNumberFormat="1" applyFont="1" applyFill="1" applyBorder="1" applyAlignment="1">
      <alignment vertical="center"/>
      <protection/>
    </xf>
    <xf numFmtId="167" fontId="25" fillId="0" borderId="46" xfId="58" applyNumberFormat="1" applyFont="1" applyFill="1" applyBorder="1" applyAlignment="1">
      <alignment vertical="center"/>
      <protection/>
    </xf>
    <xf numFmtId="10" fontId="25" fillId="0" borderId="39" xfId="65" applyNumberFormat="1" applyFont="1" applyFill="1" applyBorder="1" applyAlignment="1">
      <alignment vertical="center"/>
    </xf>
    <xf numFmtId="167" fontId="25" fillId="0" borderId="40" xfId="58" applyNumberFormat="1" applyFont="1" applyBorder="1" applyAlignment="1">
      <alignment horizontal="center" vertical="center"/>
      <protection/>
    </xf>
    <xf numFmtId="167" fontId="25" fillId="0" borderId="0" xfId="58" applyNumberFormat="1" applyFont="1" applyBorder="1" applyAlignment="1">
      <alignment horizontal="center" vertical="center"/>
      <protection/>
    </xf>
    <xf numFmtId="167" fontId="25" fillId="8" borderId="41" xfId="60" applyNumberFormat="1" applyFont="1" applyFill="1" applyBorder="1" applyAlignment="1" quotePrefix="1">
      <alignment horizontal="center" vertical="center"/>
      <protection/>
    </xf>
    <xf numFmtId="167" fontId="25" fillId="8" borderId="42" xfId="60" applyNumberFormat="1" applyFont="1" applyFill="1" applyBorder="1" applyAlignment="1" quotePrefix="1">
      <alignment horizontal="center" vertical="center"/>
      <protection/>
    </xf>
    <xf numFmtId="167" fontId="24" fillId="8" borderId="43" xfId="61" applyNumberFormat="1" applyFont="1" applyFill="1" applyBorder="1" applyAlignment="1">
      <alignment horizontal="center" vertical="center"/>
      <protection/>
    </xf>
    <xf numFmtId="167" fontId="24" fillId="42" borderId="0" xfId="61" applyNumberFormat="1" applyFont="1" applyFill="1" applyBorder="1" applyAlignment="1">
      <alignment horizontal="center" vertical="center"/>
      <protection/>
    </xf>
    <xf numFmtId="167" fontId="25" fillId="0" borderId="0" xfId="60" applyNumberFormat="1" applyFont="1" applyFill="1" applyBorder="1" applyAlignment="1" quotePrefix="1">
      <alignment horizontal="center" vertical="center"/>
      <protection/>
    </xf>
    <xf numFmtId="167" fontId="24" fillId="0" borderId="0" xfId="60" applyNumberFormat="1" applyFont="1" applyFill="1" applyBorder="1" applyAlignment="1">
      <alignment horizontal="left" vertical="center"/>
      <protection/>
    </xf>
    <xf numFmtId="167" fontId="24" fillId="0" borderId="0" xfId="61" applyNumberFormat="1" applyFont="1" applyFill="1" applyBorder="1" applyAlignment="1">
      <alignment horizontal="center" vertical="center"/>
      <protection/>
    </xf>
    <xf numFmtId="167" fontId="24" fillId="43" borderId="56" xfId="60" applyNumberFormat="1" applyFont="1" applyFill="1" applyBorder="1" applyAlignment="1">
      <alignment horizontal="center" vertical="center" wrapText="1"/>
      <protection/>
    </xf>
    <xf numFmtId="0" fontId="97" fillId="35" borderId="44" xfId="0" applyFont="1" applyFill="1" applyBorder="1" applyAlignment="1">
      <alignment/>
    </xf>
    <xf numFmtId="0" fontId="97" fillId="35" borderId="0" xfId="0" applyFont="1" applyFill="1" applyBorder="1" applyAlignment="1">
      <alignment/>
    </xf>
    <xf numFmtId="0" fontId="97" fillId="35" borderId="38" xfId="0" applyFont="1" applyFill="1" applyBorder="1" applyAlignment="1">
      <alignment/>
    </xf>
    <xf numFmtId="167" fontId="12" fillId="34" borderId="33" xfId="60" applyNumberFormat="1" applyFont="1" applyFill="1" applyBorder="1" applyAlignment="1">
      <alignment horizontal="center" vertical="center"/>
      <protection/>
    </xf>
    <xf numFmtId="167" fontId="12" fillId="34" borderId="39" xfId="60" applyNumberFormat="1" applyFont="1" applyFill="1" applyBorder="1" applyAlignment="1">
      <alignment horizontal="center" vertical="center"/>
      <protection/>
    </xf>
    <xf numFmtId="0" fontId="12" fillId="34" borderId="39" xfId="60" applyFont="1" applyFill="1" applyBorder="1" applyAlignment="1">
      <alignment horizontal="center" vertical="center"/>
      <protection/>
    </xf>
    <xf numFmtId="0" fontId="94" fillId="34" borderId="39" xfId="60" applyFont="1" applyFill="1" applyBorder="1" applyAlignment="1">
      <alignment horizontal="center" vertical="center"/>
      <protection/>
    </xf>
    <xf numFmtId="167" fontId="12" fillId="34" borderId="40" xfId="60" applyNumberFormat="1" applyFont="1" applyFill="1" applyBorder="1" applyAlignment="1">
      <alignment horizontal="center" vertical="center"/>
      <protection/>
    </xf>
    <xf numFmtId="167" fontId="25" fillId="34" borderId="33" xfId="60" applyNumberFormat="1" applyFont="1" applyFill="1" applyBorder="1" applyAlignment="1">
      <alignment horizontal="center" vertical="center"/>
      <protection/>
    </xf>
    <xf numFmtId="167" fontId="25" fillId="34" borderId="39" xfId="60" applyNumberFormat="1" applyFont="1" applyFill="1" applyBorder="1" applyAlignment="1">
      <alignment horizontal="center" vertical="center"/>
      <protection/>
    </xf>
    <xf numFmtId="0" fontId="25" fillId="34" borderId="39" xfId="60" applyFont="1" applyFill="1" applyBorder="1" applyAlignment="1">
      <alignment horizontal="center" vertical="center"/>
      <protection/>
    </xf>
    <xf numFmtId="0" fontId="97" fillId="34" borderId="39" xfId="60" applyFont="1" applyFill="1" applyBorder="1" applyAlignment="1">
      <alignment horizontal="center" vertical="center"/>
      <protection/>
    </xf>
    <xf numFmtId="167" fontId="25" fillId="34" borderId="40" xfId="60" applyNumberFormat="1" applyFont="1" applyFill="1" applyBorder="1" applyAlignment="1">
      <alignment horizontal="center" vertical="center"/>
      <protection/>
    </xf>
    <xf numFmtId="167" fontId="24" fillId="0" borderId="39" xfId="60" applyNumberFormat="1" applyFont="1" applyFill="1" applyBorder="1" applyAlignment="1">
      <alignment vertical="center"/>
      <protection/>
    </xf>
    <xf numFmtId="0" fontId="12" fillId="35" borderId="31" xfId="54" applyFont="1" applyFill="1" applyBorder="1" applyAlignment="1">
      <alignment vertical="center"/>
      <protection/>
    </xf>
    <xf numFmtId="0" fontId="12" fillId="0" borderId="0" xfId="54" applyFont="1" applyAlignment="1">
      <alignment vertical="center"/>
      <protection/>
    </xf>
    <xf numFmtId="0" fontId="12" fillId="35" borderId="32" xfId="54" applyFont="1" applyFill="1" applyBorder="1" applyAlignment="1">
      <alignment vertical="center"/>
      <protection/>
    </xf>
    <xf numFmtId="0" fontId="99" fillId="33" borderId="0" xfId="0" applyFont="1" applyFill="1" applyAlignment="1">
      <alignment vertical="center"/>
    </xf>
    <xf numFmtId="0" fontId="99" fillId="33" borderId="33" xfId="0" applyFont="1" applyFill="1" applyBorder="1" applyAlignment="1">
      <alignment horizontal="center" vertical="center"/>
    </xf>
    <xf numFmtId="0" fontId="12" fillId="0" borderId="10" xfId="0" applyFont="1" applyFill="1" applyBorder="1" applyAlignment="1">
      <alignment horizontal="center" vertical="center"/>
    </xf>
    <xf numFmtId="4" fontId="12" fillId="0" borderId="10" xfId="0" applyNumberFormat="1" applyFont="1" applyFill="1" applyBorder="1" applyAlignment="1">
      <alignment horizontal="right" vertical="center"/>
    </xf>
    <xf numFmtId="0" fontId="12" fillId="0" borderId="11" xfId="0" applyFont="1" applyFill="1" applyBorder="1" applyAlignment="1">
      <alignment vertical="center"/>
    </xf>
    <xf numFmtId="4" fontId="12" fillId="0" borderId="12" xfId="0" applyNumberFormat="1" applyFont="1" applyFill="1" applyBorder="1" applyAlignment="1">
      <alignment horizontal="right" vertical="center"/>
    </xf>
    <xf numFmtId="0" fontId="99" fillId="33" borderId="33" xfId="0" applyFont="1" applyFill="1" applyBorder="1" applyAlignment="1">
      <alignment vertical="center"/>
    </xf>
    <xf numFmtId="0" fontId="12" fillId="0" borderId="26" xfId="0" applyFont="1" applyFill="1" applyBorder="1" applyAlignment="1">
      <alignment horizontal="center" vertical="center"/>
    </xf>
    <xf numFmtId="0" fontId="12" fillId="0" borderId="18" xfId="0" applyFont="1" applyFill="1" applyBorder="1" applyAlignment="1">
      <alignment horizontal="center" vertical="center"/>
    </xf>
    <xf numFmtId="4" fontId="12" fillId="0" borderId="18" xfId="0" applyNumberFormat="1" applyFont="1" applyFill="1" applyBorder="1" applyAlignment="1">
      <alignment horizontal="right" vertical="center"/>
    </xf>
    <xf numFmtId="0" fontId="12" fillId="0" borderId="17" xfId="0" applyFont="1" applyFill="1" applyBorder="1" applyAlignment="1">
      <alignment vertical="center"/>
    </xf>
    <xf numFmtId="0" fontId="12" fillId="0" borderId="22" xfId="0" applyFont="1" applyFill="1" applyBorder="1" applyAlignment="1">
      <alignment vertical="top" wrapText="1"/>
    </xf>
    <xf numFmtId="0" fontId="99"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2" fontId="21" fillId="0" borderId="0" xfId="0" applyNumberFormat="1" applyFont="1" applyFill="1" applyBorder="1" applyAlignment="1">
      <alignment vertical="center"/>
    </xf>
    <xf numFmtId="0" fontId="12" fillId="0" borderId="0" xfId="0" applyFont="1" applyAlignment="1">
      <alignment vertical="center"/>
    </xf>
    <xf numFmtId="1" fontId="14" fillId="0" borderId="39" xfId="0" applyNumberFormat="1" applyFont="1" applyBorder="1" applyAlignment="1">
      <alignment horizontal="center"/>
    </xf>
    <xf numFmtId="0" fontId="14" fillId="0" borderId="39" xfId="0" applyFont="1" applyBorder="1" applyAlignment="1">
      <alignment horizontal="center"/>
    </xf>
    <xf numFmtId="0" fontId="12" fillId="11" borderId="39" xfId="0" applyFont="1" applyFill="1" applyBorder="1" applyAlignment="1">
      <alignment horizontal="center" vertical="center"/>
    </xf>
    <xf numFmtId="0" fontId="100" fillId="11" borderId="39" xfId="0" applyFont="1" applyFill="1" applyBorder="1" applyAlignment="1">
      <alignment horizontal="center" vertical="center"/>
    </xf>
    <xf numFmtId="0" fontId="12" fillId="0" borderId="39" xfId="0" applyFont="1" applyBorder="1" applyAlignment="1">
      <alignment horizontal="center"/>
    </xf>
    <xf numFmtId="44" fontId="12" fillId="0" borderId="39" xfId="0" applyNumberFormat="1" applyFont="1" applyBorder="1" applyAlignment="1">
      <alignment horizontal="center" vertical="center"/>
    </xf>
    <xf numFmtId="0" fontId="12" fillId="0" borderId="39" xfId="0" applyFont="1" applyBorder="1" applyAlignment="1">
      <alignment/>
    </xf>
    <xf numFmtId="44" fontId="12" fillId="35" borderId="39" xfId="0" applyNumberFormat="1" applyFont="1" applyFill="1" applyBorder="1" applyAlignment="1">
      <alignment horizontal="center" vertical="center"/>
    </xf>
    <xf numFmtId="0" fontId="12" fillId="35" borderId="39" xfId="0" applyFont="1" applyFill="1" applyBorder="1" applyAlignment="1">
      <alignment horizontal="center" vertical="center"/>
    </xf>
    <xf numFmtId="44" fontId="12" fillId="35" borderId="39" xfId="0" applyNumberFormat="1" applyFont="1" applyFill="1" applyBorder="1" applyAlignment="1">
      <alignment/>
    </xf>
    <xf numFmtId="44" fontId="100" fillId="35" borderId="39" xfId="0" applyNumberFormat="1" applyFont="1" applyFill="1" applyBorder="1" applyAlignment="1">
      <alignment horizontal="center" vertical="center"/>
    </xf>
    <xf numFmtId="44" fontId="100" fillId="35" borderId="39" xfId="0" applyNumberFormat="1" applyFont="1" applyFill="1" applyBorder="1" applyAlignment="1">
      <alignment/>
    </xf>
    <xf numFmtId="0" fontId="100" fillId="35" borderId="39" xfId="0" applyFont="1" applyFill="1" applyBorder="1" applyAlignment="1">
      <alignment/>
    </xf>
    <xf numFmtId="0" fontId="100" fillId="35" borderId="39" xfId="0" applyFont="1" applyFill="1" applyBorder="1" applyAlignment="1">
      <alignment horizontal="center" vertical="center"/>
    </xf>
    <xf numFmtId="0" fontId="12" fillId="35" borderId="39" xfId="0" applyFont="1" applyFill="1" applyBorder="1" applyAlignment="1">
      <alignment/>
    </xf>
    <xf numFmtId="0" fontId="100" fillId="35" borderId="39" xfId="0" applyFont="1" applyFill="1" applyBorder="1" applyAlignment="1">
      <alignment/>
    </xf>
    <xf numFmtId="0" fontId="100" fillId="35" borderId="39" xfId="0" applyFont="1" applyFill="1" applyBorder="1" applyAlignment="1">
      <alignment horizontal="center"/>
    </xf>
    <xf numFmtId="0" fontId="12" fillId="35" borderId="44" xfId="54" applyFont="1" applyFill="1" applyBorder="1" applyAlignment="1">
      <alignment vertical="center"/>
      <protection/>
    </xf>
    <xf numFmtId="0" fontId="12" fillId="0" borderId="39"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39" xfId="0" applyFont="1" applyFill="1" applyBorder="1" applyAlignment="1">
      <alignment horizontal="left" vertical="center" wrapText="1"/>
    </xf>
    <xf numFmtId="188" fontId="23" fillId="0" borderId="39" xfId="0" applyNumberFormat="1" applyFont="1" applyFill="1" applyBorder="1" applyAlignment="1">
      <alignment horizontal="right" vertical="center"/>
    </xf>
    <xf numFmtId="4" fontId="23" fillId="0" borderId="39" xfId="0" applyNumberFormat="1" applyFont="1" applyFill="1" applyBorder="1" applyAlignment="1">
      <alignment horizontal="right" vertical="center"/>
    </xf>
    <xf numFmtId="0" fontId="101" fillId="0" borderId="33"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2" xfId="0" applyFont="1" applyFill="1" applyBorder="1" applyAlignment="1">
      <alignment vertical="top" wrapText="1"/>
    </xf>
    <xf numFmtId="0" fontId="23" fillId="0" borderId="18" xfId="0" applyFont="1" applyFill="1" applyBorder="1" applyAlignment="1">
      <alignment horizontal="center" vertical="center"/>
    </xf>
    <xf numFmtId="168" fontId="23" fillId="0" borderId="18" xfId="0" applyNumberFormat="1" applyFont="1" applyFill="1" applyBorder="1" applyAlignment="1">
      <alignment horizontal="right" vertical="center"/>
    </xf>
    <xf numFmtId="4" fontId="23" fillId="0" borderId="18" xfId="0" applyNumberFormat="1" applyFont="1" applyFill="1" applyBorder="1" applyAlignment="1">
      <alignment horizontal="right" vertical="center"/>
    </xf>
    <xf numFmtId="4" fontId="23" fillId="0" borderId="12" xfId="0" applyNumberFormat="1" applyFont="1" applyFill="1" applyBorder="1" applyAlignment="1">
      <alignment horizontal="right" vertical="center"/>
    </xf>
    <xf numFmtId="0" fontId="23" fillId="0" borderId="22" xfId="0" applyFont="1" applyFill="1" applyBorder="1" applyAlignment="1">
      <alignment vertical="center" wrapText="1"/>
    </xf>
    <xf numFmtId="2" fontId="23" fillId="0" borderId="18" xfId="0" applyNumberFormat="1" applyFont="1" applyFill="1" applyBorder="1" applyAlignment="1">
      <alignment horizontal="right" vertical="center"/>
    </xf>
    <xf numFmtId="0" fontId="22" fillId="0" borderId="0" xfId="0" applyFont="1" applyAlignment="1">
      <alignment horizontal="center" vertical="center"/>
    </xf>
    <xf numFmtId="0" fontId="22" fillId="0" borderId="39" xfId="0" applyFont="1" applyBorder="1" applyAlignment="1">
      <alignment horizontal="center" vertical="center"/>
    </xf>
    <xf numFmtId="4" fontId="22" fillId="0" borderId="40" xfId="0" applyNumberFormat="1" applyFont="1" applyFill="1" applyBorder="1" applyAlignment="1">
      <alignment vertical="center"/>
    </xf>
    <xf numFmtId="190" fontId="12" fillId="0" borderId="18" xfId="0" applyNumberFormat="1" applyFont="1" applyFill="1" applyBorder="1" applyAlignment="1">
      <alignment horizontal="right" vertical="center"/>
    </xf>
    <xf numFmtId="0" fontId="12" fillId="0" borderId="22" xfId="0" applyFont="1" applyFill="1" applyBorder="1" applyAlignment="1">
      <alignment vertical="center"/>
    </xf>
    <xf numFmtId="190" fontId="12" fillId="0" borderId="10" xfId="0" applyNumberFormat="1" applyFont="1" applyFill="1" applyBorder="1" applyAlignment="1">
      <alignment horizontal="right" vertical="center"/>
    </xf>
    <xf numFmtId="2" fontId="12" fillId="0" borderId="10" xfId="0" applyNumberFormat="1" applyFont="1" applyFill="1" applyBorder="1" applyAlignment="1">
      <alignment horizontal="right" vertical="center"/>
    </xf>
    <xf numFmtId="0" fontId="102" fillId="0" borderId="39" xfId="0" applyFont="1" applyBorder="1" applyAlignment="1">
      <alignment horizontal="center" vertical="top"/>
    </xf>
    <xf numFmtId="0" fontId="12" fillId="0" borderId="11" xfId="0" applyFont="1" applyFill="1" applyBorder="1" applyAlignment="1">
      <alignment vertical="center" wrapText="1"/>
    </xf>
    <xf numFmtId="0" fontId="12" fillId="0" borderId="57" xfId="0" applyFont="1" applyFill="1" applyBorder="1" applyAlignment="1">
      <alignment horizontal="center" vertical="center"/>
    </xf>
    <xf numFmtId="0" fontId="12" fillId="0" borderId="39" xfId="0" applyFont="1" applyFill="1" applyBorder="1" applyAlignment="1">
      <alignment vertical="center"/>
    </xf>
    <xf numFmtId="0" fontId="12" fillId="0" borderId="25" xfId="0" applyFont="1" applyFill="1" applyBorder="1" applyAlignment="1">
      <alignment vertical="center"/>
    </xf>
    <xf numFmtId="167" fontId="12" fillId="0" borderId="44" xfId="60" applyNumberFormat="1" applyFont="1" applyFill="1" applyBorder="1" applyAlignment="1" quotePrefix="1">
      <alignment horizontal="center" vertical="center"/>
      <protection/>
    </xf>
    <xf numFmtId="167" fontId="21" fillId="0" borderId="38" xfId="61" applyNumberFormat="1" applyFont="1" applyFill="1" applyBorder="1" applyAlignment="1">
      <alignment horizontal="center" vertical="center"/>
      <protection/>
    </xf>
    <xf numFmtId="0" fontId="94" fillId="0" borderId="44" xfId="0" applyFont="1" applyBorder="1" applyAlignment="1">
      <alignment/>
    </xf>
    <xf numFmtId="0" fontId="94" fillId="0" borderId="0" xfId="0" applyFont="1" applyBorder="1" applyAlignment="1">
      <alignment/>
    </xf>
    <xf numFmtId="0" fontId="94" fillId="0" borderId="38" xfId="0" applyFont="1" applyBorder="1" applyAlignment="1">
      <alignment/>
    </xf>
    <xf numFmtId="0" fontId="12" fillId="0" borderId="39" xfId="0" applyFont="1" applyBorder="1" applyAlignment="1">
      <alignment horizontal="center" vertical="center"/>
    </xf>
    <xf numFmtId="0" fontId="12" fillId="0" borderId="47" xfId="0" applyFont="1" applyBorder="1" applyAlignment="1">
      <alignment horizontal="center"/>
    </xf>
    <xf numFmtId="0" fontId="99" fillId="0" borderId="40" xfId="0" applyFont="1" applyBorder="1" applyAlignment="1">
      <alignment horizontal="center" vertical="top"/>
    </xf>
    <xf numFmtId="1" fontId="12" fillId="0" borderId="39" xfId="0" applyNumberFormat="1" applyFont="1" applyBorder="1" applyAlignment="1">
      <alignment horizontal="center" vertical="center"/>
    </xf>
    <xf numFmtId="0" fontId="99" fillId="0" borderId="39" xfId="0" applyFont="1" applyBorder="1" applyAlignment="1">
      <alignment horizontal="center" vertical="center"/>
    </xf>
    <xf numFmtId="0" fontId="99" fillId="0" borderId="40" xfId="0" applyFont="1" applyBorder="1" applyAlignment="1">
      <alignment horizontal="center" vertical="center"/>
    </xf>
    <xf numFmtId="1" fontId="12" fillId="0" borderId="42" xfId="0" applyNumberFormat="1" applyFont="1" applyBorder="1" applyAlignment="1">
      <alignment horizontal="center" vertical="center"/>
    </xf>
    <xf numFmtId="0" fontId="12" fillId="0" borderId="42" xfId="0" applyFont="1" applyBorder="1" applyAlignment="1">
      <alignment horizontal="center" vertical="center"/>
    </xf>
    <xf numFmtId="0" fontId="99" fillId="0" borderId="42" xfId="0" applyFont="1" applyBorder="1" applyAlignment="1">
      <alignment horizontal="center" vertical="center"/>
    </xf>
    <xf numFmtId="0" fontId="99" fillId="0" borderId="43" xfId="0" applyFont="1" applyBorder="1" applyAlignment="1">
      <alignment horizontal="center" vertical="center"/>
    </xf>
    <xf numFmtId="167" fontId="23" fillId="34" borderId="33" xfId="60" applyNumberFormat="1" applyFont="1" applyFill="1" applyBorder="1" applyAlignment="1">
      <alignment horizontal="center" vertical="center"/>
      <protection/>
    </xf>
    <xf numFmtId="167" fontId="23" fillId="34" borderId="39" xfId="60" applyNumberFormat="1" applyFont="1" applyFill="1" applyBorder="1" applyAlignment="1">
      <alignment horizontal="center" vertical="center"/>
      <protection/>
    </xf>
    <xf numFmtId="0" fontId="23" fillId="34" borderId="39" xfId="60" applyFont="1" applyFill="1" applyBorder="1" applyAlignment="1">
      <alignment horizontal="center" vertical="center"/>
      <protection/>
    </xf>
    <xf numFmtId="0" fontId="96" fillId="34" borderId="39" xfId="60" applyFont="1" applyFill="1" applyBorder="1" applyAlignment="1">
      <alignment horizontal="center" vertical="center"/>
      <protection/>
    </xf>
    <xf numFmtId="167" fontId="23" fillId="34" borderId="40" xfId="60" applyNumberFormat="1" applyFont="1" applyFill="1" applyBorder="1" applyAlignment="1">
      <alignment horizontal="center" vertical="center"/>
      <protection/>
    </xf>
    <xf numFmtId="0" fontId="103" fillId="44" borderId="58" xfId="0" applyFont="1" applyFill="1" applyBorder="1" applyAlignment="1">
      <alignment horizontal="center" vertical="center" wrapText="1"/>
    </xf>
    <xf numFmtId="17" fontId="103" fillId="44" borderId="59" xfId="0" applyNumberFormat="1" applyFont="1" applyFill="1" applyBorder="1" applyAlignment="1">
      <alignment horizontal="center" vertical="center" wrapText="1"/>
    </xf>
    <xf numFmtId="0" fontId="12" fillId="0" borderId="12" xfId="0" applyFont="1" applyFill="1" applyBorder="1" applyAlignment="1">
      <alignment horizontal="center" vertical="center"/>
    </xf>
    <xf numFmtId="0" fontId="21" fillId="43" borderId="60" xfId="0" applyFont="1" applyFill="1" applyBorder="1" applyAlignment="1">
      <alignment horizontal="center" vertical="center"/>
    </xf>
    <xf numFmtId="0" fontId="21" fillId="43" borderId="56" xfId="0" applyFont="1" applyFill="1" applyBorder="1" applyAlignment="1" quotePrefix="1">
      <alignment horizontal="center" vertical="center"/>
    </xf>
    <xf numFmtId="167" fontId="21" fillId="43" borderId="61" xfId="60" applyNumberFormat="1" applyFont="1" applyFill="1" applyBorder="1" applyAlignment="1">
      <alignment horizontal="center" vertical="center" wrapText="1"/>
      <protection/>
    </xf>
    <xf numFmtId="167" fontId="21" fillId="43" borderId="62" xfId="60" applyNumberFormat="1" applyFont="1" applyFill="1" applyBorder="1" applyAlignment="1">
      <alignment horizontal="center" vertical="center" wrapText="1"/>
      <protection/>
    </xf>
    <xf numFmtId="167" fontId="21" fillId="43" borderId="52" xfId="60" applyNumberFormat="1" applyFont="1" applyFill="1" applyBorder="1" applyAlignment="1">
      <alignment horizontal="center" vertical="center" wrapText="1"/>
      <protection/>
    </xf>
    <xf numFmtId="167" fontId="14" fillId="34" borderId="39" xfId="60" applyNumberFormat="1" applyFont="1" applyFill="1" applyBorder="1" applyAlignment="1">
      <alignment horizontal="center" vertical="center"/>
      <protection/>
    </xf>
    <xf numFmtId="0" fontId="14" fillId="34" borderId="39" xfId="60" applyFont="1" applyFill="1" applyBorder="1" applyAlignment="1">
      <alignment vertical="center"/>
      <protection/>
    </xf>
    <xf numFmtId="0" fontId="14" fillId="34" borderId="39" xfId="60" applyFont="1" applyFill="1" applyBorder="1" applyAlignment="1">
      <alignment horizontal="center" vertical="center"/>
      <protection/>
    </xf>
    <xf numFmtId="0" fontId="93" fillId="34" borderId="39" xfId="60" applyFont="1" applyFill="1" applyBorder="1" applyAlignment="1">
      <alignment horizontal="center" vertical="center"/>
      <protection/>
    </xf>
    <xf numFmtId="0" fontId="93" fillId="0" borderId="0" xfId="0" applyFont="1" applyAlignment="1">
      <alignment vertical="center"/>
    </xf>
    <xf numFmtId="0" fontId="102" fillId="33" borderId="0" xfId="0" applyFont="1" applyFill="1" applyAlignment="1">
      <alignment vertical="center"/>
    </xf>
    <xf numFmtId="0" fontId="14" fillId="0" borderId="39" xfId="0" applyFont="1" applyFill="1" applyBorder="1" applyAlignment="1">
      <alignment horizontal="center" vertical="center"/>
    </xf>
    <xf numFmtId="0" fontId="14" fillId="0" borderId="39" xfId="0" applyFont="1" applyFill="1" applyBorder="1" applyAlignment="1">
      <alignment horizontal="left" vertical="center" wrapText="1"/>
    </xf>
    <xf numFmtId="190" fontId="14" fillId="0" borderId="39" xfId="0" applyNumberFormat="1" applyFont="1" applyFill="1" applyBorder="1" applyAlignment="1">
      <alignment horizontal="right" vertical="center"/>
    </xf>
    <xf numFmtId="4" fontId="14" fillId="0" borderId="39" xfId="0" applyNumberFormat="1" applyFont="1" applyFill="1" applyBorder="1" applyAlignment="1">
      <alignment horizontal="right" vertical="center"/>
    </xf>
    <xf numFmtId="0" fontId="14" fillId="0" borderId="39" xfId="0" applyFont="1" applyFill="1" applyBorder="1" applyAlignment="1">
      <alignment vertical="center"/>
    </xf>
    <xf numFmtId="0" fontId="14" fillId="0" borderId="39" xfId="0" applyFont="1" applyFill="1" applyBorder="1" applyAlignment="1">
      <alignment horizontal="center" vertical="center" wrapText="1"/>
    </xf>
    <xf numFmtId="0" fontId="14" fillId="0" borderId="39" xfId="0" applyFont="1" applyFill="1" applyBorder="1" applyAlignment="1">
      <alignment vertical="center" wrapText="1"/>
    </xf>
    <xf numFmtId="0" fontId="14" fillId="0" borderId="39" xfId="0" applyFont="1" applyFill="1" applyBorder="1" applyAlignment="1">
      <alignment vertical="top" wrapText="1"/>
    </xf>
    <xf numFmtId="0" fontId="93" fillId="0" borderId="0" xfId="0" applyFont="1" applyAlignment="1">
      <alignment horizontal="center" vertical="center"/>
    </xf>
    <xf numFmtId="167" fontId="14" fillId="0" borderId="39" xfId="60" applyNumberFormat="1" applyFont="1" applyBorder="1" applyAlignment="1">
      <alignment horizontal="center" vertical="center"/>
      <protection/>
    </xf>
    <xf numFmtId="169" fontId="14" fillId="0" borderId="39" xfId="60" applyNumberFormat="1" applyFont="1" applyBorder="1" applyAlignment="1">
      <alignment horizontal="center" vertical="center"/>
      <protection/>
    </xf>
    <xf numFmtId="167" fontId="14" fillId="0" borderId="39" xfId="60" applyNumberFormat="1" applyFont="1" applyFill="1" applyBorder="1" applyAlignment="1">
      <alignment horizontal="center" vertical="center"/>
      <protection/>
    </xf>
    <xf numFmtId="167" fontId="93" fillId="0" borderId="39" xfId="60" applyNumberFormat="1" applyFont="1" applyFill="1" applyBorder="1" applyAlignment="1">
      <alignment horizontal="center" vertical="center"/>
      <protection/>
    </xf>
    <xf numFmtId="167" fontId="14" fillId="0" borderId="39" xfId="58" applyNumberFormat="1" applyFont="1" applyFill="1" applyBorder="1" applyAlignment="1">
      <alignment vertical="center"/>
      <protection/>
    </xf>
    <xf numFmtId="10" fontId="14" fillId="0" borderId="39" xfId="65" applyNumberFormat="1" applyFont="1" applyFill="1" applyBorder="1" applyAlignment="1">
      <alignment vertical="center"/>
    </xf>
    <xf numFmtId="0" fontId="27" fillId="0" borderId="23" xfId="0" applyFont="1" applyBorder="1" applyAlignment="1">
      <alignment horizontal="center" vertical="center"/>
    </xf>
    <xf numFmtId="2" fontId="27" fillId="0" borderId="24" xfId="0" applyNumberFormat="1" applyFont="1" applyBorder="1" applyAlignment="1">
      <alignment horizontal="center" vertical="center" wrapText="1"/>
    </xf>
    <xf numFmtId="2" fontId="27" fillId="0" borderId="24" xfId="0" applyNumberFormat="1" applyFont="1" applyBorder="1" applyAlignment="1">
      <alignment horizontal="center" vertical="center"/>
    </xf>
    <xf numFmtId="2" fontId="27" fillId="0" borderId="63" xfId="0" applyNumberFormat="1" applyFont="1" applyBorder="1" applyAlignment="1">
      <alignment horizontal="center" vertical="center"/>
    </xf>
    <xf numFmtId="171" fontId="27" fillId="0" borderId="63" xfId="0" applyNumberFormat="1" applyFont="1" applyBorder="1" applyAlignment="1">
      <alignment horizontal="center" vertical="center"/>
    </xf>
    <xf numFmtId="171" fontId="27" fillId="0" borderId="64" xfId="0" applyNumberFormat="1"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171" fontId="27" fillId="0" borderId="0" xfId="0" applyNumberFormat="1" applyFont="1" applyAlignment="1">
      <alignment horizontal="center" vertical="center"/>
    </xf>
    <xf numFmtId="0" fontId="27" fillId="0" borderId="33" xfId="0" applyFont="1" applyBorder="1" applyAlignment="1">
      <alignment horizontal="center" vertical="center"/>
    </xf>
    <xf numFmtId="0" fontId="27" fillId="0" borderId="39" xfId="0" applyFont="1" applyBorder="1" applyAlignment="1">
      <alignment horizontal="left" vertical="center"/>
    </xf>
    <xf numFmtId="2" fontId="27" fillId="0" borderId="39" xfId="0" applyNumberFormat="1" applyFont="1" applyBorder="1" applyAlignment="1">
      <alignment horizontal="center" vertical="center" wrapText="1"/>
    </xf>
    <xf numFmtId="2" fontId="27" fillId="0" borderId="39" xfId="0" applyNumberFormat="1" applyFont="1" applyBorder="1" applyAlignment="1">
      <alignment horizontal="center" vertical="center"/>
    </xf>
    <xf numFmtId="0" fontId="27" fillId="0" borderId="34" xfId="0" applyFont="1" applyBorder="1" applyAlignment="1">
      <alignment horizontal="center" vertical="center"/>
    </xf>
    <xf numFmtId="0" fontId="27" fillId="0" borderId="55" xfId="0" applyFont="1" applyBorder="1" applyAlignment="1">
      <alignment horizontal="left" vertical="center"/>
    </xf>
    <xf numFmtId="2" fontId="27" fillId="0" borderId="55" xfId="0" applyNumberFormat="1" applyFont="1" applyBorder="1" applyAlignment="1">
      <alignment horizontal="center" vertical="center"/>
    </xf>
    <xf numFmtId="171" fontId="28" fillId="11" borderId="65" xfId="0" applyNumberFormat="1" applyFont="1" applyFill="1" applyBorder="1" applyAlignment="1">
      <alignment horizontal="center" vertical="center"/>
    </xf>
    <xf numFmtId="0" fontId="27" fillId="0" borderId="0" xfId="0" applyFont="1" applyAlignment="1">
      <alignment/>
    </xf>
    <xf numFmtId="0" fontId="27" fillId="35" borderId="32" xfId="0" applyFont="1" applyFill="1" applyBorder="1" applyAlignment="1">
      <alignment horizontal="center" vertical="center" wrapText="1"/>
    </xf>
    <xf numFmtId="0" fontId="27" fillId="35" borderId="66" xfId="0" applyFont="1" applyFill="1" applyBorder="1" applyAlignment="1">
      <alignment horizontal="center" vertical="center" wrapText="1"/>
    </xf>
    <xf numFmtId="0" fontId="27" fillId="35" borderId="67"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7" fillId="0" borderId="0" xfId="0" applyFont="1" applyAlignment="1">
      <alignment vertical="center"/>
    </xf>
    <xf numFmtId="0" fontId="29" fillId="0" borderId="0" xfId="0" applyFont="1" applyAlignment="1">
      <alignment vertical="center"/>
    </xf>
    <xf numFmtId="0" fontId="29" fillId="35" borderId="31" xfId="0" applyFont="1" applyFill="1" applyBorder="1" applyAlignment="1">
      <alignment vertical="center"/>
    </xf>
    <xf numFmtId="0" fontId="29" fillId="35" borderId="53" xfId="0" applyFont="1" applyFill="1" applyBorder="1" applyAlignment="1">
      <alignment vertical="center"/>
    </xf>
    <xf numFmtId="0" fontId="29" fillId="35" borderId="54" xfId="0" applyFont="1" applyFill="1" applyBorder="1" applyAlignment="1">
      <alignment vertical="center"/>
    </xf>
    <xf numFmtId="0" fontId="20" fillId="45" borderId="0" xfId="0" applyFont="1" applyFill="1" applyBorder="1" applyAlignment="1">
      <alignment horizontal="center" vertical="center" wrapText="1"/>
    </xf>
    <xf numFmtId="2" fontId="20" fillId="0" borderId="0" xfId="0" applyNumberFormat="1" applyFont="1" applyAlignment="1">
      <alignment vertical="center"/>
    </xf>
    <xf numFmtId="0" fontId="20" fillId="37" borderId="33" xfId="0" applyFont="1" applyFill="1" applyBorder="1" applyAlignment="1">
      <alignment horizontal="center" vertical="center"/>
    </xf>
    <xf numFmtId="0" fontId="29" fillId="0" borderId="33" xfId="0" applyFont="1" applyBorder="1" applyAlignment="1">
      <alignment horizontal="center" vertical="center"/>
    </xf>
    <xf numFmtId="0" fontId="29" fillId="0" borderId="47" xfId="0" applyFont="1" applyFill="1" applyBorder="1" applyAlignment="1">
      <alignment horizontal="center" vertical="center"/>
    </xf>
    <xf numFmtId="0" fontId="29" fillId="0" borderId="39" xfId="0" applyNumberFormat="1" applyFont="1" applyFill="1" applyBorder="1" applyAlignment="1">
      <alignment horizontal="center" vertical="center" wrapText="1"/>
    </xf>
    <xf numFmtId="0" fontId="29" fillId="0" borderId="39" xfId="0" applyFont="1" applyFill="1" applyBorder="1" applyAlignment="1">
      <alignment horizontal="justify" vertical="center"/>
    </xf>
    <xf numFmtId="167" fontId="29" fillId="0" borderId="39" xfId="85" applyFont="1" applyFill="1" applyBorder="1" applyAlignment="1">
      <alignment horizontal="center" vertical="center" wrapText="1"/>
    </xf>
    <xf numFmtId="2" fontId="29" fillId="0" borderId="39" xfId="0" applyNumberFormat="1" applyFont="1" applyFill="1" applyBorder="1" applyAlignment="1">
      <alignment horizontal="center" vertical="center" wrapText="1"/>
    </xf>
    <xf numFmtId="166" fontId="29" fillId="0" borderId="39" xfId="47" applyFont="1" applyFill="1" applyBorder="1" applyAlignment="1">
      <alignment vertical="center"/>
    </xf>
    <xf numFmtId="166" fontId="29" fillId="0" borderId="39" xfId="47" applyFont="1" applyFill="1" applyBorder="1" applyAlignment="1">
      <alignment horizontal="right" vertical="center"/>
    </xf>
    <xf numFmtId="166" fontId="29" fillId="0" borderId="40" xfId="47" applyFont="1" applyFill="1" applyBorder="1" applyAlignment="1">
      <alignment vertical="center"/>
    </xf>
    <xf numFmtId="0" fontId="29" fillId="0" borderId="39" xfId="0" applyFont="1" applyFill="1" applyBorder="1" applyAlignment="1">
      <alignment horizontal="center" vertical="center" wrapText="1"/>
    </xf>
    <xf numFmtId="49" fontId="29" fillId="0" borderId="39" xfId="0" applyNumberFormat="1" applyFont="1" applyFill="1" applyBorder="1" applyAlignment="1">
      <alignment horizontal="center" vertical="center" wrapText="1"/>
    </xf>
    <xf numFmtId="0" fontId="29" fillId="0" borderId="39" xfId="0" applyFont="1" applyFill="1" applyBorder="1" applyAlignment="1">
      <alignment horizontal="justify" vertical="center" wrapText="1"/>
    </xf>
    <xf numFmtId="166" fontId="20" fillId="37" borderId="40" xfId="47" applyFont="1" applyFill="1" applyBorder="1" applyAlignment="1">
      <alignment horizontal="right" vertical="center"/>
    </xf>
    <xf numFmtId="0" fontId="29" fillId="0" borderId="39" xfId="0" applyFont="1" applyFill="1" applyBorder="1" applyAlignment="1">
      <alignment horizontal="center" vertical="center"/>
    </xf>
    <xf numFmtId="0" fontId="29" fillId="0" borderId="48" xfId="0" applyFont="1" applyFill="1" applyBorder="1" applyAlignment="1">
      <alignment horizontal="justify" vertical="center" wrapText="1"/>
    </xf>
    <xf numFmtId="4" fontId="29" fillId="0" borderId="39" xfId="0" applyNumberFormat="1" applyFont="1" applyFill="1" applyBorder="1" applyAlignment="1">
      <alignment vertical="center" wrapText="1"/>
    </xf>
    <xf numFmtId="166" fontId="29" fillId="0" borderId="39" xfId="47"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0" xfId="0" applyFont="1" applyBorder="1" applyAlignment="1">
      <alignment vertical="center"/>
    </xf>
    <xf numFmtId="0" fontId="29" fillId="38" borderId="45" xfId="0" applyFont="1" applyFill="1" applyBorder="1" applyAlignment="1">
      <alignment horizontal="center" vertical="center"/>
    </xf>
    <xf numFmtId="49" fontId="29" fillId="0" borderId="39" xfId="85" applyNumberFormat="1" applyFont="1" applyFill="1" applyBorder="1" applyAlignment="1">
      <alignment horizontal="center" vertical="center" wrapText="1"/>
    </xf>
    <xf numFmtId="0" fontId="29" fillId="0" borderId="39" xfId="0" applyFont="1" applyFill="1" applyBorder="1" applyAlignment="1" quotePrefix="1">
      <alignment horizontal="justify" vertical="center" wrapText="1"/>
    </xf>
    <xf numFmtId="0" fontId="20" fillId="37" borderId="33" xfId="0" applyFont="1" applyFill="1" applyBorder="1" applyAlignment="1">
      <alignment horizontal="center" vertical="center" wrapText="1"/>
    </xf>
    <xf numFmtId="0" fontId="20" fillId="37" borderId="47" xfId="0" applyFont="1" applyFill="1" applyBorder="1" applyAlignment="1">
      <alignment horizontal="center" vertical="center" wrapText="1"/>
    </xf>
    <xf numFmtId="0" fontId="20" fillId="37" borderId="39" xfId="0" applyFont="1" applyFill="1" applyBorder="1" applyAlignment="1">
      <alignment horizontal="center" vertical="center" wrapText="1"/>
    </xf>
    <xf numFmtId="0" fontId="20" fillId="38" borderId="33"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35" borderId="39" xfId="0" applyFont="1" applyFill="1" applyBorder="1" applyAlignment="1">
      <alignment horizontal="center" vertical="center" wrapText="1"/>
    </xf>
    <xf numFmtId="0" fontId="20" fillId="35" borderId="39" xfId="0" applyFont="1" applyFill="1" applyBorder="1" applyAlignment="1">
      <alignment horizontal="justify" vertical="center" wrapText="1"/>
    </xf>
    <xf numFmtId="166" fontId="29" fillId="0" borderId="39" xfId="47" applyFont="1" applyFill="1" applyBorder="1" applyAlignment="1">
      <alignment horizontal="right" vertical="center" wrapText="1"/>
    </xf>
    <xf numFmtId="0" fontId="29" fillId="38" borderId="33" xfId="0" applyFont="1" applyFill="1" applyBorder="1" applyAlignment="1">
      <alignment horizontal="center" vertical="center" wrapText="1"/>
    </xf>
    <xf numFmtId="4" fontId="29" fillId="0" borderId="39" xfId="47" applyNumberFormat="1" applyFont="1" applyFill="1" applyBorder="1" applyAlignment="1">
      <alignment horizontal="right" vertical="center" wrapText="1"/>
    </xf>
    <xf numFmtId="0" fontId="29" fillId="0" borderId="0" xfId="0" applyFont="1" applyFill="1" applyAlignment="1">
      <alignment vertical="center"/>
    </xf>
    <xf numFmtId="0" fontId="20" fillId="0" borderId="39" xfId="0" applyFont="1" applyFill="1" applyBorder="1" applyAlignment="1">
      <alignment horizontal="center" vertical="center"/>
    </xf>
    <xf numFmtId="49" fontId="20" fillId="0" borderId="39" xfId="0" applyNumberFormat="1" applyFont="1" applyFill="1" applyBorder="1" applyAlignment="1">
      <alignment horizontal="center" vertical="center" wrapText="1"/>
    </xf>
    <xf numFmtId="0" fontId="20" fillId="0" borderId="39" xfId="0" applyFont="1" applyFill="1" applyBorder="1" applyAlignment="1">
      <alignment horizontal="justify" vertical="center" wrapText="1"/>
    </xf>
    <xf numFmtId="166" fontId="20" fillId="34" borderId="40" xfId="47" applyFont="1" applyFill="1" applyBorder="1" applyAlignment="1">
      <alignment horizontal="right" vertical="center"/>
    </xf>
    <xf numFmtId="43" fontId="29" fillId="0" borderId="0" xfId="0" applyNumberFormat="1" applyFont="1" applyAlignment="1">
      <alignment vertical="center"/>
    </xf>
    <xf numFmtId="0" fontId="20" fillId="34" borderId="45" xfId="0" applyFont="1" applyFill="1" applyBorder="1" applyAlignment="1">
      <alignment horizontal="center" vertical="center" wrapText="1"/>
    </xf>
    <xf numFmtId="0" fontId="20" fillId="34" borderId="48" xfId="0" applyFont="1" applyFill="1" applyBorder="1" applyAlignment="1">
      <alignment horizontal="center" vertical="center" wrapText="1"/>
    </xf>
    <xf numFmtId="0" fontId="29" fillId="35" borderId="0" xfId="0" applyFont="1" applyFill="1" applyAlignment="1">
      <alignment vertical="center"/>
    </xf>
    <xf numFmtId="0" fontId="29" fillId="35" borderId="45" xfId="0" applyFont="1" applyFill="1" applyBorder="1" applyAlignment="1">
      <alignment horizontal="center" vertical="center" wrapText="1"/>
    </xf>
    <xf numFmtId="0" fontId="29" fillId="35" borderId="39" xfId="0" applyFont="1" applyFill="1" applyBorder="1" applyAlignment="1">
      <alignment horizontal="center" vertical="center"/>
    </xf>
    <xf numFmtId="0" fontId="29" fillId="35" borderId="48" xfId="0" applyFont="1" applyFill="1" applyBorder="1" applyAlignment="1">
      <alignment horizontal="justify" vertical="center" wrapText="1"/>
    </xf>
    <xf numFmtId="4" fontId="29" fillId="35" borderId="39" xfId="0" applyNumberFormat="1" applyFont="1" applyFill="1" applyBorder="1" applyAlignment="1">
      <alignment vertical="center" wrapText="1"/>
    </xf>
    <xf numFmtId="167" fontId="29" fillId="35" borderId="39" xfId="85" applyFont="1" applyFill="1" applyBorder="1" applyAlignment="1">
      <alignment horizontal="center" vertical="center" wrapText="1"/>
    </xf>
    <xf numFmtId="166" fontId="29" fillId="35" borderId="39" xfId="47" applyFont="1" applyFill="1" applyBorder="1" applyAlignment="1">
      <alignment vertical="center" wrapText="1"/>
    </xf>
    <xf numFmtId="166" fontId="29" fillId="0" borderId="39" xfId="47" applyFont="1" applyFill="1" applyBorder="1" applyAlignment="1">
      <alignment vertical="center" wrapText="1"/>
    </xf>
    <xf numFmtId="44" fontId="29" fillId="0" borderId="39" xfId="47" applyNumberFormat="1" applyFont="1" applyFill="1" applyBorder="1" applyAlignment="1">
      <alignment vertical="center" wrapText="1"/>
    </xf>
    <xf numFmtId="44" fontId="29" fillId="0" borderId="39" xfId="47" applyNumberFormat="1" applyFont="1" applyFill="1" applyBorder="1" applyAlignment="1">
      <alignment horizontal="right" vertical="center" wrapText="1"/>
    </xf>
    <xf numFmtId="4" fontId="29" fillId="46" borderId="39" xfId="0" applyNumberFormat="1" applyFont="1" applyFill="1" applyBorder="1" applyAlignment="1">
      <alignment vertical="center" wrapText="1"/>
    </xf>
    <xf numFmtId="0" fontId="20" fillId="34" borderId="33" xfId="0" applyFont="1" applyFill="1" applyBorder="1" applyAlignment="1">
      <alignment horizontal="center" vertical="center" wrapText="1"/>
    </xf>
    <xf numFmtId="0" fontId="20" fillId="34" borderId="47" xfId="0" applyFont="1" applyFill="1" applyBorder="1" applyAlignment="1">
      <alignment horizontal="center" vertical="center" wrapText="1"/>
    </xf>
    <xf numFmtId="0" fontId="20" fillId="34" borderId="39" xfId="0" applyFont="1" applyFill="1" applyBorder="1" applyAlignment="1">
      <alignment horizontal="center" vertical="center" wrapText="1"/>
    </xf>
    <xf numFmtId="0" fontId="29" fillId="0" borderId="33" xfId="0" applyFont="1" applyFill="1" applyBorder="1" applyAlignment="1">
      <alignment horizontal="center" vertical="center" wrapText="1"/>
    </xf>
    <xf numFmtId="166" fontId="29" fillId="0" borderId="0" xfId="47" applyFont="1" applyAlignment="1">
      <alignment vertical="center"/>
    </xf>
    <xf numFmtId="0" fontId="20" fillId="35" borderId="44" xfId="0" applyFont="1" applyFill="1" applyBorder="1" applyAlignment="1">
      <alignment vertical="center" wrapText="1"/>
    </xf>
    <xf numFmtId="10" fontId="30" fillId="37" borderId="39" xfId="65" applyNumberFormat="1" applyFont="1" applyFill="1" applyBorder="1" applyAlignment="1">
      <alignment horizontal="center" vertical="center" wrapText="1"/>
    </xf>
    <xf numFmtId="0" fontId="21" fillId="43" borderId="67" xfId="0" applyFont="1" applyFill="1" applyBorder="1" applyAlignment="1">
      <alignment horizontal="center" vertical="center"/>
    </xf>
    <xf numFmtId="0" fontId="12" fillId="0" borderId="11" xfId="0" applyFont="1" applyFill="1" applyBorder="1" applyAlignment="1">
      <alignment horizontal="left" vertical="center" wrapText="1"/>
    </xf>
    <xf numFmtId="4" fontId="21" fillId="0" borderId="12" xfId="0" applyNumberFormat="1" applyFont="1" applyFill="1" applyBorder="1" applyAlignment="1">
      <alignment horizontal="right" vertical="center"/>
    </xf>
    <xf numFmtId="167" fontId="21" fillId="43" borderId="70" xfId="60" applyNumberFormat="1" applyFont="1" applyFill="1" applyBorder="1" applyAlignment="1">
      <alignment horizontal="center" vertical="center" wrapText="1"/>
      <protection/>
    </xf>
    <xf numFmtId="17" fontId="104" fillId="44" borderId="59" xfId="0" applyNumberFormat="1" applyFont="1" applyFill="1" applyBorder="1" applyAlignment="1">
      <alignment horizontal="center" vertical="center" wrapText="1"/>
    </xf>
    <xf numFmtId="167" fontId="24" fillId="43" borderId="62" xfId="60" applyNumberFormat="1" applyFont="1" applyFill="1" applyBorder="1" applyAlignment="1">
      <alignment horizontal="center" vertical="center" wrapText="1"/>
      <protection/>
    </xf>
    <xf numFmtId="167" fontId="24" fillId="43" borderId="70" xfId="60" applyNumberFormat="1" applyFont="1" applyFill="1" applyBorder="1" applyAlignment="1">
      <alignment horizontal="center" vertical="center" wrapText="1"/>
      <protection/>
    </xf>
    <xf numFmtId="167" fontId="21" fillId="43" borderId="38" xfId="60" applyNumberFormat="1" applyFont="1" applyFill="1" applyBorder="1" applyAlignment="1">
      <alignment horizontal="center" vertical="center" wrapText="1"/>
      <protection/>
    </xf>
    <xf numFmtId="167" fontId="21" fillId="43" borderId="67" xfId="60" applyNumberFormat="1" applyFont="1" applyFill="1" applyBorder="1" applyAlignment="1">
      <alignment horizontal="center" vertical="center" wrapText="1"/>
      <protection/>
    </xf>
    <xf numFmtId="0" fontId="29" fillId="35" borderId="31" xfId="0" applyFont="1" applyFill="1" applyBorder="1" applyAlignment="1">
      <alignment/>
    </xf>
    <xf numFmtId="0" fontId="29" fillId="35" borderId="53" xfId="0" applyFont="1" applyFill="1" applyBorder="1" applyAlignment="1">
      <alignment/>
    </xf>
    <xf numFmtId="0" fontId="29" fillId="35" borderId="53" xfId="0" applyFont="1" applyFill="1" applyBorder="1" applyAlignment="1">
      <alignment horizontal="center"/>
    </xf>
    <xf numFmtId="0" fontId="29" fillId="35" borderId="54" xfId="0" applyFont="1" applyFill="1" applyBorder="1" applyAlignment="1">
      <alignment/>
    </xf>
    <xf numFmtId="0" fontId="29" fillId="35" borderId="0" xfId="0" applyFont="1" applyFill="1" applyBorder="1" applyAlignment="1">
      <alignment/>
    </xf>
    <xf numFmtId="0" fontId="29" fillId="0" borderId="0" xfId="0" applyFont="1" applyAlignment="1">
      <alignment/>
    </xf>
    <xf numFmtId="0" fontId="31" fillId="35" borderId="0" xfId="0" applyFont="1" applyFill="1" applyBorder="1" applyAlignment="1">
      <alignment horizontal="center"/>
    </xf>
    <xf numFmtId="0" fontId="32" fillId="35" borderId="32" xfId="0" applyFont="1" applyFill="1" applyBorder="1" applyAlignment="1">
      <alignment horizontal="center"/>
    </xf>
    <xf numFmtId="0" fontId="32" fillId="35" borderId="66" xfId="0" applyFont="1" applyFill="1" applyBorder="1" applyAlignment="1">
      <alignment horizontal="center"/>
    </xf>
    <xf numFmtId="0" fontId="32" fillId="35" borderId="67" xfId="0" applyFont="1" applyFill="1" applyBorder="1" applyAlignment="1">
      <alignment horizontal="center"/>
    </xf>
    <xf numFmtId="0" fontId="32" fillId="35" borderId="0" xfId="0" applyFont="1" applyFill="1" applyBorder="1" applyAlignment="1">
      <alignment horizontal="center"/>
    </xf>
    <xf numFmtId="167" fontId="31" fillId="2" borderId="0" xfId="60" applyNumberFormat="1" applyFont="1" applyFill="1" applyBorder="1" applyAlignment="1">
      <alignment horizontal="center" vertical="center" wrapText="1"/>
      <protection/>
    </xf>
    <xf numFmtId="0" fontId="24" fillId="0" borderId="0" xfId="0" applyFont="1" applyBorder="1" applyAlignment="1">
      <alignment horizontal="center" vertical="top"/>
    </xf>
    <xf numFmtId="0" fontId="31" fillId="5" borderId="0" xfId="0" applyFont="1" applyFill="1" applyBorder="1" applyAlignment="1">
      <alignment horizontal="center" vertical="center"/>
    </xf>
    <xf numFmtId="0" fontId="32" fillId="0" borderId="0" xfId="0" applyFont="1" applyAlignment="1">
      <alignment/>
    </xf>
    <xf numFmtId="0" fontId="31" fillId="5" borderId="0" xfId="0" applyFont="1" applyFill="1" applyBorder="1" applyAlignment="1">
      <alignment vertical="center" wrapText="1"/>
    </xf>
    <xf numFmtId="0" fontId="31" fillId="5" borderId="0" xfId="0" applyFont="1" applyFill="1" applyBorder="1" applyAlignment="1">
      <alignment vertical="center"/>
    </xf>
    <xf numFmtId="0" fontId="32" fillId="5" borderId="39" xfId="0" applyFont="1" applyFill="1" applyBorder="1" applyAlignment="1">
      <alignment horizontal="center" vertical="center"/>
    </xf>
    <xf numFmtId="0" fontId="32" fillId="5" borderId="39" xfId="0" applyFont="1" applyFill="1" applyBorder="1" applyAlignment="1">
      <alignment horizontal="center" vertical="center" wrapText="1"/>
    </xf>
    <xf numFmtId="0" fontId="32" fillId="5" borderId="0" xfId="0" applyFont="1" applyFill="1" applyBorder="1" applyAlignment="1">
      <alignment horizontal="center" vertical="center"/>
    </xf>
    <xf numFmtId="0" fontId="31" fillId="5" borderId="42" xfId="0" applyFont="1" applyFill="1" applyBorder="1" applyAlignment="1">
      <alignment horizontal="center" vertical="center"/>
    </xf>
    <xf numFmtId="2" fontId="31" fillId="5" borderId="71" xfId="0" applyNumberFormat="1" applyFont="1" applyFill="1" applyBorder="1" applyAlignment="1">
      <alignment horizontal="center" vertical="center"/>
    </xf>
    <xf numFmtId="0" fontId="31" fillId="5" borderId="42" xfId="0" applyFont="1" applyFill="1" applyBorder="1" applyAlignment="1">
      <alignment horizontal="center" vertical="center" wrapText="1"/>
    </xf>
    <xf numFmtId="2" fontId="31" fillId="5" borderId="0" xfId="0" applyNumberFormat="1" applyFont="1" applyFill="1" applyBorder="1" applyAlignment="1">
      <alignment horizontal="center" vertical="center"/>
    </xf>
    <xf numFmtId="0" fontId="32" fillId="0" borderId="39" xfId="0" applyFont="1" applyBorder="1" applyAlignment="1">
      <alignment horizontal="center" vertical="center"/>
    </xf>
    <xf numFmtId="0" fontId="32" fillId="0" borderId="72" xfId="0" applyFont="1" applyFill="1" applyBorder="1" applyAlignment="1">
      <alignment horizontal="center" vertical="center" wrapText="1"/>
    </xf>
    <xf numFmtId="0" fontId="32" fillId="0" borderId="24" xfId="0" applyFont="1" applyFill="1" applyBorder="1" applyAlignment="1">
      <alignment horizontal="center" vertical="center" wrapText="1"/>
    </xf>
    <xf numFmtId="4" fontId="32" fillId="0" borderId="73" xfId="0" applyNumberFormat="1" applyFont="1" applyFill="1" applyBorder="1" applyAlignment="1">
      <alignment horizontal="center" vertical="center"/>
    </xf>
    <xf numFmtId="4" fontId="32" fillId="0" borderId="73" xfId="0" applyNumberFormat="1" applyFont="1" applyBorder="1" applyAlignment="1">
      <alignment horizontal="center" vertical="center"/>
    </xf>
    <xf numFmtId="4" fontId="32" fillId="0" borderId="24" xfId="0" applyNumberFormat="1" applyFont="1" applyFill="1" applyBorder="1" applyAlignment="1">
      <alignment horizontal="center" vertical="center"/>
    </xf>
    <xf numFmtId="4" fontId="32" fillId="0" borderId="24" xfId="0" applyNumberFormat="1" applyFont="1" applyBorder="1" applyAlignment="1">
      <alignment horizontal="center" vertical="center"/>
    </xf>
    <xf numFmtId="4" fontId="32" fillId="0" borderId="63" xfId="0" applyNumberFormat="1" applyFont="1" applyBorder="1" applyAlignment="1">
      <alignment horizontal="center" vertical="center"/>
    </xf>
    <xf numFmtId="4" fontId="32" fillId="0" borderId="0" xfId="0" applyNumberFormat="1" applyFont="1" applyBorder="1" applyAlignment="1">
      <alignment horizontal="center" vertical="center"/>
    </xf>
    <xf numFmtId="171" fontId="32" fillId="0" borderId="39" xfId="0" applyNumberFormat="1" applyFont="1" applyBorder="1" applyAlignment="1">
      <alignment horizontal="center" vertical="center"/>
    </xf>
    <xf numFmtId="4" fontId="32" fillId="0" borderId="39" xfId="0" applyNumberFormat="1" applyFont="1" applyFill="1" applyBorder="1" applyAlignment="1">
      <alignment horizontal="center" vertical="center"/>
    </xf>
    <xf numFmtId="4" fontId="32" fillId="0" borderId="39" xfId="0" applyNumberFormat="1" applyFont="1" applyBorder="1" applyAlignment="1">
      <alignment horizontal="center" vertical="center"/>
    </xf>
    <xf numFmtId="167" fontId="31" fillId="0" borderId="65" xfId="0" applyNumberFormat="1" applyFont="1" applyBorder="1" applyAlignment="1">
      <alignment horizontal="center" vertical="center"/>
    </xf>
    <xf numFmtId="167" fontId="31" fillId="0" borderId="0" xfId="0" applyNumberFormat="1" applyFont="1" applyBorder="1" applyAlignment="1">
      <alignment horizontal="center"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170" fontId="31" fillId="0" borderId="0" xfId="0" applyNumberFormat="1" applyFont="1" applyFill="1" applyBorder="1" applyAlignment="1">
      <alignment horizontal="center" vertical="center"/>
    </xf>
    <xf numFmtId="0" fontId="32" fillId="0" borderId="0" xfId="0" applyFont="1" applyFill="1" applyAlignment="1">
      <alignment/>
    </xf>
    <xf numFmtId="2" fontId="32" fillId="0" borderId="39" xfId="0" applyNumberFormat="1" applyFont="1" applyBorder="1" applyAlignment="1">
      <alignment horizontal="center" vertical="center"/>
    </xf>
    <xf numFmtId="0" fontId="32" fillId="0" borderId="44" xfId="0" applyFont="1" applyFill="1" applyBorder="1" applyAlignment="1">
      <alignment horizontal="center" vertical="center" wrapText="1"/>
    </xf>
    <xf numFmtId="0" fontId="32" fillId="0" borderId="0" xfId="0" applyFont="1" applyAlignment="1">
      <alignment horizontal="center"/>
    </xf>
    <xf numFmtId="0" fontId="32" fillId="0" borderId="24" xfId="0" applyFont="1" applyFill="1" applyBorder="1" applyAlignment="1">
      <alignment horizontal="center" vertical="center"/>
    </xf>
    <xf numFmtId="4" fontId="32" fillId="0" borderId="55" xfId="0" applyNumberFormat="1" applyFont="1" applyFill="1" applyBorder="1" applyAlignment="1">
      <alignment horizontal="center" vertical="center"/>
    </xf>
    <xf numFmtId="4" fontId="32" fillId="0" borderId="74" xfId="0" applyNumberFormat="1" applyFont="1" applyFill="1" applyBorder="1" applyAlignment="1">
      <alignment horizontal="center" vertical="center"/>
    </xf>
    <xf numFmtId="0" fontId="32" fillId="0" borderId="0" xfId="0" applyFont="1" applyBorder="1" applyAlignment="1">
      <alignment horizontal="center" vertical="center"/>
    </xf>
    <xf numFmtId="0" fontId="32" fillId="0" borderId="39" xfId="0" applyFont="1" applyBorder="1" applyAlignment="1">
      <alignment horizontal="center" vertical="center" wrapText="1"/>
    </xf>
    <xf numFmtId="0" fontId="12" fillId="0" borderId="0" xfId="0" applyFont="1" applyAlignment="1">
      <alignment horizontal="center"/>
    </xf>
    <xf numFmtId="171" fontId="32" fillId="0" borderId="39" xfId="0" applyNumberFormat="1" applyFont="1" applyBorder="1" applyAlignment="1">
      <alignment horizontal="center" vertical="center" wrapText="1"/>
    </xf>
    <xf numFmtId="2" fontId="31" fillId="0" borderId="39" xfId="0" applyNumberFormat="1" applyFont="1" applyBorder="1" applyAlignment="1">
      <alignment horizontal="center" vertical="center" wrapText="1"/>
    </xf>
    <xf numFmtId="171" fontId="32" fillId="0" borderId="0" xfId="0" applyNumberFormat="1" applyFont="1" applyBorder="1" applyAlignment="1">
      <alignment horizontal="center" vertical="center" wrapText="1"/>
    </xf>
    <xf numFmtId="0" fontId="32" fillId="0" borderId="0" xfId="0" applyFont="1" applyAlignment="1">
      <alignment horizontal="center" vertical="center"/>
    </xf>
    <xf numFmtId="2" fontId="32" fillId="0" borderId="39" xfId="0" applyNumberFormat="1" applyFont="1" applyBorder="1" applyAlignment="1">
      <alignment horizontal="center" vertical="center" wrapText="1"/>
    </xf>
    <xf numFmtId="0" fontId="32" fillId="0" borderId="31" xfId="0" applyFont="1" applyFill="1" applyBorder="1" applyAlignment="1">
      <alignment vertical="center"/>
    </xf>
    <xf numFmtId="0" fontId="31" fillId="35" borderId="53" xfId="53" applyFont="1" applyFill="1" applyBorder="1" applyAlignment="1">
      <alignment vertical="center"/>
      <protection/>
    </xf>
    <xf numFmtId="0" fontId="32" fillId="0" borderId="0" xfId="0" applyFont="1" applyFill="1" applyAlignment="1">
      <alignment vertical="center"/>
    </xf>
    <xf numFmtId="0" fontId="32" fillId="0" borderId="32" xfId="0" applyFont="1" applyFill="1" applyBorder="1" applyAlignment="1">
      <alignment vertical="center"/>
    </xf>
    <xf numFmtId="0" fontId="31" fillId="35" borderId="66" xfId="53" applyFont="1" applyFill="1" applyBorder="1" applyAlignment="1">
      <alignment vertical="center"/>
      <protection/>
    </xf>
    <xf numFmtId="0" fontId="35" fillId="0" borderId="0" xfId="0" applyFont="1" applyFill="1" applyAlignment="1">
      <alignment vertical="center"/>
    </xf>
    <xf numFmtId="167" fontId="36" fillId="5" borderId="39" xfId="72"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2" fillId="0" borderId="0" xfId="0" applyFont="1" applyFill="1" applyBorder="1" applyAlignment="1">
      <alignment vertical="center"/>
    </xf>
    <xf numFmtId="0" fontId="35" fillId="0" borderId="39" xfId="0" applyFont="1" applyFill="1" applyBorder="1" applyAlignment="1">
      <alignment horizontal="center" vertical="center" wrapText="1"/>
    </xf>
    <xf numFmtId="0" fontId="32" fillId="0" borderId="39" xfId="0" applyFont="1" applyFill="1" applyBorder="1" applyAlignment="1">
      <alignment vertical="center"/>
    </xf>
    <xf numFmtId="0" fontId="31" fillId="0" borderId="32" xfId="53" applyFont="1" applyFill="1" applyBorder="1" applyAlignment="1">
      <alignment vertical="center"/>
      <protection/>
    </xf>
    <xf numFmtId="0" fontId="31" fillId="0" borderId="66" xfId="53" applyFont="1" applyFill="1" applyBorder="1" applyAlignment="1">
      <alignment vertical="center"/>
      <protection/>
    </xf>
    <xf numFmtId="0" fontId="35" fillId="0" borderId="0" xfId="0" applyFont="1" applyFill="1" applyAlignment="1">
      <alignment horizontal="center" vertical="center"/>
    </xf>
    <xf numFmtId="0" fontId="35" fillId="0" borderId="48" xfId="0" applyFont="1" applyFill="1" applyBorder="1" applyAlignment="1">
      <alignment horizontal="center" vertical="center"/>
    </xf>
    <xf numFmtId="171" fontId="35" fillId="0" borderId="39" xfId="0" applyNumberFormat="1" applyFont="1" applyFill="1" applyBorder="1" applyAlignment="1">
      <alignment horizontal="center" vertical="center"/>
    </xf>
    <xf numFmtId="171" fontId="32" fillId="0" borderId="39" xfId="0" applyNumberFormat="1"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Border="1" applyAlignment="1">
      <alignment horizontal="center" vertical="center"/>
    </xf>
    <xf numFmtId="0" fontId="32" fillId="0" borderId="0" xfId="53" applyFont="1" applyFill="1" applyAlignment="1">
      <alignment horizontal="center" vertical="center"/>
      <protection/>
    </xf>
    <xf numFmtId="0" fontId="31" fillId="35" borderId="54" xfId="53" applyFont="1" applyFill="1" applyBorder="1" applyAlignment="1">
      <alignment vertical="center"/>
      <protection/>
    </xf>
    <xf numFmtId="0" fontId="31" fillId="35" borderId="67" xfId="53" applyFont="1" applyFill="1" applyBorder="1" applyAlignment="1">
      <alignment vertical="center"/>
      <protection/>
    </xf>
    <xf numFmtId="0" fontId="35" fillId="0" borderId="0" xfId="0" applyFont="1" applyFill="1" applyAlignment="1">
      <alignment/>
    </xf>
    <xf numFmtId="0" fontId="31" fillId="0" borderId="67" xfId="53" applyFont="1" applyFill="1" applyBorder="1" applyAlignment="1">
      <alignment horizontal="center" vertical="center"/>
      <protection/>
    </xf>
    <xf numFmtId="0" fontId="32" fillId="0" borderId="39" xfId="0" applyFont="1" applyFill="1" applyBorder="1" applyAlignment="1">
      <alignment horizontal="center" vertical="center" wrapText="1"/>
    </xf>
    <xf numFmtId="167" fontId="32" fillId="0" borderId="39" xfId="0" applyNumberFormat="1" applyFont="1" applyFill="1" applyBorder="1" applyAlignment="1">
      <alignment horizontal="center" vertical="center" wrapText="1"/>
    </xf>
    <xf numFmtId="0" fontId="32" fillId="0" borderId="0" xfId="0" applyFont="1" applyFill="1" applyBorder="1" applyAlignment="1">
      <alignment/>
    </xf>
    <xf numFmtId="0" fontId="94" fillId="0" borderId="0" xfId="0" applyFont="1" applyBorder="1" applyAlignment="1">
      <alignment vertical="center"/>
    </xf>
    <xf numFmtId="0" fontId="21" fillId="0" borderId="39" xfId="0" applyFont="1" applyBorder="1" applyAlignment="1">
      <alignment horizontal="center" vertical="center"/>
    </xf>
    <xf numFmtId="0" fontId="21" fillId="0" borderId="33" xfId="0" applyFont="1" applyBorder="1" applyAlignment="1">
      <alignment horizontal="center"/>
    </xf>
    <xf numFmtId="0" fontId="21" fillId="0" borderId="40" xfId="0" applyFont="1" applyBorder="1" applyAlignment="1">
      <alignment horizontal="center"/>
    </xf>
    <xf numFmtId="0" fontId="21" fillId="0" borderId="47" xfId="0" applyFont="1" applyBorder="1" applyAlignment="1">
      <alignment horizontal="center"/>
    </xf>
    <xf numFmtId="191" fontId="21" fillId="0" borderId="40" xfId="76" applyFont="1" applyFill="1" applyBorder="1" applyAlignment="1" applyProtection="1">
      <alignment horizontal="center" vertical="center"/>
      <protection/>
    </xf>
    <xf numFmtId="10" fontId="12" fillId="0" borderId="33" xfId="67" applyNumberFormat="1" applyFont="1" applyFill="1" applyBorder="1" applyAlignment="1" applyProtection="1">
      <alignment horizontal="right" vertical="center"/>
      <protection/>
    </xf>
    <xf numFmtId="192" fontId="12" fillId="0" borderId="40" xfId="76" applyNumberFormat="1" applyFont="1" applyFill="1" applyBorder="1" applyAlignment="1" applyProtection="1">
      <alignment horizontal="right" vertical="center"/>
      <protection/>
    </xf>
    <xf numFmtId="10" fontId="12" fillId="0" borderId="47" xfId="67" applyNumberFormat="1" applyFont="1" applyFill="1" applyBorder="1" applyAlignment="1" applyProtection="1">
      <alignment horizontal="right" vertical="center"/>
      <protection/>
    </xf>
    <xf numFmtId="10" fontId="94" fillId="0" borderId="0" xfId="0" applyNumberFormat="1" applyFont="1" applyAlignment="1">
      <alignment/>
    </xf>
    <xf numFmtId="192" fontId="12" fillId="47" borderId="33" xfId="76" applyNumberFormat="1" applyFont="1" applyFill="1" applyBorder="1" applyAlignment="1" applyProtection="1">
      <alignment horizontal="right" vertical="center"/>
      <protection/>
    </xf>
    <xf numFmtId="192" fontId="12" fillId="47" borderId="40" xfId="76" applyNumberFormat="1" applyFont="1" applyFill="1" applyBorder="1" applyAlignment="1" applyProtection="1">
      <alignment horizontal="right" vertical="center"/>
      <protection/>
    </xf>
    <xf numFmtId="10" fontId="12" fillId="47" borderId="47" xfId="66" applyNumberFormat="1" applyFont="1" applyFill="1" applyBorder="1" applyAlignment="1" applyProtection="1">
      <alignment horizontal="right" vertical="center"/>
      <protection/>
    </xf>
    <xf numFmtId="192" fontId="12" fillId="47" borderId="47" xfId="76" applyNumberFormat="1" applyFont="1" applyFill="1" applyBorder="1" applyAlignment="1" applyProtection="1">
      <alignment horizontal="right" vertical="center"/>
      <protection/>
    </xf>
    <xf numFmtId="10" fontId="12" fillId="0" borderId="47" xfId="66" applyNumberFormat="1" applyFont="1" applyFill="1" applyBorder="1" applyAlignment="1" applyProtection="1">
      <alignment horizontal="right" vertical="center"/>
      <protection/>
    </xf>
    <xf numFmtId="192" fontId="12" fillId="0" borderId="33" xfId="76" applyNumberFormat="1" applyFont="1" applyFill="1" applyBorder="1" applyAlignment="1" applyProtection="1">
      <alignment horizontal="right" vertical="center"/>
      <protection/>
    </xf>
    <xf numFmtId="10" fontId="12" fillId="0" borderId="33" xfId="67" applyNumberFormat="1" applyFont="1" applyFill="1" applyBorder="1" applyAlignment="1" applyProtection="1">
      <alignment horizontal="right"/>
      <protection/>
    </xf>
    <xf numFmtId="192" fontId="12" fillId="0" borderId="40" xfId="76" applyNumberFormat="1" applyFont="1" applyFill="1" applyBorder="1" applyAlignment="1" applyProtection="1">
      <alignment horizontal="right"/>
      <protection/>
    </xf>
    <xf numFmtId="10" fontId="12" fillId="0" borderId="47" xfId="66" applyNumberFormat="1" applyFont="1" applyFill="1" applyBorder="1" applyAlignment="1" applyProtection="1">
      <alignment horizontal="right"/>
      <protection/>
    </xf>
    <xf numFmtId="10" fontId="12" fillId="48" borderId="47" xfId="66" applyNumberFormat="1" applyFont="1" applyFill="1" applyBorder="1" applyAlignment="1" applyProtection="1">
      <alignment horizontal="right"/>
      <protection/>
    </xf>
    <xf numFmtId="192" fontId="12" fillId="48" borderId="40" xfId="76" applyNumberFormat="1" applyFont="1" applyFill="1" applyBorder="1" applyAlignment="1" applyProtection="1">
      <alignment horizontal="right"/>
      <protection/>
    </xf>
    <xf numFmtId="0" fontId="94" fillId="0" borderId="33" xfId="0" applyFont="1" applyBorder="1" applyAlignment="1">
      <alignment horizontal="center" vertical="center"/>
    </xf>
    <xf numFmtId="0" fontId="94" fillId="0" borderId="39" xfId="0" applyFont="1" applyBorder="1" applyAlignment="1">
      <alignment horizontal="center" vertical="center"/>
    </xf>
    <xf numFmtId="10" fontId="94" fillId="0" borderId="39" xfId="67" applyNumberFormat="1" applyFont="1" applyFill="1" applyBorder="1" applyAlignment="1" applyProtection="1">
      <alignment horizontal="center" vertical="center"/>
      <protection/>
    </xf>
    <xf numFmtId="191" fontId="94" fillId="0" borderId="40" xfId="76" applyFont="1" applyFill="1" applyBorder="1" applyAlignment="1" applyProtection="1">
      <alignment horizontal="center" vertical="center"/>
      <protection/>
    </xf>
    <xf numFmtId="0" fontId="12" fillId="0" borderId="33" xfId="0" applyFont="1" applyBorder="1" applyAlignment="1">
      <alignment horizontal="center"/>
    </xf>
    <xf numFmtId="0" fontId="12" fillId="0" borderId="40" xfId="0" applyFont="1" applyBorder="1" applyAlignment="1">
      <alignment horizontal="center"/>
    </xf>
    <xf numFmtId="10" fontId="21" fillId="0" borderId="33" xfId="67" applyNumberFormat="1" applyFont="1" applyFill="1" applyBorder="1" applyAlignment="1" applyProtection="1">
      <alignment horizontal="center" vertical="center"/>
      <protection/>
    </xf>
    <xf numFmtId="10" fontId="21" fillId="0" borderId="47" xfId="66" applyNumberFormat="1" applyFont="1" applyFill="1" applyBorder="1" applyAlignment="1" applyProtection="1">
      <alignment horizontal="center" vertical="center"/>
      <protection/>
    </xf>
    <xf numFmtId="0" fontId="21" fillId="0" borderId="42" xfId="0" applyFont="1" applyBorder="1" applyAlignment="1">
      <alignment horizontal="center" vertical="center"/>
    </xf>
    <xf numFmtId="191" fontId="21" fillId="0" borderId="43" xfId="76" applyFont="1" applyFill="1" applyBorder="1" applyAlignment="1" applyProtection="1">
      <alignment horizontal="center" vertical="center"/>
      <protection/>
    </xf>
    <xf numFmtId="10" fontId="21" fillId="0" borderId="41" xfId="67" applyNumberFormat="1" applyFont="1" applyFill="1" applyBorder="1" applyAlignment="1" applyProtection="1">
      <alignment horizontal="center" vertical="center"/>
      <protection/>
    </xf>
    <xf numFmtId="10" fontId="21" fillId="0" borderId="75" xfId="66" applyNumberFormat="1" applyFont="1" applyFill="1" applyBorder="1" applyAlignment="1" applyProtection="1">
      <alignment horizontal="center" vertical="center"/>
      <protection/>
    </xf>
    <xf numFmtId="0" fontId="20" fillId="45" borderId="0" xfId="0" applyFont="1" applyFill="1" applyBorder="1" applyAlignment="1">
      <alignment horizontal="center" vertical="center" wrapText="1"/>
    </xf>
    <xf numFmtId="0" fontId="32" fillId="0" borderId="0" xfId="0" applyFont="1" applyFill="1" applyBorder="1" applyAlignment="1">
      <alignment vertical="center" wrapText="1"/>
    </xf>
    <xf numFmtId="2" fontId="32" fillId="0" borderId="0" xfId="0" applyNumberFormat="1" applyFont="1" applyFill="1" applyBorder="1" applyAlignment="1">
      <alignment vertical="center" wrapText="1"/>
    </xf>
    <xf numFmtId="2" fontId="31" fillId="0" borderId="0" xfId="0" applyNumberFormat="1" applyFont="1" applyFill="1" applyBorder="1" applyAlignment="1">
      <alignment vertical="center" wrapText="1"/>
    </xf>
    <xf numFmtId="0" fontId="32" fillId="0" borderId="0" xfId="0" applyFont="1" applyFill="1" applyBorder="1" applyAlignment="1">
      <alignment horizontal="center" vertical="center" wrapText="1"/>
    </xf>
    <xf numFmtId="2" fontId="32" fillId="0" borderId="0" xfId="0" applyNumberFormat="1" applyFont="1" applyFill="1" applyBorder="1" applyAlignment="1">
      <alignment horizontal="center" vertical="center" wrapText="1"/>
    </xf>
    <xf numFmtId="2" fontId="31" fillId="0" borderId="0" xfId="0" applyNumberFormat="1" applyFont="1" applyFill="1" applyBorder="1" applyAlignment="1">
      <alignment horizontal="center" vertical="center" wrapText="1"/>
    </xf>
    <xf numFmtId="0" fontId="20" fillId="34" borderId="46" xfId="0" applyFont="1" applyFill="1" applyBorder="1" applyAlignment="1">
      <alignment horizontal="center" vertical="center" wrapText="1"/>
    </xf>
    <xf numFmtId="0" fontId="30" fillId="37" borderId="24" xfId="0" applyFont="1" applyFill="1" applyBorder="1" applyAlignment="1">
      <alignment horizontal="center" vertical="center" wrapText="1"/>
    </xf>
    <xf numFmtId="0" fontId="29" fillId="35" borderId="44" xfId="0" applyFont="1" applyFill="1" applyBorder="1" applyAlignment="1">
      <alignment horizontal="center" vertical="center" wrapText="1"/>
    </xf>
    <xf numFmtId="0" fontId="29" fillId="35" borderId="0" xfId="0" applyFont="1" applyFill="1" applyBorder="1" applyAlignment="1">
      <alignment horizontal="center" vertical="center" wrapText="1"/>
    </xf>
    <xf numFmtId="0" fontId="29" fillId="35" borderId="38" xfId="0" applyFont="1" applyFill="1" applyBorder="1" applyAlignment="1">
      <alignment horizontal="center" vertical="center" wrapText="1"/>
    </xf>
    <xf numFmtId="0" fontId="31" fillId="5" borderId="39" xfId="0" applyFont="1" applyFill="1" applyBorder="1" applyAlignment="1">
      <alignment horizontal="center" vertical="center"/>
    </xf>
    <xf numFmtId="0" fontId="31" fillId="5" borderId="48" xfId="0" applyFont="1" applyFill="1" applyBorder="1" applyAlignment="1">
      <alignment horizontal="center" vertical="center" wrapText="1"/>
    </xf>
    <xf numFmtId="0" fontId="31" fillId="35" borderId="44" xfId="0" applyFont="1" applyFill="1" applyBorder="1" applyAlignment="1">
      <alignment horizontal="center"/>
    </xf>
    <xf numFmtId="0" fontId="31" fillId="35" borderId="0" xfId="0" applyFont="1" applyFill="1" applyBorder="1" applyAlignment="1">
      <alignment horizontal="center"/>
    </xf>
    <xf numFmtId="0" fontId="31" fillId="35" borderId="38" xfId="0" applyFont="1" applyFill="1" applyBorder="1" applyAlignment="1">
      <alignment horizontal="center"/>
    </xf>
    <xf numFmtId="0" fontId="31" fillId="0" borderId="0" xfId="0" applyFont="1" applyBorder="1" applyAlignment="1">
      <alignment horizontal="center" vertical="center"/>
    </xf>
    <xf numFmtId="0" fontId="26" fillId="0" borderId="44" xfId="0" applyFont="1" applyBorder="1" applyAlignment="1">
      <alignment horizontal="center" vertical="center" wrapText="1"/>
    </xf>
    <xf numFmtId="0" fontId="21" fillId="35" borderId="44" xfId="54" applyFont="1" applyFill="1" applyBorder="1" applyAlignment="1">
      <alignment horizontal="center" vertical="center"/>
      <protection/>
    </xf>
    <xf numFmtId="0" fontId="21" fillId="35" borderId="0" xfId="54" applyFont="1" applyFill="1" applyBorder="1" applyAlignment="1">
      <alignment horizontal="center" vertical="center"/>
      <protection/>
    </xf>
    <xf numFmtId="0" fontId="21" fillId="35" borderId="38" xfId="54" applyFont="1" applyFill="1" applyBorder="1" applyAlignment="1">
      <alignment horizontal="center" vertical="center"/>
      <protection/>
    </xf>
    <xf numFmtId="0" fontId="12" fillId="35" borderId="44" xfId="54" applyFont="1" applyFill="1" applyBorder="1" applyAlignment="1">
      <alignment horizontal="center" vertical="center"/>
      <protection/>
    </xf>
    <xf numFmtId="0" fontId="12" fillId="35" borderId="0" xfId="54" applyFont="1" applyFill="1" applyBorder="1" applyAlignment="1">
      <alignment horizontal="center" vertical="center"/>
      <protection/>
    </xf>
    <xf numFmtId="0" fontId="12" fillId="35" borderId="38" xfId="54" applyFont="1" applyFill="1" applyBorder="1" applyAlignment="1">
      <alignment horizontal="center" vertical="center"/>
      <protection/>
    </xf>
    <xf numFmtId="0" fontId="94" fillId="35" borderId="44" xfId="0" applyFont="1" applyFill="1" applyBorder="1" applyAlignment="1">
      <alignment horizontal="center" vertical="center"/>
    </xf>
    <xf numFmtId="0" fontId="94" fillId="35" borderId="0" xfId="0" applyFont="1" applyFill="1" applyBorder="1" applyAlignment="1">
      <alignment horizontal="center" vertical="center"/>
    </xf>
    <xf numFmtId="0" fontId="94" fillId="35" borderId="38" xfId="0" applyFont="1" applyFill="1" applyBorder="1" applyAlignment="1">
      <alignment horizontal="center" vertical="center"/>
    </xf>
    <xf numFmtId="0" fontId="91" fillId="34" borderId="55" xfId="0" applyFont="1" applyFill="1" applyBorder="1" applyAlignment="1">
      <alignment horizontal="center" vertical="center"/>
    </xf>
    <xf numFmtId="0" fontId="91" fillId="34" borderId="24" xfId="0" applyFont="1" applyFill="1" applyBorder="1" applyAlignment="1">
      <alignment horizontal="center" vertical="center"/>
    </xf>
    <xf numFmtId="167" fontId="21" fillId="0" borderId="0" xfId="60" applyNumberFormat="1" applyFont="1" applyFill="1" applyBorder="1" applyAlignment="1">
      <alignment vertical="center" wrapText="1"/>
      <protection/>
    </xf>
    <xf numFmtId="0" fontId="100" fillId="0" borderId="0" xfId="0" applyFont="1" applyAlignment="1">
      <alignment/>
    </xf>
    <xf numFmtId="0" fontId="100" fillId="0" borderId="0" xfId="0" applyFont="1" applyAlignment="1">
      <alignment horizontal="right"/>
    </xf>
    <xf numFmtId="0" fontId="37" fillId="0" borderId="31" xfId="0" applyFont="1" applyFill="1" applyBorder="1" applyAlignment="1">
      <alignment/>
    </xf>
    <xf numFmtId="0" fontId="38" fillId="35" borderId="53" xfId="53" applyFont="1" applyFill="1" applyBorder="1" applyAlignment="1">
      <alignment vertical="center"/>
      <protection/>
    </xf>
    <xf numFmtId="0" fontId="38" fillId="35" borderId="54" xfId="53" applyFont="1" applyFill="1" applyBorder="1" applyAlignment="1">
      <alignment vertical="center"/>
      <protection/>
    </xf>
    <xf numFmtId="0" fontId="38" fillId="0" borderId="0" xfId="0" applyFont="1" applyFill="1" applyBorder="1" applyAlignment="1">
      <alignment horizontal="center" vertical="center"/>
    </xf>
    <xf numFmtId="0" fontId="37" fillId="0" borderId="32" xfId="0" applyFont="1" applyFill="1" applyBorder="1" applyAlignment="1">
      <alignment/>
    </xf>
    <xf numFmtId="0" fontId="38" fillId="35" borderId="66" xfId="53" applyFont="1" applyFill="1" applyBorder="1" applyAlignment="1">
      <alignment vertical="center"/>
      <protection/>
    </xf>
    <xf numFmtId="0" fontId="38" fillId="35" borderId="67" xfId="53" applyFont="1" applyFill="1" applyBorder="1" applyAlignment="1">
      <alignment vertical="center"/>
      <protection/>
    </xf>
    <xf numFmtId="0" fontId="32" fillId="0" borderId="44" xfId="0" applyFont="1" applyFill="1" applyBorder="1" applyAlignment="1">
      <alignment vertical="center"/>
    </xf>
    <xf numFmtId="0" fontId="32" fillId="35" borderId="44" xfId="0" applyFont="1" applyFill="1" applyBorder="1" applyAlignment="1">
      <alignment horizontal="center"/>
    </xf>
    <xf numFmtId="0" fontId="32" fillId="35" borderId="38" xfId="0" applyFont="1" applyFill="1" applyBorder="1" applyAlignment="1">
      <alignment horizontal="center"/>
    </xf>
    <xf numFmtId="0" fontId="29" fillId="0" borderId="0" xfId="0" applyFont="1" applyBorder="1" applyAlignment="1">
      <alignment horizontal="center" vertical="center"/>
    </xf>
    <xf numFmtId="0" fontId="12" fillId="0" borderId="44" xfId="0" applyFont="1" applyBorder="1" applyAlignment="1">
      <alignment/>
    </xf>
    <xf numFmtId="0" fontId="31" fillId="5" borderId="40" xfId="0" applyFont="1" applyFill="1" applyBorder="1" applyAlignment="1">
      <alignment horizontal="center" vertical="center"/>
    </xf>
    <xf numFmtId="0" fontId="31" fillId="5" borderId="43" xfId="0" applyFont="1" applyFill="1" applyBorder="1" applyAlignment="1">
      <alignment horizontal="center" vertical="center"/>
    </xf>
    <xf numFmtId="4" fontId="32" fillId="0" borderId="64" xfId="0" applyNumberFormat="1" applyFont="1" applyBorder="1" applyAlignment="1">
      <alignment horizontal="center" vertical="center"/>
    </xf>
    <xf numFmtId="0" fontId="31" fillId="0" borderId="44" xfId="0" applyFont="1" applyFill="1" applyBorder="1" applyAlignment="1">
      <alignment vertical="center"/>
    </xf>
    <xf numFmtId="0" fontId="32" fillId="0" borderId="0" xfId="0" applyFont="1" applyBorder="1" applyAlignment="1">
      <alignment/>
    </xf>
    <xf numFmtId="0" fontId="32" fillId="0" borderId="38" xfId="0" applyFont="1" applyBorder="1" applyAlignment="1">
      <alignment/>
    </xf>
    <xf numFmtId="0" fontId="32" fillId="0" borderId="44" xfId="0" applyFont="1" applyBorder="1" applyAlignment="1">
      <alignment/>
    </xf>
    <xf numFmtId="0" fontId="32" fillId="0" borderId="0" xfId="0" applyFont="1" applyBorder="1" applyAlignment="1">
      <alignment horizontal="center"/>
    </xf>
    <xf numFmtId="0" fontId="31" fillId="0" borderId="67" xfId="53" applyFont="1" applyFill="1" applyBorder="1" applyAlignment="1">
      <alignment vertical="center"/>
      <protection/>
    </xf>
    <xf numFmtId="0" fontId="38" fillId="0" borderId="44" xfId="0" applyFont="1" applyFill="1" applyBorder="1" applyAlignment="1">
      <alignment vertical="center"/>
    </xf>
    <xf numFmtId="1" fontId="21" fillId="0" borderId="44" xfId="0" applyNumberFormat="1" applyFont="1" applyFill="1" applyBorder="1" applyAlignment="1">
      <alignment horizontal="center" vertical="center" wrapText="1"/>
    </xf>
    <xf numFmtId="167" fontId="21" fillId="0" borderId="44" xfId="60" applyNumberFormat="1" applyFont="1" applyFill="1" applyBorder="1" applyAlignment="1">
      <alignment horizontal="center" vertical="center" wrapText="1"/>
      <protection/>
    </xf>
    <xf numFmtId="167" fontId="21" fillId="0" borderId="40" xfId="60" applyNumberFormat="1" applyFont="1" applyFill="1" applyBorder="1" applyAlignment="1">
      <alignment vertical="center"/>
      <protection/>
    </xf>
    <xf numFmtId="0" fontId="21" fillId="43" borderId="52" xfId="0" applyFont="1" applyFill="1" applyBorder="1" applyAlignment="1">
      <alignment horizontal="center" vertical="center"/>
    </xf>
    <xf numFmtId="167" fontId="14" fillId="34" borderId="33" xfId="60" applyNumberFormat="1" applyFont="1" applyFill="1" applyBorder="1" applyAlignment="1">
      <alignment horizontal="center" vertical="center"/>
      <protection/>
    </xf>
    <xf numFmtId="167" fontId="14" fillId="34" borderId="40" xfId="60" applyNumberFormat="1" applyFont="1" applyFill="1" applyBorder="1" applyAlignment="1">
      <alignment horizontal="center" vertical="center"/>
      <protection/>
    </xf>
    <xf numFmtId="0" fontId="14" fillId="0" borderId="33" xfId="0" applyFont="1" applyFill="1" applyBorder="1" applyAlignment="1">
      <alignment horizontal="center" vertical="center"/>
    </xf>
    <xf numFmtId="4" fontId="14" fillId="0" borderId="40" xfId="0" applyNumberFormat="1" applyFont="1" applyFill="1" applyBorder="1" applyAlignment="1">
      <alignment horizontal="right" vertical="center"/>
    </xf>
    <xf numFmtId="4" fontId="26" fillId="0" borderId="40" xfId="0" applyNumberFormat="1" applyFont="1" applyFill="1" applyBorder="1" applyAlignment="1">
      <alignment vertical="center"/>
    </xf>
    <xf numFmtId="0" fontId="14" fillId="0" borderId="33" xfId="0" applyFont="1" applyFill="1" applyBorder="1" applyAlignment="1">
      <alignment horizontal="center" vertical="center" wrapText="1"/>
    </xf>
    <xf numFmtId="167" fontId="14" fillId="0" borderId="33" xfId="60" applyNumberFormat="1" applyFont="1" applyBorder="1" applyAlignment="1">
      <alignment horizontal="center" vertical="center"/>
      <protection/>
    </xf>
    <xf numFmtId="167" fontId="14" fillId="0" borderId="40" xfId="60" applyNumberFormat="1" applyFont="1" applyBorder="1" applyAlignment="1">
      <alignment horizontal="center" vertical="center"/>
      <protection/>
    </xf>
    <xf numFmtId="167" fontId="26" fillId="0" borderId="40" xfId="60" applyNumberFormat="1" applyFont="1" applyFill="1" applyBorder="1" applyAlignment="1">
      <alignment horizontal="center" vertical="center"/>
      <protection/>
    </xf>
    <xf numFmtId="167" fontId="14" fillId="0" borderId="40" xfId="58" applyNumberFormat="1" applyFont="1" applyBorder="1" applyAlignment="1">
      <alignment horizontal="center" vertical="center"/>
      <protection/>
    </xf>
    <xf numFmtId="167" fontId="14" fillId="8" borderId="41" xfId="60" applyNumberFormat="1" applyFont="1" applyFill="1" applyBorder="1" applyAlignment="1" quotePrefix="1">
      <alignment horizontal="center" vertical="center"/>
      <protection/>
    </xf>
    <xf numFmtId="167" fontId="14" fillId="8" borderId="42" xfId="60" applyNumberFormat="1" applyFont="1" applyFill="1" applyBorder="1" applyAlignment="1" quotePrefix="1">
      <alignment horizontal="center" vertical="center"/>
      <protection/>
    </xf>
    <xf numFmtId="167" fontId="26" fillId="8" borderId="43" xfId="61" applyNumberFormat="1" applyFont="1" applyFill="1" applyBorder="1" applyAlignment="1">
      <alignment horizontal="center" vertical="center"/>
      <protection/>
    </xf>
    <xf numFmtId="0" fontId="103" fillId="33" borderId="44" xfId="0" applyFont="1" applyFill="1" applyBorder="1" applyAlignment="1">
      <alignment horizontal="center" vertical="center"/>
    </xf>
    <xf numFmtId="0" fontId="21" fillId="43" borderId="56" xfId="0" applyFont="1" applyFill="1" applyBorder="1" applyAlignment="1">
      <alignment horizontal="center" vertical="center"/>
    </xf>
    <xf numFmtId="0" fontId="99" fillId="33" borderId="44" xfId="0" applyFont="1" applyFill="1" applyBorder="1" applyAlignment="1">
      <alignment horizontal="center" vertical="center"/>
    </xf>
    <xf numFmtId="0" fontId="95" fillId="0" borderId="44" xfId="0" applyFont="1" applyBorder="1" applyAlignment="1">
      <alignment horizontal="center" vertical="center"/>
    </xf>
    <xf numFmtId="0" fontId="91" fillId="0" borderId="44" xfId="0" applyFont="1" applyBorder="1" applyAlignment="1">
      <alignment horizontal="center" vertical="center"/>
    </xf>
    <xf numFmtId="0" fontId="91" fillId="34" borderId="76" xfId="0" applyFont="1" applyFill="1" applyBorder="1" applyAlignment="1">
      <alignment horizontal="center" vertical="center"/>
    </xf>
    <xf numFmtId="0" fontId="91" fillId="34" borderId="64" xfId="0" applyFont="1" applyFill="1" applyBorder="1" applyAlignment="1">
      <alignment horizontal="center" vertical="center"/>
    </xf>
    <xf numFmtId="0" fontId="11" fillId="35" borderId="0" xfId="0" applyFont="1" applyFill="1" applyBorder="1" applyAlignment="1" applyProtection="1">
      <alignment vertical="center"/>
      <protection locked="0"/>
    </xf>
    <xf numFmtId="0" fontId="13" fillId="0" borderId="44" xfId="57" applyFont="1" applyBorder="1" applyAlignment="1">
      <alignment horizontal="center" vertical="center"/>
      <protection/>
    </xf>
    <xf numFmtId="0" fontId="16" fillId="0" borderId="45" xfId="0" applyFont="1" applyBorder="1" applyAlignment="1">
      <alignment horizontal="center" vertical="center"/>
    </xf>
    <xf numFmtId="2" fontId="16" fillId="0" borderId="40" xfId="0" applyNumberFormat="1" applyFont="1" applyBorder="1" applyAlignment="1">
      <alignment horizontal="center" vertical="center"/>
    </xf>
    <xf numFmtId="2" fontId="16" fillId="34" borderId="40" xfId="0" applyNumberFormat="1" applyFont="1" applyFill="1" applyBorder="1" applyAlignment="1">
      <alignment horizontal="center" vertical="center"/>
    </xf>
    <xf numFmtId="0" fontId="16" fillId="0" borderId="33" xfId="0" applyFont="1" applyBorder="1" applyAlignment="1">
      <alignment horizontal="center" vertical="center"/>
    </xf>
    <xf numFmtId="0" fontId="18" fillId="0" borderId="40"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77" xfId="0" applyFont="1" applyFill="1" applyBorder="1" applyAlignment="1">
      <alignment horizontal="center" vertical="center"/>
    </xf>
    <xf numFmtId="2" fontId="16" fillId="0" borderId="43" xfId="0" applyNumberFormat="1" applyFont="1" applyFill="1" applyBorder="1" applyAlignment="1">
      <alignment horizontal="center" vertical="center"/>
    </xf>
    <xf numFmtId="171" fontId="11" fillId="43" borderId="78" xfId="60" applyNumberFormat="1" applyFont="1" applyFill="1" applyBorder="1" applyAlignment="1">
      <alignment vertical="center" wrapText="1"/>
      <protection/>
    </xf>
    <xf numFmtId="0" fontId="29" fillId="0" borderId="31" xfId="0" applyFont="1" applyBorder="1" applyAlignment="1">
      <alignment vertical="center"/>
    </xf>
    <xf numFmtId="0" fontId="29" fillId="0" borderId="53" xfId="0" applyFont="1" applyBorder="1" applyAlignment="1">
      <alignment vertical="center"/>
    </xf>
    <xf numFmtId="0" fontId="29" fillId="0" borderId="44" xfId="0" applyFont="1" applyBorder="1" applyAlignment="1">
      <alignment vertical="center"/>
    </xf>
    <xf numFmtId="0" fontId="29" fillId="0" borderId="44" xfId="0" applyFont="1" applyFill="1" applyBorder="1" applyAlignment="1">
      <alignment vertical="center"/>
    </xf>
    <xf numFmtId="0" fontId="29" fillId="0" borderId="0" xfId="0" applyFont="1" applyFill="1" applyBorder="1" applyAlignment="1">
      <alignment vertical="center"/>
    </xf>
    <xf numFmtId="0" fontId="29" fillId="35" borderId="44" xfId="0" applyFont="1" applyFill="1" applyBorder="1" applyAlignment="1">
      <alignment vertical="center"/>
    </xf>
    <xf numFmtId="0" fontId="29" fillId="35" borderId="0" xfId="0" applyFont="1" applyFill="1" applyBorder="1" applyAlignment="1">
      <alignment vertical="center"/>
    </xf>
    <xf numFmtId="0" fontId="29" fillId="0" borderId="50" xfId="0" applyFont="1" applyBorder="1" applyAlignment="1">
      <alignment vertical="center"/>
    </xf>
    <xf numFmtId="0" fontId="29" fillId="0" borderId="51" xfId="0" applyFont="1" applyBorder="1" applyAlignment="1">
      <alignment vertical="center"/>
    </xf>
    <xf numFmtId="166" fontId="20" fillId="34" borderId="43" xfId="47" applyFont="1" applyFill="1" applyBorder="1" applyAlignment="1">
      <alignment horizontal="right" vertical="center"/>
    </xf>
    <xf numFmtId="0" fontId="21" fillId="35" borderId="0" xfId="54" applyFont="1" applyFill="1" applyBorder="1" applyAlignment="1">
      <alignment horizontal="center" vertical="center"/>
      <protection/>
    </xf>
    <xf numFmtId="0" fontId="21" fillId="35" borderId="38" xfId="54" applyFont="1" applyFill="1" applyBorder="1" applyAlignment="1">
      <alignment horizontal="center" vertical="center"/>
      <protection/>
    </xf>
    <xf numFmtId="0" fontId="12" fillId="35" borderId="44" xfId="54" applyFont="1" applyFill="1" applyBorder="1" applyAlignment="1">
      <alignment horizontal="center" vertical="center"/>
      <protection/>
    </xf>
    <xf numFmtId="0" fontId="12" fillId="35" borderId="0" xfId="54" applyFont="1" applyFill="1" applyBorder="1" applyAlignment="1">
      <alignment horizontal="center" vertical="center"/>
      <protection/>
    </xf>
    <xf numFmtId="0" fontId="12" fillId="35" borderId="38" xfId="54" applyFont="1" applyFill="1" applyBorder="1" applyAlignment="1">
      <alignment horizontal="center" vertical="center"/>
      <protection/>
    </xf>
    <xf numFmtId="0" fontId="100" fillId="35" borderId="39" xfId="0" applyFont="1" applyFill="1" applyBorder="1" applyAlignment="1">
      <alignment horizontal="center"/>
    </xf>
    <xf numFmtId="0" fontId="22" fillId="0" borderId="47" xfId="0" applyFont="1" applyBorder="1" applyAlignment="1">
      <alignment horizontal="center" vertical="center"/>
    </xf>
    <xf numFmtId="1" fontId="23" fillId="0" borderId="39" xfId="0" applyNumberFormat="1" applyFont="1" applyBorder="1" applyAlignment="1">
      <alignment horizontal="center" vertical="center"/>
    </xf>
    <xf numFmtId="0" fontId="23" fillId="0" borderId="39" xfId="0" applyFont="1" applyBorder="1" applyAlignment="1">
      <alignment horizontal="center" vertical="center"/>
    </xf>
    <xf numFmtId="171" fontId="101" fillId="0" borderId="39" xfId="0" applyNumberFormat="1" applyFont="1" applyBorder="1" applyAlignment="1">
      <alignment horizontal="center" vertical="center"/>
    </xf>
    <xf numFmtId="171" fontId="105" fillId="0" borderId="39" xfId="0" applyNumberFormat="1" applyFont="1" applyBorder="1" applyAlignment="1">
      <alignment horizontal="center" vertical="center"/>
    </xf>
    <xf numFmtId="0" fontId="100" fillId="0" borderId="0" xfId="0" applyFont="1" applyAlignment="1">
      <alignment horizontal="center"/>
    </xf>
    <xf numFmtId="192" fontId="12" fillId="0" borderId="47" xfId="76" applyNumberFormat="1" applyFont="1" applyFill="1" applyBorder="1" applyAlignment="1" applyProtection="1">
      <alignment horizontal="right" vertical="center"/>
      <protection/>
    </xf>
    <xf numFmtId="0" fontId="20" fillId="34" borderId="46" xfId="0" applyFont="1" applyFill="1" applyBorder="1" applyAlignment="1">
      <alignment horizontal="center" vertical="center" wrapText="1"/>
    </xf>
    <xf numFmtId="0" fontId="20" fillId="0" borderId="48" xfId="0" applyFont="1" applyFill="1" applyBorder="1" applyAlignment="1">
      <alignment horizontal="justify" vertical="center" wrapText="1"/>
    </xf>
    <xf numFmtId="0" fontId="20" fillId="35" borderId="48" xfId="0" applyFont="1" applyFill="1" applyBorder="1" applyAlignment="1">
      <alignment horizontal="justify" vertical="center" wrapText="1"/>
    </xf>
    <xf numFmtId="0" fontId="20" fillId="35" borderId="45" xfId="0" applyFont="1" applyFill="1" applyBorder="1" applyAlignment="1">
      <alignment horizontal="center" vertical="center" wrapText="1"/>
    </xf>
    <xf numFmtId="0" fontId="27" fillId="0" borderId="39" xfId="0" applyFont="1" applyBorder="1" applyAlignment="1">
      <alignment horizontal="left" vertical="center" wrapText="1"/>
    </xf>
    <xf numFmtId="0" fontId="27" fillId="0" borderId="24" xfId="0" applyFont="1" applyBorder="1" applyAlignment="1">
      <alignment horizontal="left" vertical="center" wrapText="1"/>
    </xf>
    <xf numFmtId="0" fontId="37" fillId="0" borderId="23" xfId="0" applyFont="1" applyFill="1" applyBorder="1" applyAlignment="1">
      <alignment horizontal="center" vertical="center"/>
    </xf>
    <xf numFmtId="0" fontId="37" fillId="0" borderId="79" xfId="53" applyFont="1" applyFill="1" applyBorder="1" applyAlignment="1">
      <alignment horizontal="left" vertical="center" wrapText="1"/>
      <protection/>
    </xf>
    <xf numFmtId="2" fontId="37" fillId="0" borderId="79" xfId="53" applyNumberFormat="1" applyFont="1" applyFill="1" applyBorder="1" applyAlignment="1">
      <alignment horizontal="center" vertical="center" wrapText="1"/>
      <protection/>
    </xf>
    <xf numFmtId="4" fontId="37" fillId="0" borderId="24" xfId="53" applyNumberFormat="1" applyFont="1" applyFill="1" applyBorder="1" applyAlignment="1">
      <alignment horizontal="center" vertical="center"/>
      <protection/>
    </xf>
    <xf numFmtId="170" fontId="37" fillId="0" borderId="24" xfId="53" applyNumberFormat="1" applyFont="1" applyFill="1" applyBorder="1" applyAlignment="1">
      <alignment horizontal="center" vertical="center"/>
      <protection/>
    </xf>
    <xf numFmtId="4" fontId="37" fillId="0" borderId="63" xfId="53" applyNumberFormat="1" applyFont="1" applyFill="1" applyBorder="1" applyAlignment="1">
      <alignment horizontal="center" vertical="center"/>
      <protection/>
    </xf>
    <xf numFmtId="4" fontId="37" fillId="0" borderId="80" xfId="53" applyNumberFormat="1" applyFont="1" applyFill="1" applyBorder="1" applyAlignment="1">
      <alignment horizontal="center" vertical="center"/>
      <protection/>
    </xf>
    <xf numFmtId="0" fontId="37" fillId="0" borderId="33" xfId="0" applyFont="1" applyFill="1" applyBorder="1" applyAlignment="1">
      <alignment horizontal="center" vertical="center"/>
    </xf>
    <xf numFmtId="4" fontId="37" fillId="0" borderId="40" xfId="53" applyNumberFormat="1" applyFont="1" applyFill="1" applyBorder="1" applyAlignment="1">
      <alignment horizontal="center" vertical="center"/>
      <protection/>
    </xf>
    <xf numFmtId="0" fontId="37" fillId="0" borderId="34" xfId="0" applyFont="1" applyFill="1" applyBorder="1" applyAlignment="1">
      <alignment horizontal="center" vertical="center"/>
    </xf>
    <xf numFmtId="4" fontId="38" fillId="2" borderId="68" xfId="89" applyNumberFormat="1" applyFont="1" applyFill="1" applyBorder="1" applyAlignment="1">
      <alignment horizontal="center" vertical="center"/>
    </xf>
    <xf numFmtId="4" fontId="38" fillId="2" borderId="65" xfId="89" applyNumberFormat="1" applyFont="1" applyFill="1" applyBorder="1" applyAlignment="1">
      <alignment horizontal="center" vertical="center"/>
    </xf>
    <xf numFmtId="0" fontId="39" fillId="5" borderId="33" xfId="53" applyFont="1" applyFill="1" applyBorder="1" applyAlignment="1">
      <alignment horizontal="center" vertical="center" wrapText="1"/>
      <protection/>
    </xf>
    <xf numFmtId="0" fontId="39" fillId="5" borderId="39" xfId="53" applyFont="1" applyFill="1" applyBorder="1" applyAlignment="1">
      <alignment horizontal="center" vertical="center" wrapText="1"/>
      <protection/>
    </xf>
    <xf numFmtId="0" fontId="39" fillId="5" borderId="40" xfId="53" applyFont="1" applyFill="1" applyBorder="1" applyAlignment="1">
      <alignment horizontal="center" vertical="center" wrapText="1"/>
      <protection/>
    </xf>
    <xf numFmtId="0" fontId="39" fillId="5" borderId="81" xfId="53" applyFont="1" applyFill="1" applyBorder="1" applyAlignment="1">
      <alignment horizontal="center" vertical="center" wrapText="1"/>
      <protection/>
    </xf>
    <xf numFmtId="167" fontId="39" fillId="5" borderId="39" xfId="72" applyNumberFormat="1" applyFont="1" applyFill="1" applyBorder="1" applyAlignment="1">
      <alignment horizontal="center" vertical="center" wrapText="1"/>
    </xf>
    <xf numFmtId="167" fontId="39" fillId="5" borderId="40" xfId="72" applyNumberFormat="1" applyFont="1" applyFill="1" applyBorder="1" applyAlignment="1">
      <alignment horizontal="center" vertical="center" wrapText="1"/>
    </xf>
    <xf numFmtId="0" fontId="39" fillId="5" borderId="33" xfId="53" applyFont="1" applyFill="1" applyBorder="1" applyAlignment="1">
      <alignment horizontal="center" vertical="center"/>
      <protection/>
    </xf>
    <xf numFmtId="2" fontId="39" fillId="5" borderId="39" xfId="53" applyNumberFormat="1" applyFont="1" applyFill="1" applyBorder="1" applyAlignment="1">
      <alignment horizontal="center" vertical="center"/>
      <protection/>
    </xf>
    <xf numFmtId="0" fontId="39" fillId="5" borderId="47" xfId="53" applyFont="1" applyFill="1" applyBorder="1" applyAlignment="1">
      <alignment horizontal="center" vertical="center"/>
      <protection/>
    </xf>
    <xf numFmtId="0" fontId="39" fillId="5" borderId="46" xfId="53" applyFont="1" applyFill="1" applyBorder="1" applyAlignment="1">
      <alignment horizontal="center" vertical="center"/>
      <protection/>
    </xf>
    <xf numFmtId="0" fontId="39" fillId="5" borderId="81" xfId="53" applyFont="1" applyFill="1" applyBorder="1" applyAlignment="1">
      <alignment horizontal="center" vertical="center"/>
      <protection/>
    </xf>
    <xf numFmtId="0" fontId="39" fillId="5" borderId="39" xfId="53" applyFont="1" applyFill="1" applyBorder="1" applyAlignment="1">
      <alignment horizontal="center" vertical="center"/>
      <protection/>
    </xf>
    <xf numFmtId="2" fontId="39" fillId="5" borderId="48" xfId="53" applyNumberFormat="1" applyFont="1" applyFill="1" applyBorder="1" applyAlignment="1">
      <alignment horizontal="center" vertical="center"/>
      <protection/>
    </xf>
    <xf numFmtId="2" fontId="39" fillId="5" borderId="82" xfId="53" applyNumberFormat="1" applyFont="1" applyFill="1" applyBorder="1" applyAlignment="1">
      <alignment horizontal="center" vertical="center"/>
      <protection/>
    </xf>
    <xf numFmtId="2" fontId="39" fillId="5" borderId="83" xfId="53" applyNumberFormat="1" applyFont="1" applyFill="1" applyBorder="1" applyAlignment="1">
      <alignment horizontal="center" vertical="center"/>
      <protection/>
    </xf>
    <xf numFmtId="0" fontId="39" fillId="0" borderId="84" xfId="53" applyFont="1" applyFill="1" applyBorder="1" applyAlignment="1">
      <alignment horizontal="center" vertical="center"/>
      <protection/>
    </xf>
    <xf numFmtId="0" fontId="39" fillId="0" borderId="85" xfId="53" applyFont="1" applyFill="1" applyBorder="1" applyAlignment="1">
      <alignment horizontal="center" vertical="center"/>
      <protection/>
    </xf>
    <xf numFmtId="0" fontId="39" fillId="5" borderId="86" xfId="53" applyFont="1" applyFill="1" applyBorder="1" applyAlignment="1" quotePrefix="1">
      <alignment horizontal="center" vertical="center"/>
      <protection/>
    </xf>
    <xf numFmtId="0" fontId="39" fillId="5" borderId="84" xfId="53" applyFont="1" applyFill="1" applyBorder="1" applyAlignment="1" quotePrefix="1">
      <alignment horizontal="center" vertical="center"/>
      <protection/>
    </xf>
    <xf numFmtId="0" fontId="39" fillId="5" borderId="87" xfId="53" applyFont="1" applyFill="1" applyBorder="1" applyAlignment="1">
      <alignment horizontal="center" vertical="center"/>
      <protection/>
    </xf>
    <xf numFmtId="0" fontId="39" fillId="5" borderId="88" xfId="53" applyFont="1" applyFill="1" applyBorder="1" applyAlignment="1" quotePrefix="1">
      <alignment horizontal="center" vertical="center"/>
      <protection/>
    </xf>
    <xf numFmtId="0" fontId="39" fillId="5" borderId="89" xfId="53" applyFont="1" applyFill="1" applyBorder="1" applyAlignment="1">
      <alignment horizontal="center" vertical="center"/>
      <protection/>
    </xf>
    <xf numFmtId="0" fontId="39" fillId="5" borderId="90" xfId="53" applyFont="1" applyFill="1" applyBorder="1" applyAlignment="1">
      <alignment horizontal="center" vertical="center"/>
      <protection/>
    </xf>
    <xf numFmtId="0" fontId="39" fillId="5" borderId="84" xfId="53" applyFont="1" applyFill="1" applyBorder="1" applyAlignment="1">
      <alignment horizontal="center" vertical="center"/>
      <protection/>
    </xf>
    <xf numFmtId="167" fontId="39" fillId="5" borderId="85" xfId="72" applyNumberFormat="1" applyFont="1" applyFill="1" applyBorder="1" applyAlignment="1">
      <alignment horizontal="center" vertical="center"/>
    </xf>
    <xf numFmtId="167" fontId="39" fillId="5" borderId="66" xfId="72" applyNumberFormat="1" applyFont="1" applyFill="1" applyBorder="1" applyAlignment="1">
      <alignment horizontal="center" vertical="center"/>
    </xf>
    <xf numFmtId="167" fontId="39" fillId="5" borderId="91" xfId="72" applyNumberFormat="1" applyFont="1" applyFill="1" applyBorder="1" applyAlignment="1">
      <alignment horizontal="center" vertical="center"/>
    </xf>
    <xf numFmtId="0" fontId="39" fillId="5" borderId="48" xfId="53" applyFont="1" applyFill="1" applyBorder="1" applyAlignment="1">
      <alignment horizontal="center" vertical="center" wrapText="1"/>
      <protection/>
    </xf>
    <xf numFmtId="0" fontId="39" fillId="5" borderId="48" xfId="53" applyFont="1" applyFill="1" applyBorder="1" applyAlignment="1">
      <alignment horizontal="center" vertical="center"/>
      <protection/>
    </xf>
    <xf numFmtId="0" fontId="39" fillId="5" borderId="85" xfId="53" applyFont="1" applyFill="1" applyBorder="1" applyAlignment="1">
      <alignment horizontal="center" vertical="center"/>
      <protection/>
    </xf>
    <xf numFmtId="4" fontId="37" fillId="0" borderId="64" xfId="53" applyNumberFormat="1" applyFont="1" applyFill="1" applyBorder="1" applyAlignment="1">
      <alignment horizontal="center" vertical="center"/>
      <protection/>
    </xf>
    <xf numFmtId="2" fontId="39" fillId="5" borderId="40" xfId="53" applyNumberFormat="1" applyFont="1" applyFill="1" applyBorder="1" applyAlignment="1">
      <alignment horizontal="center" vertical="center"/>
      <protection/>
    </xf>
    <xf numFmtId="0" fontId="39" fillId="0" borderId="42" xfId="53" applyFont="1" applyFill="1" applyBorder="1" applyAlignment="1">
      <alignment horizontal="center" vertical="center"/>
      <protection/>
    </xf>
    <xf numFmtId="0" fontId="39" fillId="0" borderId="71" xfId="53" applyFont="1" applyFill="1" applyBorder="1" applyAlignment="1">
      <alignment horizontal="center" vertical="center"/>
      <protection/>
    </xf>
    <xf numFmtId="0" fontId="39" fillId="5" borderId="42" xfId="53" applyFont="1" applyFill="1" applyBorder="1" applyAlignment="1">
      <alignment horizontal="center" vertical="center"/>
      <protection/>
    </xf>
    <xf numFmtId="0" fontId="39" fillId="5" borderId="43" xfId="53" applyFont="1" applyFill="1" applyBorder="1" applyAlignment="1">
      <alignment horizontal="center" vertical="center"/>
      <protection/>
    </xf>
    <xf numFmtId="0" fontId="39" fillId="5" borderId="39" xfId="53" applyFont="1" applyFill="1" applyBorder="1" applyAlignment="1">
      <alignment horizontal="center" vertical="center"/>
      <protection/>
    </xf>
    <xf numFmtId="0" fontId="39" fillId="5" borderId="40" xfId="53" applyFont="1" applyFill="1" applyBorder="1" applyAlignment="1">
      <alignment horizontal="center" vertical="center"/>
      <protection/>
    </xf>
    <xf numFmtId="0" fontId="37" fillId="35" borderId="44" xfId="0" applyFont="1" applyFill="1" applyBorder="1" applyAlignment="1">
      <alignment horizontal="center" vertical="center" wrapText="1"/>
    </xf>
    <xf numFmtId="0" fontId="37" fillId="35" borderId="0" xfId="0" applyFont="1" applyFill="1" applyBorder="1" applyAlignment="1">
      <alignment horizontal="center" vertical="center" wrapText="1"/>
    </xf>
    <xf numFmtId="0" fontId="37" fillId="35" borderId="38" xfId="0" applyFont="1" applyFill="1" applyBorder="1" applyAlignment="1">
      <alignment horizontal="center" vertical="center" wrapText="1"/>
    </xf>
    <xf numFmtId="0" fontId="39" fillId="5" borderId="83" xfId="53" applyFont="1" applyFill="1" applyBorder="1" applyAlignment="1">
      <alignment horizontal="center" vertical="center"/>
      <protection/>
    </xf>
    <xf numFmtId="0" fontId="28" fillId="0" borderId="0" xfId="0" applyFont="1" applyAlignment="1">
      <alignment horizontal="center" vertical="center"/>
    </xf>
    <xf numFmtId="0" fontId="28" fillId="11" borderId="92" xfId="0" applyFont="1" applyFill="1" applyBorder="1" applyAlignment="1">
      <alignment horizontal="center" vertical="center"/>
    </xf>
    <xf numFmtId="0" fontId="28" fillId="11" borderId="29" xfId="0" applyFont="1" applyFill="1" applyBorder="1" applyAlignment="1">
      <alignment horizontal="center" vertical="center"/>
    </xf>
    <xf numFmtId="0" fontId="28" fillId="11" borderId="93" xfId="0" applyFont="1" applyFill="1" applyBorder="1" applyAlignment="1">
      <alignment horizontal="center" vertical="center"/>
    </xf>
    <xf numFmtId="0" fontId="27" fillId="0" borderId="31"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0" fontId="28" fillId="35" borderId="44"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38" xfId="0" applyFont="1" applyFill="1" applyBorder="1" applyAlignment="1">
      <alignment horizontal="center" vertical="center" wrapText="1"/>
    </xf>
    <xf numFmtId="0" fontId="27" fillId="35" borderId="44"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38" xfId="0" applyFont="1" applyFill="1" applyBorder="1" applyAlignment="1">
      <alignment horizontal="center" vertical="center" wrapText="1"/>
    </xf>
    <xf numFmtId="167" fontId="20" fillId="43" borderId="94" xfId="60" applyNumberFormat="1" applyFont="1" applyFill="1" applyBorder="1" applyAlignment="1">
      <alignment horizontal="center" vertical="center" wrapText="1"/>
      <protection/>
    </xf>
    <xf numFmtId="167" fontId="20" fillId="43" borderId="95" xfId="60" applyNumberFormat="1" applyFont="1" applyFill="1" applyBorder="1" applyAlignment="1">
      <alignment horizontal="center" vertical="center" wrapText="1"/>
      <protection/>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78" xfId="0" applyFont="1" applyBorder="1" applyAlignment="1">
      <alignment horizontal="center" vertical="center" wrapText="1"/>
    </xf>
    <xf numFmtId="0" fontId="29" fillId="0" borderId="0" xfId="0" applyFont="1" applyAlignment="1">
      <alignment horizontal="center" vertical="center"/>
    </xf>
    <xf numFmtId="0" fontId="20" fillId="34" borderId="45" xfId="0" applyFont="1" applyFill="1" applyBorder="1" applyAlignment="1">
      <alignment horizontal="right" vertical="center" wrapText="1"/>
    </xf>
    <xf numFmtId="0" fontId="20" fillId="34" borderId="46" xfId="0" applyFont="1" applyFill="1" applyBorder="1" applyAlignment="1">
      <alignment horizontal="right" vertical="center" wrapText="1"/>
    </xf>
    <xf numFmtId="0" fontId="20" fillId="34" borderId="47" xfId="0" applyFont="1" applyFill="1" applyBorder="1" applyAlignment="1">
      <alignment horizontal="right" vertical="center" wrapText="1"/>
    </xf>
    <xf numFmtId="0" fontId="20" fillId="34" borderId="46" xfId="0" applyFont="1" applyFill="1" applyBorder="1" applyAlignment="1">
      <alignment horizontal="center" vertical="center" wrapText="1"/>
    </xf>
    <xf numFmtId="0" fontId="20" fillId="34" borderId="49" xfId="0" applyFont="1" applyFill="1" applyBorder="1" applyAlignment="1">
      <alignment horizontal="center" vertical="center" wrapText="1"/>
    </xf>
    <xf numFmtId="167" fontId="11" fillId="43" borderId="50" xfId="60" applyNumberFormat="1" applyFont="1" applyFill="1" applyBorder="1" applyAlignment="1">
      <alignment horizontal="center" vertical="center" wrapText="1"/>
      <protection/>
    </xf>
    <xf numFmtId="167" fontId="11" fillId="43" borderId="51" xfId="60" applyNumberFormat="1" applyFont="1" applyFill="1" applyBorder="1" applyAlignment="1">
      <alignment horizontal="center" vertical="center" wrapText="1"/>
      <protection/>
    </xf>
    <xf numFmtId="167" fontId="11" fillId="43" borderId="96" xfId="60" applyNumberFormat="1" applyFont="1" applyFill="1" applyBorder="1" applyAlignment="1">
      <alignment horizontal="center" vertical="center" wrapText="1"/>
      <protection/>
    </xf>
    <xf numFmtId="0" fontId="20" fillId="34" borderId="77" xfId="0" applyFont="1" applyFill="1" applyBorder="1" applyAlignment="1">
      <alignment horizontal="right" vertical="center" wrapText="1"/>
    </xf>
    <xf numFmtId="0" fontId="20" fillId="34" borderId="97" xfId="0" applyFont="1" applyFill="1" applyBorder="1" applyAlignment="1">
      <alignment horizontal="right" vertical="center" wrapText="1"/>
    </xf>
    <xf numFmtId="0" fontId="20" fillId="34" borderId="75" xfId="0" applyFont="1" applyFill="1" applyBorder="1" applyAlignment="1">
      <alignment horizontal="right" vertical="center" wrapText="1"/>
    </xf>
    <xf numFmtId="0" fontId="20" fillId="37" borderId="45" xfId="0" applyFont="1" applyFill="1" applyBorder="1" applyAlignment="1">
      <alignment horizontal="right" vertical="center"/>
    </xf>
    <xf numFmtId="0" fontId="20" fillId="37" borderId="46" xfId="0" applyFont="1" applyFill="1" applyBorder="1" applyAlignment="1">
      <alignment horizontal="right" vertical="center"/>
    </xf>
    <xf numFmtId="0" fontId="20" fillId="37" borderId="47" xfId="0" applyFont="1" applyFill="1" applyBorder="1" applyAlignment="1">
      <alignment horizontal="right" vertical="center"/>
    </xf>
    <xf numFmtId="0" fontId="20" fillId="37" borderId="48" xfId="0" applyFont="1" applyFill="1" applyBorder="1" applyAlignment="1">
      <alignment horizontal="center" vertical="center"/>
    </xf>
    <xf numFmtId="0" fontId="20" fillId="37" borderId="46" xfId="0" applyFont="1" applyFill="1" applyBorder="1" applyAlignment="1">
      <alignment horizontal="center" vertical="center"/>
    </xf>
    <xf numFmtId="2" fontId="20" fillId="0" borderId="0" xfId="0" applyNumberFormat="1" applyFont="1" applyAlignment="1">
      <alignment vertical="center"/>
    </xf>
    <xf numFmtId="0" fontId="20" fillId="37" borderId="49" xfId="0" applyFont="1" applyFill="1" applyBorder="1" applyAlignment="1">
      <alignment horizontal="center" vertical="center"/>
    </xf>
    <xf numFmtId="0" fontId="20" fillId="37" borderId="45" xfId="0" applyFont="1" applyFill="1" applyBorder="1" applyAlignment="1">
      <alignment horizontal="right" vertical="center" wrapText="1"/>
    </xf>
    <xf numFmtId="0" fontId="20" fillId="37" borderId="46" xfId="0" applyFont="1" applyFill="1" applyBorder="1" applyAlignment="1">
      <alignment horizontal="right" vertical="center" wrapText="1"/>
    </xf>
    <xf numFmtId="0" fontId="20" fillId="37" borderId="46" xfId="0" applyFont="1" applyFill="1" applyBorder="1" applyAlignment="1">
      <alignment horizontal="center" vertical="center" wrapText="1"/>
    </xf>
    <xf numFmtId="0" fontId="20" fillId="37" borderId="49" xfId="0" applyFont="1" applyFill="1" applyBorder="1" applyAlignment="1">
      <alignment horizontal="center" vertical="center" wrapText="1"/>
    </xf>
    <xf numFmtId="0" fontId="20" fillId="45" borderId="0" xfId="0" applyFont="1" applyFill="1" applyBorder="1" applyAlignment="1">
      <alignment horizontal="center" vertical="center" wrapText="1"/>
    </xf>
    <xf numFmtId="0" fontId="30" fillId="37" borderId="74" xfId="0" applyFont="1" applyFill="1" applyBorder="1" applyAlignment="1">
      <alignment horizontal="center" vertical="center" wrapText="1"/>
    </xf>
    <xf numFmtId="0" fontId="30" fillId="37" borderId="24" xfId="0" applyFont="1" applyFill="1" applyBorder="1" applyAlignment="1">
      <alignment horizontal="center" vertical="center" wrapText="1"/>
    </xf>
    <xf numFmtId="0" fontId="30" fillId="37" borderId="39" xfId="0" applyFont="1" applyFill="1" applyBorder="1" applyAlignment="1">
      <alignment horizontal="center" vertical="center" wrapText="1"/>
    </xf>
    <xf numFmtId="167" fontId="11" fillId="43" borderId="98" xfId="60" applyNumberFormat="1" applyFont="1" applyFill="1" applyBorder="1" applyAlignment="1">
      <alignment horizontal="center" vertical="center" wrapText="1"/>
      <protection/>
    </xf>
    <xf numFmtId="167" fontId="11" fillId="43" borderId="95" xfId="60" applyNumberFormat="1" applyFont="1" applyFill="1" applyBorder="1" applyAlignment="1">
      <alignment horizontal="center" vertical="center" wrapText="1"/>
      <protection/>
    </xf>
    <xf numFmtId="167" fontId="11" fillId="43" borderId="99" xfId="60" applyNumberFormat="1" applyFont="1" applyFill="1" applyBorder="1" applyAlignment="1">
      <alignment horizontal="center" vertical="center" wrapText="1"/>
      <protection/>
    </xf>
    <xf numFmtId="0" fontId="29" fillId="35" borderId="44" xfId="0" applyFont="1" applyFill="1" applyBorder="1" applyAlignment="1">
      <alignment horizontal="center" vertical="center" wrapText="1"/>
    </xf>
    <xf numFmtId="0" fontId="29" fillId="35" borderId="0" xfId="0" applyFont="1" applyFill="1" applyBorder="1" applyAlignment="1">
      <alignment horizontal="center" vertical="center" wrapText="1"/>
    </xf>
    <xf numFmtId="0" fontId="29" fillId="35" borderId="38" xfId="0" applyFont="1" applyFill="1" applyBorder="1" applyAlignment="1">
      <alignment horizontal="center" vertical="center" wrapText="1"/>
    </xf>
    <xf numFmtId="0" fontId="20" fillId="35" borderId="0" xfId="0" applyFont="1" applyFill="1" applyBorder="1" applyAlignment="1">
      <alignment horizontal="left" vertical="center" wrapText="1"/>
    </xf>
    <xf numFmtId="0" fontId="20" fillId="35" borderId="38" xfId="0" applyFont="1" applyFill="1" applyBorder="1" applyAlignment="1">
      <alignment horizontal="left" vertical="center" wrapText="1"/>
    </xf>
    <xf numFmtId="0" fontId="20" fillId="35" borderId="44" xfId="0" applyFont="1" applyFill="1" applyBorder="1" applyAlignment="1">
      <alignment horizontal="left" vertical="center" wrapText="1"/>
    </xf>
    <xf numFmtId="0" fontId="29" fillId="35" borderId="0" xfId="0" applyFont="1" applyFill="1" applyBorder="1" applyAlignment="1">
      <alignment horizontal="left" vertical="center" wrapText="1"/>
    </xf>
    <xf numFmtId="0" fontId="29" fillId="35" borderId="38" xfId="0" applyFont="1" applyFill="1" applyBorder="1" applyAlignment="1">
      <alignment horizontal="left" vertical="center" wrapText="1"/>
    </xf>
    <xf numFmtId="0" fontId="30" fillId="37" borderId="100" xfId="0" applyFont="1" applyFill="1" applyBorder="1" applyAlignment="1">
      <alignment horizontal="center" vertical="center" wrapText="1"/>
    </xf>
    <xf numFmtId="0" fontId="30" fillId="37" borderId="23" xfId="0" applyFont="1" applyFill="1" applyBorder="1" applyAlignment="1">
      <alignment horizontal="center" vertical="center" wrapText="1"/>
    </xf>
    <xf numFmtId="0" fontId="20" fillId="0" borderId="32" xfId="0" applyFont="1" applyFill="1" applyBorder="1" applyAlignment="1">
      <alignment horizontal="right" vertical="center" wrapText="1"/>
    </xf>
    <xf numFmtId="0" fontId="20" fillId="0" borderId="66" xfId="0" applyFont="1" applyFill="1" applyBorder="1" applyAlignment="1">
      <alignment horizontal="right" vertical="center" wrapText="1"/>
    </xf>
    <xf numFmtId="0" fontId="20" fillId="0" borderId="67" xfId="0" applyFont="1" applyFill="1" applyBorder="1" applyAlignment="1">
      <alignment horizontal="right" vertical="center" wrapText="1"/>
    </xf>
    <xf numFmtId="0" fontId="20" fillId="37" borderId="48" xfId="0" applyFont="1" applyFill="1" applyBorder="1" applyAlignment="1">
      <alignment horizontal="center" vertical="center" wrapText="1"/>
    </xf>
    <xf numFmtId="0" fontId="29" fillId="35" borderId="44" xfId="0" applyFont="1" applyFill="1" applyBorder="1" applyAlignment="1">
      <alignment horizontal="left" vertical="center" wrapText="1"/>
    </xf>
    <xf numFmtId="0" fontId="30" fillId="37" borderId="64" xfId="0" applyFont="1" applyFill="1" applyBorder="1" applyAlignment="1">
      <alignment horizontal="center" vertical="center" wrapText="1"/>
    </xf>
    <xf numFmtId="0" fontId="30" fillId="37" borderId="40" xfId="0" applyFont="1" applyFill="1" applyBorder="1" applyAlignment="1">
      <alignment horizontal="center" vertical="center" wrapText="1"/>
    </xf>
    <xf numFmtId="0" fontId="20" fillId="35" borderId="44" xfId="0" applyFont="1" applyFill="1" applyBorder="1" applyAlignment="1">
      <alignment horizontal="center" vertical="center" wrapText="1"/>
    </xf>
    <xf numFmtId="0" fontId="20" fillId="35" borderId="0" xfId="0" applyFont="1" applyFill="1" applyBorder="1" applyAlignment="1">
      <alignment horizontal="center" vertical="center" wrapText="1"/>
    </xf>
    <xf numFmtId="0" fontId="20" fillId="35" borderId="38" xfId="0" applyFont="1" applyFill="1" applyBorder="1" applyAlignment="1">
      <alignment horizontal="center" vertical="center" wrapText="1"/>
    </xf>
    <xf numFmtId="0" fontId="31" fillId="35" borderId="44" xfId="0" applyFont="1" applyFill="1" applyBorder="1" applyAlignment="1">
      <alignment horizontal="center"/>
    </xf>
    <xf numFmtId="0" fontId="31" fillId="35" borderId="0" xfId="0" applyFont="1" applyFill="1" applyBorder="1" applyAlignment="1">
      <alignment horizontal="center"/>
    </xf>
    <xf numFmtId="0" fontId="31" fillId="35" borderId="38" xfId="0" applyFont="1" applyFill="1" applyBorder="1" applyAlignment="1">
      <alignment horizontal="center"/>
    </xf>
    <xf numFmtId="0" fontId="32" fillId="0" borderId="101" xfId="0" applyFont="1" applyBorder="1" applyAlignment="1">
      <alignment horizontal="center" vertical="center"/>
    </xf>
    <xf numFmtId="0" fontId="32" fillId="0" borderId="0" xfId="0" applyFont="1" applyBorder="1" applyAlignment="1">
      <alignment horizontal="center" vertical="center"/>
    </xf>
    <xf numFmtId="0" fontId="32" fillId="0" borderId="38" xfId="0" applyFont="1" applyBorder="1" applyAlignment="1">
      <alignment horizontal="center" vertical="center"/>
    </xf>
    <xf numFmtId="0" fontId="31" fillId="11" borderId="39" xfId="0" applyFont="1" applyFill="1" applyBorder="1" applyAlignment="1">
      <alignment horizontal="center" vertical="center"/>
    </xf>
    <xf numFmtId="0" fontId="31" fillId="11" borderId="48" xfId="0" applyFont="1" applyFill="1" applyBorder="1" applyAlignment="1">
      <alignment horizontal="center" vertical="center"/>
    </xf>
    <xf numFmtId="0" fontId="31" fillId="11" borderId="46" xfId="0" applyFont="1" applyFill="1" applyBorder="1" applyAlignment="1">
      <alignment horizontal="center" vertical="center"/>
    </xf>
    <xf numFmtId="0" fontId="31" fillId="11" borderId="47" xfId="0" applyFont="1" applyFill="1" applyBorder="1" applyAlignment="1">
      <alignment horizontal="center" vertical="center"/>
    </xf>
    <xf numFmtId="0" fontId="31" fillId="0" borderId="92" xfId="0" applyFont="1" applyFill="1" applyBorder="1" applyAlignment="1">
      <alignment horizontal="center" vertical="center"/>
    </xf>
    <xf numFmtId="0" fontId="31" fillId="0" borderId="29" xfId="0" applyFont="1" applyFill="1" applyBorder="1" applyAlignment="1">
      <alignment horizontal="center" vertical="center"/>
    </xf>
    <xf numFmtId="2" fontId="32" fillId="0" borderId="48" xfId="0" applyNumberFormat="1" applyFont="1" applyBorder="1" applyAlignment="1">
      <alignment horizontal="center" vertical="center" wrapText="1"/>
    </xf>
    <xf numFmtId="2" fontId="32" fillId="0" borderId="46" xfId="0" applyNumberFormat="1" applyFont="1" applyBorder="1" applyAlignment="1">
      <alignment horizontal="center" vertical="center" wrapText="1"/>
    </xf>
    <xf numFmtId="2" fontId="32" fillId="0" borderId="47" xfId="0" applyNumberFormat="1" applyFont="1" applyBorder="1" applyAlignment="1">
      <alignment horizontal="center" vertical="center" wrapText="1"/>
    </xf>
    <xf numFmtId="0" fontId="31" fillId="5" borderId="102" xfId="0" applyFont="1" applyFill="1" applyBorder="1" applyAlignment="1">
      <alignment horizontal="center" vertical="center"/>
    </xf>
    <xf numFmtId="0" fontId="31" fillId="5" borderId="40" xfId="0" applyFont="1" applyFill="1" applyBorder="1" applyAlignment="1">
      <alignment horizontal="center" vertical="center"/>
    </xf>
    <xf numFmtId="0" fontId="31" fillId="5" borderId="103" xfId="0" applyFont="1" applyFill="1" applyBorder="1" applyAlignment="1">
      <alignment horizontal="center" vertical="center" wrapText="1"/>
    </xf>
    <xf numFmtId="0" fontId="31" fillId="5" borderId="48" xfId="0" applyFont="1" applyFill="1" applyBorder="1" applyAlignment="1">
      <alignment horizontal="center" vertical="center" wrapText="1"/>
    </xf>
    <xf numFmtId="0" fontId="31" fillId="0" borderId="39" xfId="0" applyFont="1" applyBorder="1" applyAlignment="1">
      <alignment horizontal="center" vertical="center"/>
    </xf>
    <xf numFmtId="2" fontId="31" fillId="0" borderId="39" xfId="0" applyNumberFormat="1" applyFont="1" applyBorder="1" applyAlignment="1">
      <alignment horizontal="center" vertical="center" wrapText="1"/>
    </xf>
    <xf numFmtId="0" fontId="31" fillId="5" borderId="104" xfId="0" applyFont="1" applyFill="1" applyBorder="1" applyAlignment="1">
      <alignment horizontal="center" vertical="center"/>
    </xf>
    <xf numFmtId="0" fontId="31" fillId="5" borderId="24" xfId="0" applyFont="1" applyFill="1" applyBorder="1" applyAlignment="1">
      <alignment horizontal="center" vertical="center"/>
    </xf>
    <xf numFmtId="0" fontId="31" fillId="5" borderId="73" xfId="0" applyFont="1" applyFill="1" applyBorder="1" applyAlignment="1">
      <alignment horizontal="center" vertical="center" wrapText="1"/>
    </xf>
    <xf numFmtId="0" fontId="31" fillId="5" borderId="39" xfId="0" applyFont="1" applyFill="1" applyBorder="1" applyAlignment="1">
      <alignment horizontal="center" vertical="center" wrapText="1"/>
    </xf>
    <xf numFmtId="0" fontId="31" fillId="5" borderId="31" xfId="0" applyFont="1" applyFill="1" applyBorder="1" applyAlignment="1">
      <alignment horizontal="center" vertical="center"/>
    </xf>
    <xf numFmtId="0" fontId="31" fillId="5" borderId="53" xfId="0" applyFont="1" applyFill="1" applyBorder="1" applyAlignment="1">
      <alignment horizontal="center" vertical="center"/>
    </xf>
    <xf numFmtId="0" fontId="31" fillId="5" borderId="54" xfId="0" applyFont="1" applyFill="1" applyBorder="1" applyAlignment="1">
      <alignment horizontal="center" vertical="center"/>
    </xf>
    <xf numFmtId="0" fontId="33" fillId="5" borderId="105" xfId="0" applyFont="1" applyFill="1" applyBorder="1" applyAlignment="1">
      <alignment horizontal="center" vertical="center"/>
    </xf>
    <xf numFmtId="0" fontId="33" fillId="5" borderId="33" xfId="0" applyFont="1" applyFill="1" applyBorder="1" applyAlignment="1">
      <alignment horizontal="center" vertical="center"/>
    </xf>
    <xf numFmtId="0" fontId="33" fillId="5" borderId="41" xfId="0" applyFont="1" applyFill="1" applyBorder="1" applyAlignment="1">
      <alignment horizontal="center" vertical="center"/>
    </xf>
    <xf numFmtId="0" fontId="33" fillId="5" borderId="73" xfId="0" applyFont="1" applyFill="1" applyBorder="1" applyAlignment="1">
      <alignment horizontal="center" vertical="center"/>
    </xf>
    <xf numFmtId="0" fontId="33" fillId="5" borderId="39" xfId="0" applyFont="1" applyFill="1" applyBorder="1" applyAlignment="1">
      <alignment horizontal="center" vertical="center"/>
    </xf>
    <xf numFmtId="0" fontId="33" fillId="5" borderId="42" xfId="0" applyFont="1" applyFill="1" applyBorder="1" applyAlignment="1">
      <alignment horizontal="center" vertical="center"/>
    </xf>
    <xf numFmtId="0" fontId="31" fillId="5" borderId="73"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74" xfId="0" applyFont="1" applyFill="1" applyBorder="1" applyAlignment="1">
      <alignment horizontal="center" vertical="center"/>
    </xf>
    <xf numFmtId="0" fontId="32" fillId="35" borderId="44" xfId="0" applyFont="1" applyFill="1" applyBorder="1" applyAlignment="1">
      <alignment horizontal="center"/>
    </xf>
    <xf numFmtId="0" fontId="32" fillId="35" borderId="0" xfId="0" applyFont="1" applyFill="1" applyBorder="1" applyAlignment="1">
      <alignment horizontal="center"/>
    </xf>
    <xf numFmtId="0" fontId="32" fillId="35" borderId="38" xfId="0" applyFont="1" applyFill="1" applyBorder="1" applyAlignment="1">
      <alignment horizontal="center"/>
    </xf>
    <xf numFmtId="167" fontId="31" fillId="43" borderId="98" xfId="60" applyNumberFormat="1" applyFont="1" applyFill="1" applyBorder="1" applyAlignment="1">
      <alignment horizontal="center" vertical="center" wrapText="1"/>
      <protection/>
    </xf>
    <xf numFmtId="167" fontId="31" fillId="43" borderId="95" xfId="60" applyNumberFormat="1" applyFont="1" applyFill="1" applyBorder="1" applyAlignment="1">
      <alignment horizontal="center" vertical="center" wrapText="1"/>
      <protection/>
    </xf>
    <xf numFmtId="167" fontId="31" fillId="43" borderId="99" xfId="60" applyNumberFormat="1" applyFont="1" applyFill="1" applyBorder="1" applyAlignment="1">
      <alignment horizontal="center" vertical="center" wrapText="1"/>
      <protection/>
    </xf>
    <xf numFmtId="0" fontId="31" fillId="0" borderId="44" xfId="0" applyFont="1" applyBorder="1" applyAlignment="1">
      <alignment horizontal="center" vertical="center"/>
    </xf>
    <xf numFmtId="0" fontId="31" fillId="0" borderId="0" xfId="0" applyFont="1" applyBorder="1" applyAlignment="1">
      <alignment horizontal="center" vertical="center"/>
    </xf>
    <xf numFmtId="0" fontId="31" fillId="0" borderId="38" xfId="0" applyFont="1" applyBorder="1" applyAlignment="1">
      <alignment horizontal="center" vertical="center"/>
    </xf>
    <xf numFmtId="0" fontId="32" fillId="0" borderId="39"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48" xfId="0" applyFont="1" applyBorder="1" applyAlignment="1">
      <alignment horizontal="center" vertical="center"/>
    </xf>
    <xf numFmtId="0" fontId="32" fillId="0" borderId="46" xfId="0" applyFont="1" applyBorder="1" applyAlignment="1">
      <alignment horizontal="center" vertical="center"/>
    </xf>
    <xf numFmtId="0" fontId="32" fillId="0" borderId="47" xfId="0" applyFont="1" applyBorder="1" applyAlignment="1">
      <alignment horizontal="center" vertical="center"/>
    </xf>
    <xf numFmtId="0" fontId="39" fillId="5" borderId="39" xfId="53" applyFont="1" applyFill="1" applyBorder="1" applyAlignment="1">
      <alignment horizontal="center" vertical="center"/>
      <protection/>
    </xf>
    <xf numFmtId="0" fontId="39" fillId="5" borderId="40" xfId="53" applyFont="1" applyFill="1" applyBorder="1" applyAlignment="1">
      <alignment horizontal="center" vertical="center"/>
      <protection/>
    </xf>
    <xf numFmtId="0" fontId="34" fillId="35" borderId="44" xfId="0" applyFont="1" applyFill="1" applyBorder="1" applyAlignment="1">
      <alignment horizontal="center" vertical="center" wrapText="1"/>
    </xf>
    <xf numFmtId="0" fontId="34" fillId="35" borderId="0" xfId="0" applyFont="1" applyFill="1" applyBorder="1" applyAlignment="1">
      <alignment horizontal="center" vertical="center" wrapText="1"/>
    </xf>
    <xf numFmtId="0" fontId="34" fillId="35" borderId="38" xfId="0" applyFont="1" applyFill="1" applyBorder="1" applyAlignment="1">
      <alignment horizontal="center" vertical="center" wrapText="1"/>
    </xf>
    <xf numFmtId="0" fontId="35" fillId="35" borderId="44"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38" xfId="0" applyFont="1" applyFill="1" applyBorder="1" applyAlignment="1">
      <alignment horizontal="center" vertical="center" wrapText="1"/>
    </xf>
    <xf numFmtId="0" fontId="31" fillId="0" borderId="4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8" xfId="0" applyFont="1" applyFill="1" applyBorder="1" applyAlignment="1">
      <alignment horizontal="center" vertical="center"/>
    </xf>
    <xf numFmtId="0" fontId="37" fillId="0" borderId="101"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38" xfId="0" applyFont="1" applyFill="1" applyBorder="1" applyAlignment="1">
      <alignment horizontal="center" vertical="center"/>
    </xf>
    <xf numFmtId="14" fontId="38" fillId="2" borderId="92" xfId="53" applyNumberFormat="1" applyFont="1" applyFill="1" applyBorder="1" applyAlignment="1">
      <alignment horizontal="center" vertical="center"/>
      <protection/>
    </xf>
    <xf numFmtId="14" fontId="38" fillId="2" borderId="29" xfId="53" applyNumberFormat="1" applyFont="1" applyFill="1" applyBorder="1" applyAlignment="1">
      <alignment horizontal="center" vertical="center"/>
      <protection/>
    </xf>
    <xf numFmtId="0" fontId="39" fillId="5" borderId="73" xfId="53" applyFont="1" applyFill="1" applyBorder="1" applyAlignment="1">
      <alignment horizontal="center" vertical="center"/>
      <protection/>
    </xf>
    <xf numFmtId="0" fontId="39" fillId="5" borderId="102" xfId="53" applyFont="1" applyFill="1" applyBorder="1" applyAlignment="1">
      <alignment horizontal="center" vertical="center"/>
      <protection/>
    </xf>
    <xf numFmtId="0" fontId="38" fillId="0" borderId="34" xfId="53" applyFont="1" applyFill="1" applyBorder="1" applyAlignment="1">
      <alignment horizontal="center" vertical="center"/>
      <protection/>
    </xf>
    <xf numFmtId="0" fontId="38" fillId="0" borderId="106" xfId="53" applyFont="1" applyFill="1" applyBorder="1" applyAlignment="1">
      <alignment horizontal="center" vertical="center"/>
      <protection/>
    </xf>
    <xf numFmtId="0" fontId="38" fillId="0" borderId="55" xfId="53" applyFont="1" applyFill="1" applyBorder="1" applyAlignment="1">
      <alignment horizontal="center" vertical="center"/>
      <protection/>
    </xf>
    <xf numFmtId="0" fontId="38" fillId="0" borderId="107" xfId="53" applyFont="1" applyFill="1" applyBorder="1" applyAlignment="1">
      <alignment horizontal="center" vertical="center"/>
      <protection/>
    </xf>
    <xf numFmtId="167" fontId="38" fillId="43" borderId="98" xfId="60" applyNumberFormat="1" applyFont="1" applyFill="1" applyBorder="1" applyAlignment="1">
      <alignment horizontal="center" vertical="center" wrapText="1"/>
      <protection/>
    </xf>
    <xf numFmtId="167" fontId="38" fillId="43" borderId="95" xfId="60" applyNumberFormat="1" applyFont="1" applyFill="1" applyBorder="1" applyAlignment="1">
      <alignment horizontal="center" vertical="center" wrapText="1"/>
      <protection/>
    </xf>
    <xf numFmtId="167" fontId="38" fillId="43" borderId="99" xfId="60" applyNumberFormat="1" applyFont="1" applyFill="1" applyBorder="1" applyAlignment="1">
      <alignment horizontal="center" vertical="center" wrapText="1"/>
      <protection/>
    </xf>
    <xf numFmtId="0" fontId="39" fillId="0" borderId="31" xfId="53" applyFont="1" applyFill="1" applyBorder="1" applyAlignment="1">
      <alignment horizontal="center" vertical="center" wrapText="1"/>
      <protection/>
    </xf>
    <xf numFmtId="0" fontId="39" fillId="0" borderId="53" xfId="53" applyFont="1" applyFill="1" applyBorder="1" applyAlignment="1">
      <alignment horizontal="center" vertical="center" wrapText="1"/>
      <protection/>
    </xf>
    <xf numFmtId="0" fontId="39" fillId="0" borderId="44" xfId="53" applyFont="1" applyFill="1" applyBorder="1" applyAlignment="1">
      <alignment horizontal="center" vertical="center" wrapText="1"/>
      <protection/>
    </xf>
    <xf numFmtId="0" fontId="39" fillId="0" borderId="0" xfId="53" applyFont="1" applyFill="1" applyBorder="1" applyAlignment="1">
      <alignment horizontal="center" vertical="center" wrapText="1"/>
      <protection/>
    </xf>
    <xf numFmtId="0" fontId="39" fillId="0" borderId="104" xfId="53" applyFont="1" applyFill="1" applyBorder="1" applyAlignment="1">
      <alignment horizontal="center" vertical="center"/>
      <protection/>
    </xf>
    <xf numFmtId="0" fontId="39" fillId="0" borderId="74" xfId="53" applyFont="1" applyFill="1" applyBorder="1" applyAlignment="1">
      <alignment horizontal="center" vertical="center"/>
      <protection/>
    </xf>
    <xf numFmtId="0" fontId="39" fillId="0" borderId="24" xfId="53" applyFont="1" applyFill="1" applyBorder="1" applyAlignment="1">
      <alignment horizontal="center" vertical="center"/>
      <protection/>
    </xf>
    <xf numFmtId="0" fontId="39" fillId="0" borderId="108" xfId="53" applyFont="1" applyFill="1" applyBorder="1" applyAlignment="1">
      <alignment horizontal="center" vertical="center" wrapText="1"/>
      <protection/>
    </xf>
    <xf numFmtId="0" fontId="39" fillId="0" borderId="61" xfId="53" applyFont="1" applyFill="1" applyBorder="1" applyAlignment="1">
      <alignment horizontal="center" vertical="center" wrapText="1"/>
      <protection/>
    </xf>
    <xf numFmtId="0" fontId="39" fillId="0" borderId="63" xfId="53" applyFont="1" applyFill="1" applyBorder="1" applyAlignment="1">
      <alignment horizontal="center" vertical="center" wrapText="1"/>
      <protection/>
    </xf>
    <xf numFmtId="0" fontId="38" fillId="35" borderId="44" xfId="0" applyFont="1" applyFill="1" applyBorder="1" applyAlignment="1">
      <alignment horizontal="center" vertical="center" wrapText="1"/>
    </xf>
    <xf numFmtId="0" fontId="38" fillId="35" borderId="0" xfId="0" applyFont="1" applyFill="1" applyBorder="1" applyAlignment="1">
      <alignment horizontal="center" vertical="center" wrapText="1"/>
    </xf>
    <xf numFmtId="0" fontId="38" fillId="35" borderId="38" xfId="0" applyFont="1" applyFill="1" applyBorder="1" applyAlignment="1">
      <alignment horizontal="center" vertical="center" wrapText="1"/>
    </xf>
    <xf numFmtId="0" fontId="37" fillId="35" borderId="44" xfId="0" applyFont="1" applyFill="1" applyBorder="1" applyAlignment="1">
      <alignment horizontal="center" vertical="center" wrapText="1"/>
    </xf>
    <xf numFmtId="0" fontId="37" fillId="35" borderId="0" xfId="0" applyFont="1" applyFill="1" applyBorder="1" applyAlignment="1">
      <alignment horizontal="center" vertical="center" wrapText="1"/>
    </xf>
    <xf numFmtId="0" fontId="37" fillId="35" borderId="38" xfId="0" applyFont="1" applyFill="1" applyBorder="1" applyAlignment="1">
      <alignment horizontal="center" vertical="center" wrapText="1"/>
    </xf>
    <xf numFmtId="0" fontId="37" fillId="0" borderId="10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31" fillId="0" borderId="50" xfId="0" applyFont="1" applyFill="1" applyBorder="1" applyAlignment="1">
      <alignment horizontal="center" vertical="center"/>
    </xf>
    <xf numFmtId="0" fontId="31" fillId="0" borderId="51" xfId="0" applyFont="1" applyFill="1" applyBorder="1" applyAlignment="1">
      <alignment horizontal="center" vertical="center"/>
    </xf>
    <xf numFmtId="0" fontId="31" fillId="0" borderId="78" xfId="0" applyFont="1" applyFill="1" applyBorder="1" applyAlignment="1">
      <alignment horizontal="center" vertical="center"/>
    </xf>
    <xf numFmtId="0" fontId="39" fillId="5" borderId="109" xfId="53" applyFont="1" applyFill="1" applyBorder="1" applyAlignment="1">
      <alignment horizontal="center" vertical="center" wrapText="1"/>
      <protection/>
    </xf>
    <xf numFmtId="0" fontId="39" fillId="5" borderId="83" xfId="53" applyFont="1" applyFill="1" applyBorder="1" applyAlignment="1">
      <alignment horizontal="center" vertical="center" wrapText="1"/>
      <protection/>
    </xf>
    <xf numFmtId="0" fontId="39" fillId="5" borderId="79" xfId="53" applyFont="1" applyFill="1" applyBorder="1" applyAlignment="1">
      <alignment horizontal="center" vertical="center"/>
      <protection/>
    </xf>
    <xf numFmtId="0" fontId="39" fillId="5" borderId="24" xfId="53" applyFont="1" applyFill="1" applyBorder="1" applyAlignment="1">
      <alignment horizontal="center" vertical="center"/>
      <protection/>
    </xf>
    <xf numFmtId="0" fontId="39" fillId="5" borderId="64" xfId="53" applyFont="1" applyFill="1" applyBorder="1" applyAlignment="1">
      <alignment horizontal="center" vertical="center"/>
      <protection/>
    </xf>
    <xf numFmtId="0" fontId="39" fillId="5" borderId="103" xfId="53" applyFont="1" applyFill="1" applyBorder="1" applyAlignment="1">
      <alignment horizontal="center" vertical="center"/>
      <protection/>
    </xf>
    <xf numFmtId="0" fontId="39" fillId="5" borderId="110" xfId="53" applyFont="1" applyFill="1" applyBorder="1" applyAlignment="1">
      <alignment horizontal="center" vertical="center"/>
      <protection/>
    </xf>
    <xf numFmtId="0" fontId="39" fillId="5" borderId="111" xfId="53" applyFont="1" applyFill="1" applyBorder="1" applyAlignment="1">
      <alignment horizontal="center" vertical="center"/>
      <protection/>
    </xf>
    <xf numFmtId="0" fontId="39" fillId="5" borderId="109" xfId="53" applyFont="1" applyFill="1" applyBorder="1" applyAlignment="1">
      <alignment horizontal="center" vertical="center"/>
      <protection/>
    </xf>
    <xf numFmtId="0" fontId="39" fillId="5" borderId="83" xfId="53" applyFont="1" applyFill="1" applyBorder="1" applyAlignment="1">
      <alignment horizontal="center" vertical="center"/>
      <protection/>
    </xf>
    <xf numFmtId="0" fontId="39" fillId="5" borderId="23" xfId="53" applyFont="1" applyFill="1" applyBorder="1" applyAlignment="1">
      <alignment horizontal="center" vertical="center"/>
      <protection/>
    </xf>
    <xf numFmtId="0" fontId="39" fillId="5" borderId="63" xfId="53" applyFont="1" applyFill="1" applyBorder="1" applyAlignment="1">
      <alignment horizontal="center" vertical="center"/>
      <protection/>
    </xf>
    <xf numFmtId="0" fontId="38" fillId="0" borderId="35" xfId="53" applyFont="1" applyFill="1" applyBorder="1" applyAlignment="1">
      <alignment horizontal="center" vertical="center"/>
      <protection/>
    </xf>
    <xf numFmtId="0" fontId="38" fillId="0" borderId="36" xfId="53" applyFont="1" applyFill="1" applyBorder="1" applyAlignment="1">
      <alignment horizontal="center" vertical="center"/>
      <protection/>
    </xf>
    <xf numFmtId="0" fontId="94" fillId="35" borderId="31" xfId="0" applyFont="1" applyFill="1" applyBorder="1" applyAlignment="1">
      <alignment horizontal="center"/>
    </xf>
    <xf numFmtId="0" fontId="94" fillId="35" borderId="53" xfId="0" applyFont="1" applyFill="1" applyBorder="1" applyAlignment="1">
      <alignment horizontal="center"/>
    </xf>
    <xf numFmtId="0" fontId="94" fillId="35" borderId="44" xfId="0" applyFont="1" applyFill="1" applyBorder="1" applyAlignment="1">
      <alignment horizontal="center"/>
    </xf>
    <xf numFmtId="0" fontId="94" fillId="35" borderId="0" xfId="0" applyFont="1" applyFill="1" applyBorder="1" applyAlignment="1">
      <alignment horizontal="center"/>
    </xf>
    <xf numFmtId="167" fontId="28" fillId="43" borderId="32" xfId="60" applyNumberFormat="1" applyFont="1" applyFill="1" applyBorder="1" applyAlignment="1">
      <alignment horizontal="center" vertical="center" wrapText="1"/>
      <protection/>
    </xf>
    <xf numFmtId="167" fontId="28" fillId="43" borderId="66" xfId="60" applyNumberFormat="1" applyFont="1" applyFill="1" applyBorder="1" applyAlignment="1">
      <alignment horizontal="center" vertical="center" wrapText="1"/>
      <protection/>
    </xf>
    <xf numFmtId="0" fontId="26" fillId="0" borderId="44" xfId="0" applyFont="1" applyBorder="1" applyAlignment="1">
      <alignment horizontal="center" vertical="center" wrapText="1"/>
    </xf>
    <xf numFmtId="0" fontId="26" fillId="0" borderId="0" xfId="0" applyFont="1" applyBorder="1" applyAlignment="1">
      <alignment horizontal="center" vertical="center" wrapText="1"/>
    </xf>
    <xf numFmtId="0" fontId="21" fillId="2" borderId="92"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112" xfId="0" applyFont="1" applyFill="1" applyBorder="1" applyAlignment="1">
      <alignment horizontal="center" vertical="center"/>
    </xf>
    <xf numFmtId="0" fontId="21" fillId="2" borderId="79" xfId="0" applyFont="1" applyFill="1" applyBorder="1" applyAlignment="1">
      <alignment horizontal="center" vertical="center"/>
    </xf>
    <xf numFmtId="0" fontId="21" fillId="2" borderId="64" xfId="0" applyFont="1" applyFill="1" applyBorder="1" applyAlignment="1">
      <alignment horizontal="center" vertical="center"/>
    </xf>
    <xf numFmtId="0" fontId="28" fillId="35" borderId="44" xfId="0" applyFont="1" applyFill="1" applyBorder="1" applyAlignment="1">
      <alignment horizontal="center" vertical="center"/>
    </xf>
    <xf numFmtId="0" fontId="28" fillId="35" borderId="0" xfId="0" applyFont="1" applyFill="1" applyBorder="1" applyAlignment="1">
      <alignment horizontal="center" vertical="center"/>
    </xf>
    <xf numFmtId="0" fontId="14" fillId="35" borderId="44" xfId="0" applyFont="1" applyFill="1" applyBorder="1" applyAlignment="1">
      <alignment horizontal="center" vertical="center"/>
    </xf>
    <xf numFmtId="0" fontId="14" fillId="35" borderId="0" xfId="0" applyFont="1" applyFill="1" applyBorder="1" applyAlignment="1">
      <alignment horizontal="center" vertical="center"/>
    </xf>
    <xf numFmtId="49" fontId="14" fillId="35" borderId="44" xfId="0" applyNumberFormat="1" applyFont="1" applyFill="1" applyBorder="1" applyAlignment="1">
      <alignment horizontal="center" vertical="center"/>
    </xf>
    <xf numFmtId="49" fontId="14" fillId="35" borderId="0" xfId="0" applyNumberFormat="1" applyFont="1" applyFill="1" applyBorder="1" applyAlignment="1">
      <alignment horizontal="center" vertical="center"/>
    </xf>
    <xf numFmtId="0" fontId="14" fillId="0" borderId="101" xfId="0" applyFont="1" applyBorder="1" applyAlignment="1">
      <alignment horizontal="center" vertical="center" wrapText="1"/>
    </xf>
    <xf numFmtId="0" fontId="14" fillId="0" borderId="0" xfId="0" applyFont="1" applyBorder="1" applyAlignment="1">
      <alignment horizontal="center" vertical="center" wrapText="1"/>
    </xf>
    <xf numFmtId="0" fontId="100" fillId="0" borderId="0" xfId="0" applyFont="1" applyAlignment="1">
      <alignment horizontal="center"/>
    </xf>
    <xf numFmtId="0" fontId="21" fillId="0" borderId="33" xfId="0" applyFont="1" applyBorder="1" applyAlignment="1">
      <alignment horizontal="center" vertical="center"/>
    </xf>
    <xf numFmtId="0" fontId="21" fillId="0" borderId="41" xfId="0" applyFont="1" applyBorder="1" applyAlignment="1">
      <alignment horizontal="center" vertical="center"/>
    </xf>
    <xf numFmtId="10" fontId="21" fillId="0" borderId="39" xfId="67" applyNumberFormat="1" applyFont="1" applyFill="1" applyBorder="1" applyAlignment="1" applyProtection="1">
      <alignment horizontal="center" vertical="center"/>
      <protection/>
    </xf>
    <xf numFmtId="10" fontId="21" fillId="0" borderId="42" xfId="67" applyNumberFormat="1" applyFont="1" applyFill="1" applyBorder="1" applyAlignment="1" applyProtection="1">
      <alignment horizontal="center" vertical="center"/>
      <protection/>
    </xf>
    <xf numFmtId="191" fontId="21" fillId="0" borderId="40" xfId="76" applyFont="1" applyFill="1" applyBorder="1" applyAlignment="1" applyProtection="1">
      <alignment horizontal="center" vertical="center"/>
      <protection/>
    </xf>
    <xf numFmtId="191" fontId="21" fillId="0" borderId="43" xfId="76" applyFont="1" applyFill="1" applyBorder="1" applyAlignment="1" applyProtection="1">
      <alignment horizontal="center" vertical="center"/>
      <protection/>
    </xf>
    <xf numFmtId="0" fontId="21" fillId="0" borderId="39" xfId="0" applyFont="1" applyBorder="1" applyAlignment="1">
      <alignment horizontal="justify" vertical="center" wrapText="1"/>
    </xf>
    <xf numFmtId="49" fontId="21" fillId="35" borderId="32" xfId="0" applyNumberFormat="1" applyFont="1" applyFill="1" applyBorder="1" applyAlignment="1">
      <alignment horizontal="center" vertical="center"/>
    </xf>
    <xf numFmtId="49" fontId="21" fillId="35" borderId="66" xfId="0" applyNumberFormat="1" applyFont="1" applyFill="1" applyBorder="1" applyAlignment="1">
      <alignment horizontal="center" vertical="center"/>
    </xf>
    <xf numFmtId="49" fontId="14" fillId="35" borderId="38" xfId="0" applyNumberFormat="1" applyFont="1" applyFill="1" applyBorder="1" applyAlignment="1">
      <alignment horizontal="center" vertical="center"/>
    </xf>
    <xf numFmtId="0" fontId="21" fillId="0" borderId="105" xfId="0" applyFont="1" applyBorder="1" applyAlignment="1">
      <alignment horizontal="center" vertical="center"/>
    </xf>
    <xf numFmtId="0" fontId="21" fillId="0" borderId="73" xfId="0" applyFont="1" applyBorder="1" applyAlignment="1">
      <alignment horizontal="center" vertical="center"/>
    </xf>
    <xf numFmtId="0" fontId="21" fillId="0" borderId="39" xfId="0" applyFont="1" applyBorder="1" applyAlignment="1">
      <alignment horizontal="center" vertical="center"/>
    </xf>
    <xf numFmtId="0" fontId="21" fillId="2" borderId="23" xfId="0" applyFont="1" applyFill="1" applyBorder="1" applyAlignment="1">
      <alignment horizontal="center" vertical="center"/>
    </xf>
    <xf numFmtId="0" fontId="21" fillId="0" borderId="102" xfId="0" applyFont="1" applyBorder="1" applyAlignment="1">
      <alignment horizontal="center" vertical="justify"/>
    </xf>
    <xf numFmtId="0" fontId="21" fillId="0" borderId="40" xfId="0" applyFont="1" applyBorder="1" applyAlignment="1">
      <alignment horizontal="center" vertical="justify"/>
    </xf>
    <xf numFmtId="167" fontId="21" fillId="0" borderId="33" xfId="60" applyNumberFormat="1" applyFont="1" applyFill="1" applyBorder="1" applyAlignment="1">
      <alignment horizontal="right" vertical="center"/>
      <protection/>
    </xf>
    <xf numFmtId="167" fontId="21" fillId="0" borderId="39" xfId="60" applyNumberFormat="1" applyFont="1" applyFill="1" applyBorder="1" applyAlignment="1">
      <alignment horizontal="right" vertical="center"/>
      <protection/>
    </xf>
    <xf numFmtId="0" fontId="21" fillId="0" borderId="33" xfId="54" applyFont="1" applyFill="1" applyBorder="1" applyAlignment="1">
      <alignment horizontal="center" vertical="center"/>
      <protection/>
    </xf>
    <xf numFmtId="0" fontId="21" fillId="0" borderId="39" xfId="54" applyFont="1" applyFill="1" applyBorder="1" applyAlignment="1">
      <alignment horizontal="center" vertical="center"/>
      <protection/>
    </xf>
    <xf numFmtId="0" fontId="21" fillId="0" borderId="40" xfId="54" applyFont="1" applyFill="1" applyBorder="1" applyAlignment="1">
      <alignment horizontal="center" vertical="center"/>
      <protection/>
    </xf>
    <xf numFmtId="167" fontId="21" fillId="0" borderId="72" xfId="60" applyNumberFormat="1" applyFont="1" applyBorder="1" applyAlignment="1">
      <alignment horizontal="center" vertical="center"/>
      <protection/>
    </xf>
    <xf numFmtId="167" fontId="21" fillId="0" borderId="82" xfId="60" applyNumberFormat="1" applyFont="1" applyBorder="1" applyAlignment="1">
      <alignment horizontal="center" vertical="center"/>
      <protection/>
    </xf>
    <xf numFmtId="167" fontId="21" fillId="0" borderId="113" xfId="60" applyNumberFormat="1" applyFont="1" applyBorder="1" applyAlignment="1">
      <alignment horizontal="center" vertical="center"/>
      <protection/>
    </xf>
    <xf numFmtId="167" fontId="12" fillId="0" borderId="39" xfId="60" applyNumberFormat="1" applyFont="1" applyBorder="1" applyAlignment="1">
      <alignment horizontal="left" vertical="center"/>
      <protection/>
    </xf>
    <xf numFmtId="1" fontId="21" fillId="0" borderId="114" xfId="0" applyNumberFormat="1" applyFont="1" applyFill="1" applyBorder="1" applyAlignment="1">
      <alignment horizontal="center" vertical="center" wrapText="1"/>
    </xf>
    <xf numFmtId="1" fontId="21" fillId="0" borderId="115" xfId="0" applyNumberFormat="1" applyFont="1" applyFill="1" applyBorder="1" applyAlignment="1">
      <alignment horizontal="center" vertical="center" wrapText="1"/>
    </xf>
    <xf numFmtId="1" fontId="21" fillId="0" borderId="116" xfId="0" applyNumberFormat="1" applyFont="1" applyFill="1" applyBorder="1" applyAlignment="1">
      <alignment horizontal="center" vertical="center" wrapText="1"/>
    </xf>
    <xf numFmtId="0" fontId="21" fillId="0" borderId="72" xfId="54" applyFont="1" applyFill="1" applyBorder="1" applyAlignment="1">
      <alignment horizontal="center" vertical="center"/>
      <protection/>
    </xf>
    <xf numFmtId="0" fontId="21" fillId="0" borderId="82" xfId="54" applyFont="1" applyFill="1" applyBorder="1" applyAlignment="1">
      <alignment horizontal="center" vertical="center"/>
      <protection/>
    </xf>
    <xf numFmtId="0" fontId="21" fillId="0" borderId="113" xfId="54" applyFont="1" applyFill="1" applyBorder="1" applyAlignment="1">
      <alignment horizontal="center" vertical="center"/>
      <protection/>
    </xf>
    <xf numFmtId="0" fontId="99" fillId="0" borderId="39" xfId="0" applyFont="1" applyBorder="1" applyAlignment="1">
      <alignment horizontal="left" vertical="center"/>
    </xf>
    <xf numFmtId="0" fontId="102" fillId="0" borderId="48" xfId="0" applyFont="1" applyBorder="1" applyAlignment="1">
      <alignment horizontal="left" vertical="center"/>
    </xf>
    <xf numFmtId="0" fontId="102" fillId="0" borderId="47" xfId="0" applyFont="1" applyBorder="1" applyAlignment="1">
      <alignment horizontal="left" vertical="center"/>
    </xf>
    <xf numFmtId="0" fontId="103" fillId="2" borderId="39" xfId="0" applyFont="1" applyFill="1" applyBorder="1" applyAlignment="1">
      <alignment horizontal="center" vertical="center"/>
    </xf>
    <xf numFmtId="0" fontId="12" fillId="0" borderId="48" xfId="0" applyFont="1" applyBorder="1" applyAlignment="1">
      <alignment horizontal="center" vertical="center"/>
    </xf>
    <xf numFmtId="0" fontId="12" fillId="0" borderId="47" xfId="0" applyFont="1" applyBorder="1" applyAlignment="1">
      <alignment horizontal="center" vertical="center"/>
    </xf>
    <xf numFmtId="167" fontId="21" fillId="0" borderId="39" xfId="60" applyNumberFormat="1" applyFont="1" applyBorder="1" applyAlignment="1">
      <alignment horizontal="left" vertical="center"/>
      <protection/>
    </xf>
    <xf numFmtId="167" fontId="21" fillId="8" borderId="42" xfId="60" applyNumberFormat="1" applyFont="1" applyFill="1" applyBorder="1" applyAlignment="1">
      <alignment horizontal="left" vertical="center"/>
      <protection/>
    </xf>
    <xf numFmtId="0" fontId="21" fillId="35" borderId="31" xfId="54" applyFont="1" applyFill="1" applyBorder="1" applyAlignment="1">
      <alignment horizontal="center" vertical="center"/>
      <protection/>
    </xf>
    <xf numFmtId="0" fontId="21" fillId="35" borderId="53" xfId="54" applyFont="1" applyFill="1" applyBorder="1" applyAlignment="1">
      <alignment horizontal="center" vertical="center"/>
      <protection/>
    </xf>
    <xf numFmtId="0" fontId="21" fillId="35" borderId="54" xfId="54" applyFont="1" applyFill="1" applyBorder="1" applyAlignment="1">
      <alignment horizontal="center" vertical="center"/>
      <protection/>
    </xf>
    <xf numFmtId="0" fontId="21" fillId="35" borderId="44" xfId="54" applyFont="1" applyFill="1" applyBorder="1" applyAlignment="1">
      <alignment horizontal="center" vertical="center"/>
      <protection/>
    </xf>
    <xf numFmtId="0" fontId="21" fillId="35" borderId="0" xfId="54" applyFont="1" applyFill="1" applyBorder="1" applyAlignment="1">
      <alignment horizontal="center" vertical="center"/>
      <protection/>
    </xf>
    <xf numFmtId="0" fontId="21" fillId="35" borderId="38" xfId="54" applyFont="1" applyFill="1" applyBorder="1" applyAlignment="1">
      <alignment horizontal="center" vertical="center"/>
      <protection/>
    </xf>
    <xf numFmtId="0" fontId="12" fillId="35" borderId="44" xfId="54" applyFont="1" applyFill="1" applyBorder="1" applyAlignment="1">
      <alignment horizontal="center" vertical="center"/>
      <protection/>
    </xf>
    <xf numFmtId="0" fontId="12" fillId="35" borderId="0" xfId="54" applyFont="1" applyFill="1" applyBorder="1" applyAlignment="1">
      <alignment horizontal="center" vertical="center"/>
      <protection/>
    </xf>
    <xf numFmtId="0" fontId="12" fillId="35" borderId="38" xfId="54" applyFont="1" applyFill="1" applyBorder="1" applyAlignment="1">
      <alignment horizontal="center" vertical="center"/>
      <protection/>
    </xf>
    <xf numFmtId="0" fontId="21" fillId="35" borderId="117" xfId="54" applyFont="1" applyFill="1" applyBorder="1" applyAlignment="1">
      <alignment horizontal="center" vertical="center"/>
      <protection/>
    </xf>
    <xf numFmtId="0" fontId="21" fillId="35" borderId="118" xfId="54" applyFont="1" applyFill="1" applyBorder="1" applyAlignment="1">
      <alignment horizontal="center" vertical="center"/>
      <protection/>
    </xf>
    <xf numFmtId="0" fontId="21" fillId="35" borderId="119" xfId="54" applyFont="1" applyFill="1" applyBorder="1" applyAlignment="1">
      <alignment horizontal="center" vertical="center"/>
      <protection/>
    </xf>
    <xf numFmtId="1" fontId="21" fillId="43" borderId="120" xfId="0" applyNumberFormat="1" applyFont="1" applyFill="1" applyBorder="1" applyAlignment="1">
      <alignment horizontal="center" vertical="center"/>
    </xf>
    <xf numFmtId="1" fontId="21" fillId="43" borderId="32" xfId="0" applyNumberFormat="1" applyFont="1" applyFill="1" applyBorder="1" applyAlignment="1">
      <alignment horizontal="center" vertical="center"/>
    </xf>
    <xf numFmtId="0" fontId="21" fillId="43" borderId="58" xfId="0" applyFont="1" applyFill="1" applyBorder="1" applyAlignment="1">
      <alignment horizontal="left" vertical="center"/>
    </xf>
    <xf numFmtId="0" fontId="21" fillId="43" borderId="121" xfId="0" applyFont="1" applyFill="1" applyBorder="1" applyAlignment="1">
      <alignment horizontal="left" vertical="center"/>
    </xf>
    <xf numFmtId="0" fontId="21" fillId="43" borderId="59" xfId="0" applyFont="1" applyFill="1" applyBorder="1" applyAlignment="1">
      <alignment horizontal="left" vertical="center"/>
    </xf>
    <xf numFmtId="0" fontId="21" fillId="43" borderId="66" xfId="0" applyFont="1" applyFill="1" applyBorder="1" applyAlignment="1">
      <alignment horizontal="left" vertical="center"/>
    </xf>
    <xf numFmtId="1" fontId="21" fillId="0" borderId="44" xfId="0" applyNumberFormat="1"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1" fontId="21" fillId="0" borderId="38" xfId="0" applyNumberFormat="1" applyFont="1" applyFill="1" applyBorder="1" applyAlignment="1">
      <alignment horizontal="center" vertical="center" wrapText="1"/>
    </xf>
    <xf numFmtId="1" fontId="12" fillId="0" borderId="101"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38" xfId="0" applyNumberFormat="1" applyFont="1" applyFill="1" applyBorder="1" applyAlignment="1">
      <alignment horizontal="center" vertical="center" wrapText="1"/>
    </xf>
    <xf numFmtId="0" fontId="95" fillId="35" borderId="44" xfId="0" applyFont="1" applyFill="1" applyBorder="1" applyAlignment="1">
      <alignment horizontal="center"/>
    </xf>
    <xf numFmtId="0" fontId="95" fillId="35" borderId="0" xfId="0" applyFont="1" applyFill="1" applyBorder="1" applyAlignment="1">
      <alignment horizontal="center"/>
    </xf>
    <xf numFmtId="0" fontId="95" fillId="35" borderId="38" xfId="0" applyFont="1" applyFill="1" applyBorder="1" applyAlignment="1">
      <alignment horizontal="center"/>
    </xf>
    <xf numFmtId="0" fontId="94" fillId="35" borderId="38" xfId="0" applyFont="1" applyFill="1" applyBorder="1" applyAlignment="1">
      <alignment horizontal="center"/>
    </xf>
    <xf numFmtId="0" fontId="94" fillId="35" borderId="44" xfId="0" applyFont="1" applyFill="1" applyBorder="1" applyAlignment="1">
      <alignment horizontal="center" vertical="center"/>
    </xf>
    <xf numFmtId="0" fontId="94" fillId="35" borderId="0" xfId="0" applyFont="1" applyFill="1" applyBorder="1" applyAlignment="1">
      <alignment horizontal="center" vertical="center"/>
    </xf>
    <xf numFmtId="0" fontId="94" fillId="35" borderId="38" xfId="0" applyFont="1" applyFill="1" applyBorder="1" applyAlignment="1">
      <alignment horizontal="center" vertical="center"/>
    </xf>
    <xf numFmtId="0" fontId="95" fillId="35" borderId="32" xfId="0" applyFont="1" applyFill="1" applyBorder="1" applyAlignment="1">
      <alignment horizontal="center" vertical="center"/>
    </xf>
    <xf numFmtId="0" fontId="95" fillId="35" borderId="66" xfId="0" applyFont="1" applyFill="1" applyBorder="1" applyAlignment="1">
      <alignment horizontal="center" vertical="center"/>
    </xf>
    <xf numFmtId="0" fontId="95" fillId="35" borderId="67" xfId="0" applyFont="1" applyFill="1" applyBorder="1" applyAlignment="1">
      <alignment horizontal="center" vertical="center"/>
    </xf>
    <xf numFmtId="167" fontId="21" fillId="43" borderId="122" xfId="60" applyNumberFormat="1" applyFont="1" applyFill="1" applyBorder="1" applyAlignment="1">
      <alignment horizontal="center" vertical="center" wrapText="1"/>
      <protection/>
    </xf>
    <xf numFmtId="167" fontId="21" fillId="43" borderId="32" xfId="60" applyNumberFormat="1" applyFont="1" applyFill="1" applyBorder="1" applyAlignment="1">
      <alignment horizontal="center" vertical="center" wrapText="1"/>
      <protection/>
    </xf>
    <xf numFmtId="167" fontId="21" fillId="43" borderId="62" xfId="60" applyNumberFormat="1" applyFont="1" applyFill="1" applyBorder="1" applyAlignment="1">
      <alignment horizontal="left" vertical="center" wrapText="1"/>
      <protection/>
    </xf>
    <xf numFmtId="167" fontId="21" fillId="43" borderId="123" xfId="60" applyNumberFormat="1" applyFont="1" applyFill="1" applyBorder="1" applyAlignment="1">
      <alignment horizontal="left" vertical="center" wrapText="1"/>
      <protection/>
    </xf>
    <xf numFmtId="167" fontId="21" fillId="43" borderId="59" xfId="60" applyNumberFormat="1" applyFont="1" applyFill="1" applyBorder="1" applyAlignment="1">
      <alignment horizontal="left" vertical="center" wrapText="1"/>
      <protection/>
    </xf>
    <xf numFmtId="167" fontId="21" fillId="43" borderId="66" xfId="60" applyNumberFormat="1" applyFont="1" applyFill="1" applyBorder="1" applyAlignment="1">
      <alignment horizontal="left" vertical="center" wrapText="1"/>
      <protection/>
    </xf>
    <xf numFmtId="167" fontId="12" fillId="0" borderId="101" xfId="60" applyNumberFormat="1" applyFont="1" applyFill="1" applyBorder="1" applyAlignment="1">
      <alignment horizontal="center" vertical="center" wrapText="1"/>
      <protection/>
    </xf>
    <xf numFmtId="167" fontId="12" fillId="0" borderId="0" xfId="60" applyNumberFormat="1" applyFont="1" applyFill="1" applyBorder="1" applyAlignment="1">
      <alignment horizontal="center" vertical="center" wrapText="1"/>
      <protection/>
    </xf>
    <xf numFmtId="167" fontId="12" fillId="0" borderId="38" xfId="60" applyNumberFormat="1" applyFont="1" applyFill="1" applyBorder="1" applyAlignment="1">
      <alignment horizontal="center" vertical="center" wrapText="1"/>
      <protection/>
    </xf>
    <xf numFmtId="0" fontId="21" fillId="0" borderId="45" xfId="54" applyFont="1" applyFill="1" applyBorder="1" applyAlignment="1">
      <alignment horizontal="center" vertical="center"/>
      <protection/>
    </xf>
    <xf numFmtId="0" fontId="21" fillId="0" borderId="46" xfId="54" applyFont="1" applyFill="1" applyBorder="1" applyAlignment="1">
      <alignment horizontal="center" vertical="center"/>
      <protection/>
    </xf>
    <xf numFmtId="0" fontId="21" fillId="0" borderId="49" xfId="54" applyFont="1" applyFill="1" applyBorder="1" applyAlignment="1">
      <alignment horizontal="center" vertical="center"/>
      <protection/>
    </xf>
    <xf numFmtId="0" fontId="12" fillId="34" borderId="48" xfId="60" applyFont="1" applyFill="1" applyBorder="1" applyAlignment="1">
      <alignment horizontal="center" vertical="center"/>
      <protection/>
    </xf>
    <xf numFmtId="0" fontId="12" fillId="34" borderId="47" xfId="60" applyFont="1" applyFill="1" applyBorder="1" applyAlignment="1">
      <alignment horizontal="center" vertical="center"/>
      <protection/>
    </xf>
    <xf numFmtId="0" fontId="12" fillId="0" borderId="48" xfId="60" applyFont="1" applyFill="1" applyBorder="1" applyAlignment="1">
      <alignment horizontal="center" vertical="center" wrapText="1"/>
      <protection/>
    </xf>
    <xf numFmtId="0" fontId="12" fillId="0" borderId="47" xfId="60" applyFont="1" applyFill="1" applyBorder="1" applyAlignment="1">
      <alignment horizontal="center" vertical="center" wrapText="1"/>
      <protection/>
    </xf>
    <xf numFmtId="167" fontId="21" fillId="0" borderId="45" xfId="60" applyNumberFormat="1" applyFont="1" applyFill="1" applyBorder="1" applyAlignment="1">
      <alignment horizontal="right" vertical="center"/>
      <protection/>
    </xf>
    <xf numFmtId="167" fontId="21" fillId="0" borderId="46" xfId="60" applyNumberFormat="1" applyFont="1" applyFill="1" applyBorder="1" applyAlignment="1">
      <alignment horizontal="right" vertical="center"/>
      <protection/>
    </xf>
    <xf numFmtId="167" fontId="21" fillId="0" borderId="47" xfId="60" applyNumberFormat="1" applyFont="1" applyFill="1" applyBorder="1" applyAlignment="1">
      <alignment horizontal="right" vertical="center"/>
      <protection/>
    </xf>
    <xf numFmtId="0" fontId="12" fillId="0" borderId="48" xfId="60" applyFont="1" applyFill="1" applyBorder="1" applyAlignment="1">
      <alignment horizontal="center" vertical="center"/>
      <protection/>
    </xf>
    <xf numFmtId="0" fontId="12" fillId="0" borderId="47" xfId="60" applyFont="1" applyFill="1" applyBorder="1" applyAlignment="1">
      <alignment horizontal="center" vertical="center"/>
      <protection/>
    </xf>
    <xf numFmtId="167" fontId="21" fillId="0" borderId="114" xfId="60" applyNumberFormat="1" applyFont="1" applyFill="1" applyBorder="1" applyAlignment="1">
      <alignment horizontal="center" vertical="center" wrapText="1"/>
      <protection/>
    </xf>
    <xf numFmtId="167" fontId="21" fillId="0" borderId="115" xfId="60" applyNumberFormat="1" applyFont="1" applyFill="1" applyBorder="1" applyAlignment="1">
      <alignment horizontal="center" vertical="center" wrapText="1"/>
      <protection/>
    </xf>
    <xf numFmtId="167" fontId="21" fillId="0" borderId="116" xfId="60" applyNumberFormat="1" applyFont="1" applyFill="1" applyBorder="1" applyAlignment="1">
      <alignment horizontal="center" vertical="center" wrapText="1"/>
      <protection/>
    </xf>
    <xf numFmtId="0" fontId="103" fillId="2" borderId="33" xfId="0" applyFont="1" applyFill="1" applyBorder="1" applyAlignment="1">
      <alignment horizontal="center"/>
    </xf>
    <xf numFmtId="0" fontId="103" fillId="2" borderId="39" xfId="0" applyFont="1" applyFill="1" applyBorder="1" applyAlignment="1">
      <alignment horizontal="center"/>
    </xf>
    <xf numFmtId="0" fontId="103" fillId="2" borderId="40" xfId="0" applyFont="1" applyFill="1" applyBorder="1" applyAlignment="1">
      <alignment horizontal="center"/>
    </xf>
    <xf numFmtId="167" fontId="12" fillId="0" borderId="48" xfId="60" applyNumberFormat="1" applyFont="1" applyFill="1" applyBorder="1" applyAlignment="1">
      <alignment horizontal="center" vertical="center"/>
      <protection/>
    </xf>
    <xf numFmtId="167" fontId="12" fillId="0" borderId="47" xfId="60" applyNumberFormat="1" applyFont="1" applyFill="1" applyBorder="1" applyAlignment="1">
      <alignment horizontal="center" vertical="center"/>
      <protection/>
    </xf>
    <xf numFmtId="167" fontId="21" fillId="0" borderId="33" xfId="60" applyNumberFormat="1" applyFont="1" applyFill="1" applyBorder="1" applyAlignment="1">
      <alignment horizontal="center" vertical="center"/>
      <protection/>
    </xf>
    <xf numFmtId="167" fontId="21" fillId="0" borderId="39" xfId="60" applyNumberFormat="1" applyFont="1" applyFill="1" applyBorder="1" applyAlignment="1">
      <alignment horizontal="center" vertical="center"/>
      <protection/>
    </xf>
    <xf numFmtId="167" fontId="21" fillId="0" borderId="40" xfId="60" applyNumberFormat="1" applyFont="1" applyFill="1" applyBorder="1" applyAlignment="1">
      <alignment horizontal="center" vertical="center"/>
      <protection/>
    </xf>
    <xf numFmtId="167" fontId="12" fillId="0" borderId="39" xfId="60" applyNumberFormat="1" applyFont="1" applyFill="1" applyBorder="1" applyAlignment="1">
      <alignment horizontal="left" vertical="center"/>
      <protection/>
    </xf>
    <xf numFmtId="167" fontId="21" fillId="0" borderId="39" xfId="60" applyNumberFormat="1" applyFont="1" applyFill="1" applyBorder="1" applyAlignment="1">
      <alignment horizontal="left" vertical="center"/>
      <protection/>
    </xf>
    <xf numFmtId="167" fontId="12" fillId="8" borderId="71" xfId="60" applyNumberFormat="1" applyFont="1" applyFill="1" applyBorder="1" applyAlignment="1" quotePrefix="1">
      <alignment horizontal="center" vertical="center"/>
      <protection/>
    </xf>
    <xf numFmtId="167" fontId="12" fillId="8" borderId="75" xfId="60" applyNumberFormat="1" applyFont="1" applyFill="1" applyBorder="1" applyAlignment="1" quotePrefix="1">
      <alignment horizontal="center" vertical="center"/>
      <protection/>
    </xf>
    <xf numFmtId="0" fontId="12" fillId="0" borderId="45" xfId="0" applyFont="1" applyBorder="1" applyAlignment="1">
      <alignment horizontal="center" vertical="center"/>
    </xf>
    <xf numFmtId="0" fontId="12" fillId="0" borderId="48" xfId="0" applyFont="1" applyBorder="1" applyAlignment="1">
      <alignment horizontal="center"/>
    </xf>
    <xf numFmtId="0" fontId="12" fillId="0" borderId="47" xfId="0" applyFont="1" applyBorder="1" applyAlignment="1">
      <alignment horizontal="center"/>
    </xf>
    <xf numFmtId="0" fontId="99" fillId="0" borderId="33" xfId="0" applyFont="1" applyBorder="1" applyAlignment="1">
      <alignment horizontal="left" vertical="center"/>
    </xf>
    <xf numFmtId="0" fontId="99" fillId="0" borderId="41" xfId="0" applyFont="1" applyBorder="1" applyAlignment="1">
      <alignment horizontal="left" vertical="center" wrapText="1"/>
    </xf>
    <xf numFmtId="0" fontId="99" fillId="0" borderId="42" xfId="0" applyFont="1" applyBorder="1" applyAlignment="1">
      <alignment horizontal="left" vertical="center" wrapText="1"/>
    </xf>
    <xf numFmtId="0" fontId="21" fillId="35" borderId="32" xfId="54" applyFont="1" applyFill="1" applyBorder="1" applyAlignment="1">
      <alignment horizontal="center" vertical="center"/>
      <protection/>
    </xf>
    <xf numFmtId="0" fontId="21" fillId="35" borderId="66" xfId="54" applyFont="1" applyFill="1" applyBorder="1" applyAlignment="1">
      <alignment horizontal="center" vertical="center"/>
      <protection/>
    </xf>
    <xf numFmtId="0" fontId="21" fillId="35" borderId="67" xfId="54" applyFont="1" applyFill="1" applyBorder="1" applyAlignment="1">
      <alignment horizontal="center" vertical="center"/>
      <protection/>
    </xf>
    <xf numFmtId="1" fontId="21" fillId="43" borderId="100" xfId="0" applyNumberFormat="1" applyFont="1" applyFill="1" applyBorder="1" applyAlignment="1">
      <alignment horizontal="center" vertical="center"/>
    </xf>
    <xf numFmtId="1" fontId="21" fillId="43" borderId="35" xfId="0" applyNumberFormat="1" applyFont="1" applyFill="1" applyBorder="1" applyAlignment="1">
      <alignment horizontal="center" vertical="center"/>
    </xf>
    <xf numFmtId="1" fontId="21" fillId="43" borderId="74" xfId="0" applyNumberFormat="1" applyFont="1" applyFill="1" applyBorder="1" applyAlignment="1">
      <alignment horizontal="center" vertical="center" wrapText="1"/>
    </xf>
    <xf numFmtId="1" fontId="21" fillId="43" borderId="36" xfId="0" applyNumberFormat="1" applyFont="1" applyFill="1" applyBorder="1" applyAlignment="1">
      <alignment horizontal="center" vertical="center" wrapText="1"/>
    </xf>
    <xf numFmtId="0" fontId="21" fillId="43" borderId="61" xfId="0" applyFont="1" applyFill="1" applyBorder="1" applyAlignment="1">
      <alignment horizontal="center" vertical="center" wrapText="1"/>
    </xf>
    <xf numFmtId="0" fontId="21" fillId="43" borderId="0" xfId="0" applyFont="1" applyFill="1" applyBorder="1" applyAlignment="1">
      <alignment horizontal="center" vertical="center" wrapText="1"/>
    </xf>
    <xf numFmtId="0" fontId="21" fillId="43" borderId="124" xfId="0" applyFont="1" applyFill="1" applyBorder="1" applyAlignment="1">
      <alignment horizontal="center" vertical="center" wrapText="1"/>
    </xf>
    <xf numFmtId="0" fontId="21" fillId="43" borderId="59" xfId="0" applyFont="1" applyFill="1" applyBorder="1" applyAlignment="1">
      <alignment horizontal="center" vertical="center" wrapText="1"/>
    </xf>
    <xf numFmtId="0" fontId="21" fillId="43" borderId="66" xfId="0" applyFont="1" applyFill="1" applyBorder="1" applyAlignment="1">
      <alignment horizontal="center" vertical="center" wrapText="1"/>
    </xf>
    <xf numFmtId="0" fontId="21" fillId="43" borderId="125" xfId="0" applyFont="1" applyFill="1" applyBorder="1" applyAlignment="1">
      <alignment horizontal="center" vertical="center" wrapText="1"/>
    </xf>
    <xf numFmtId="167" fontId="26" fillId="8" borderId="42" xfId="60" applyNumberFormat="1" applyFont="1" applyFill="1" applyBorder="1" applyAlignment="1">
      <alignment horizontal="left" vertical="center"/>
      <protection/>
    </xf>
    <xf numFmtId="0" fontId="26" fillId="0" borderId="33" xfId="0" applyFont="1" applyFill="1" applyBorder="1" applyAlignment="1">
      <alignment horizontal="center" vertical="center"/>
    </xf>
    <xf numFmtId="0" fontId="26" fillId="0" borderId="39" xfId="0" applyFont="1" applyFill="1" applyBorder="1" applyAlignment="1">
      <alignment horizontal="center" vertical="center"/>
    </xf>
    <xf numFmtId="0" fontId="26" fillId="0" borderId="40" xfId="0" applyFont="1" applyFill="1" applyBorder="1" applyAlignment="1">
      <alignment horizontal="center" vertical="center"/>
    </xf>
    <xf numFmtId="167" fontId="26" fillId="0" borderId="33" xfId="60" applyNumberFormat="1" applyFont="1" applyFill="1" applyBorder="1" applyAlignment="1">
      <alignment horizontal="right" vertical="center"/>
      <protection/>
    </xf>
    <xf numFmtId="167" fontId="26" fillId="0" borderId="39" xfId="60" applyNumberFormat="1" applyFont="1" applyFill="1" applyBorder="1" applyAlignment="1">
      <alignment horizontal="right" vertical="center"/>
      <protection/>
    </xf>
    <xf numFmtId="0" fontId="26" fillId="0" borderId="33"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33" xfId="0" applyFont="1" applyFill="1" applyBorder="1" applyAlignment="1">
      <alignment horizontal="right" vertical="center"/>
    </xf>
    <xf numFmtId="0" fontId="26" fillId="0" borderId="39" xfId="0" applyFont="1" applyFill="1" applyBorder="1" applyAlignment="1">
      <alignment horizontal="right" vertical="center"/>
    </xf>
    <xf numFmtId="167" fontId="26" fillId="0" borderId="33" xfId="60" applyNumberFormat="1" applyFont="1" applyBorder="1" applyAlignment="1">
      <alignment horizontal="center" vertical="center"/>
      <protection/>
    </xf>
    <xf numFmtId="167" fontId="26" fillId="0" borderId="39" xfId="60" applyNumberFormat="1" applyFont="1" applyBorder="1" applyAlignment="1">
      <alignment horizontal="center" vertical="center"/>
      <protection/>
    </xf>
    <xf numFmtId="167" fontId="26" fillId="0" borderId="40" xfId="60" applyNumberFormat="1" applyFont="1" applyBorder="1" applyAlignment="1">
      <alignment horizontal="center" vertical="center"/>
      <protection/>
    </xf>
    <xf numFmtId="167" fontId="14" fillId="0" borderId="39" xfId="60" applyNumberFormat="1" applyFont="1" applyBorder="1" applyAlignment="1">
      <alignment horizontal="left" vertical="center"/>
      <protection/>
    </xf>
    <xf numFmtId="167" fontId="26" fillId="0" borderId="39" xfId="60" applyNumberFormat="1" applyFont="1" applyBorder="1" applyAlignment="1">
      <alignment horizontal="left" vertical="center"/>
      <protection/>
    </xf>
    <xf numFmtId="1" fontId="21" fillId="0" borderId="23" xfId="0" applyNumberFormat="1" applyFont="1" applyFill="1" applyBorder="1" applyAlignment="1">
      <alignment horizontal="center" vertical="center" wrapText="1"/>
    </xf>
    <xf numFmtId="1" fontId="21" fillId="0" borderId="24" xfId="0" applyNumberFormat="1" applyFont="1" applyFill="1" applyBorder="1" applyAlignment="1">
      <alignment horizontal="center" vertical="center" wrapText="1"/>
    </xf>
    <xf numFmtId="1" fontId="21" fillId="0" borderId="64" xfId="0" applyNumberFormat="1" applyFont="1" applyFill="1" applyBorder="1" applyAlignment="1">
      <alignment horizontal="center" vertical="center" wrapText="1"/>
    </xf>
    <xf numFmtId="0" fontId="21" fillId="43" borderId="58" xfId="0" applyFont="1" applyFill="1" applyBorder="1" applyAlignment="1">
      <alignment horizontal="justify" vertical="center" wrapText="1"/>
    </xf>
    <xf numFmtId="0" fontId="21" fillId="43" borderId="121" xfId="0" applyFont="1" applyFill="1" applyBorder="1" applyAlignment="1">
      <alignment horizontal="justify" vertical="center" wrapText="1"/>
    </xf>
    <xf numFmtId="0" fontId="21" fillId="43" borderId="59" xfId="0" applyFont="1" applyFill="1" applyBorder="1" applyAlignment="1">
      <alignment horizontal="justify" vertical="center" wrapText="1"/>
    </xf>
    <xf numFmtId="0" fontId="21" fillId="43" borderId="66" xfId="0" applyFont="1" applyFill="1" applyBorder="1" applyAlignment="1">
      <alignment horizontal="justify" vertical="center" wrapText="1"/>
    </xf>
    <xf numFmtId="1" fontId="21" fillId="43" borderId="58" xfId="0" applyNumberFormat="1" applyFont="1" applyFill="1" applyBorder="1" applyAlignment="1">
      <alignment horizontal="center" vertical="center" wrapText="1"/>
    </xf>
    <xf numFmtId="1" fontId="21" fillId="43" borderId="59" xfId="0" applyNumberFormat="1" applyFont="1" applyFill="1" applyBorder="1" applyAlignment="1">
      <alignment horizontal="center" vertical="center" wrapText="1"/>
    </xf>
    <xf numFmtId="167" fontId="23" fillId="0" borderId="39" xfId="60" applyNumberFormat="1" applyFont="1" applyBorder="1" applyAlignment="1">
      <alignment horizontal="left" vertical="center"/>
      <protection/>
    </xf>
    <xf numFmtId="0" fontId="22" fillId="0" borderId="72" xfId="0" applyFont="1" applyFill="1" applyBorder="1" applyAlignment="1">
      <alignment horizontal="center" vertical="center"/>
    </xf>
    <xf numFmtId="0" fontId="22" fillId="0" borderId="82" xfId="0" applyFont="1" applyFill="1" applyBorder="1" applyAlignment="1">
      <alignment horizontal="center" vertical="center"/>
    </xf>
    <xf numFmtId="0" fontId="22" fillId="0" borderId="113" xfId="0" applyFont="1" applyFill="1" applyBorder="1" applyAlignment="1">
      <alignment horizontal="center" vertical="center"/>
    </xf>
    <xf numFmtId="0" fontId="12" fillId="35" borderId="39" xfId="0" applyFont="1" applyFill="1" applyBorder="1" applyAlignment="1">
      <alignment horizontal="center"/>
    </xf>
    <xf numFmtId="0" fontId="100" fillId="35" borderId="39" xfId="0" applyFont="1" applyFill="1" applyBorder="1" applyAlignment="1">
      <alignment horizontal="center"/>
    </xf>
    <xf numFmtId="0" fontId="100" fillId="35" borderId="39" xfId="0" applyFont="1" applyFill="1" applyBorder="1" applyAlignment="1">
      <alignment horizontal="center" wrapText="1"/>
    </xf>
    <xf numFmtId="0" fontId="12" fillId="0" borderId="39" xfId="0" applyFont="1" applyBorder="1" applyAlignment="1">
      <alignment horizontal="center"/>
    </xf>
    <xf numFmtId="0" fontId="100" fillId="0" borderId="82" xfId="0" applyFont="1" applyBorder="1" applyAlignment="1">
      <alignment horizontal="center" wrapText="1"/>
    </xf>
    <xf numFmtId="0" fontId="100" fillId="11" borderId="48" xfId="0" applyFont="1" applyFill="1" applyBorder="1" applyAlignment="1">
      <alignment horizontal="center" vertical="center" wrapText="1"/>
    </xf>
    <xf numFmtId="0" fontId="100" fillId="11" borderId="46" xfId="0" applyFont="1" applyFill="1" applyBorder="1" applyAlignment="1">
      <alignment horizontal="center" vertical="center" wrapText="1"/>
    </xf>
    <xf numFmtId="0" fontId="100" fillId="11" borderId="47" xfId="0" applyFont="1" applyFill="1" applyBorder="1" applyAlignment="1">
      <alignment horizontal="center" vertical="center" wrapText="1"/>
    </xf>
    <xf numFmtId="0" fontId="100" fillId="11" borderId="39" xfId="0" applyFont="1" applyFill="1" applyBorder="1" applyAlignment="1">
      <alignment horizontal="center" wrapText="1"/>
    </xf>
    <xf numFmtId="0" fontId="105" fillId="2" borderId="39" xfId="0" applyFont="1" applyFill="1" applyBorder="1" applyAlignment="1">
      <alignment horizontal="center" vertical="center"/>
    </xf>
    <xf numFmtId="0" fontId="22" fillId="0" borderId="48" xfId="0" applyFont="1" applyBorder="1" applyAlignment="1">
      <alignment horizontal="center" vertical="center"/>
    </xf>
    <xf numFmtId="0" fontId="22" fillId="0" borderId="47" xfId="0" applyFont="1" applyBorder="1" applyAlignment="1">
      <alignment horizontal="center" vertical="center"/>
    </xf>
    <xf numFmtId="14" fontId="101" fillId="0" borderId="39" xfId="0" applyNumberFormat="1" applyFont="1" applyBorder="1" applyAlignment="1">
      <alignment horizontal="center" vertical="center"/>
    </xf>
    <xf numFmtId="0" fontId="101" fillId="0" borderId="39" xfId="0" applyFont="1" applyBorder="1" applyAlignment="1">
      <alignment horizontal="center" vertical="center"/>
    </xf>
    <xf numFmtId="0" fontId="105" fillId="0" borderId="39" xfId="0" applyFont="1" applyBorder="1" applyAlignment="1">
      <alignment horizontal="right" vertical="center"/>
    </xf>
    <xf numFmtId="0" fontId="22" fillId="0" borderId="72" xfId="0" applyFont="1" applyFill="1" applyBorder="1" applyAlignment="1">
      <alignment horizontal="center" vertical="center" wrapText="1"/>
    </xf>
    <xf numFmtId="0" fontId="22" fillId="0" borderId="82" xfId="0" applyFont="1" applyFill="1" applyBorder="1" applyAlignment="1">
      <alignment horizontal="center" vertical="center" wrapText="1"/>
    </xf>
    <xf numFmtId="0" fontId="22" fillId="0" borderId="113" xfId="0" applyFont="1" applyFill="1" applyBorder="1" applyAlignment="1">
      <alignment horizontal="center" vertical="center" wrapText="1"/>
    </xf>
    <xf numFmtId="0" fontId="22" fillId="0" borderId="33" xfId="0" applyFont="1" applyFill="1" applyBorder="1" applyAlignment="1">
      <alignment horizontal="right" vertical="center"/>
    </xf>
    <xf numFmtId="0" fontId="22" fillId="0" borderId="39" xfId="0" applyFont="1" applyFill="1" applyBorder="1" applyAlignment="1">
      <alignment horizontal="right" vertical="center"/>
    </xf>
    <xf numFmtId="167" fontId="22" fillId="0" borderId="39" xfId="60" applyNumberFormat="1" applyFont="1" applyBorder="1" applyAlignment="1">
      <alignment horizontal="left" vertical="center"/>
      <protection/>
    </xf>
    <xf numFmtId="167" fontId="22" fillId="8" borderId="42" xfId="60" applyNumberFormat="1" applyFont="1" applyFill="1" applyBorder="1" applyAlignment="1">
      <alignment horizontal="left" vertical="center"/>
      <protection/>
    </xf>
    <xf numFmtId="1" fontId="21" fillId="0" borderId="122" xfId="0" applyNumberFormat="1" applyFont="1" applyFill="1" applyBorder="1" applyAlignment="1">
      <alignment horizontal="center" vertical="center" wrapText="1"/>
    </xf>
    <xf numFmtId="1" fontId="21" fillId="0" borderId="123" xfId="0" applyNumberFormat="1" applyFont="1" applyFill="1" applyBorder="1" applyAlignment="1">
      <alignment horizontal="center" vertical="center" wrapText="1"/>
    </xf>
    <xf numFmtId="1" fontId="21" fillId="0" borderId="126" xfId="0" applyNumberFormat="1" applyFont="1" applyFill="1" applyBorder="1" applyAlignment="1">
      <alignment horizontal="center" vertical="center" wrapText="1"/>
    </xf>
    <xf numFmtId="0" fontId="22" fillId="0" borderId="33"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167" fontId="22" fillId="0" borderId="72" xfId="60" applyNumberFormat="1" applyFont="1" applyBorder="1" applyAlignment="1">
      <alignment horizontal="center" vertical="center"/>
      <protection/>
    </xf>
    <xf numFmtId="167" fontId="22" fillId="0" borderId="82" xfId="60" applyNumberFormat="1" applyFont="1" applyBorder="1" applyAlignment="1">
      <alignment horizontal="center" vertical="center"/>
      <protection/>
    </xf>
    <xf numFmtId="167" fontId="22" fillId="0" borderId="113" xfId="60" applyNumberFormat="1" applyFont="1" applyBorder="1" applyAlignment="1">
      <alignment horizontal="center" vertical="center"/>
      <protection/>
    </xf>
    <xf numFmtId="167" fontId="21" fillId="43" borderId="127" xfId="60" applyNumberFormat="1" applyFont="1" applyFill="1" applyBorder="1" applyAlignment="1">
      <alignment horizontal="left" vertical="center" wrapText="1"/>
      <protection/>
    </xf>
    <xf numFmtId="167" fontId="21" fillId="43" borderId="125" xfId="60" applyNumberFormat="1" applyFont="1" applyFill="1" applyBorder="1" applyAlignment="1">
      <alignment horizontal="left" vertical="center" wrapText="1"/>
      <protection/>
    </xf>
    <xf numFmtId="17" fontId="103" fillId="44" borderId="128" xfId="0" applyNumberFormat="1" applyFont="1" applyFill="1" applyBorder="1" applyAlignment="1">
      <alignment horizontal="center" vertical="center" wrapText="1"/>
    </xf>
    <xf numFmtId="17" fontId="103" fillId="44" borderId="36" xfId="0" applyNumberFormat="1" applyFont="1" applyFill="1" applyBorder="1" applyAlignment="1">
      <alignment horizontal="center" vertical="center" wrapText="1"/>
    </xf>
    <xf numFmtId="167" fontId="12" fillId="0" borderId="48" xfId="60" applyNumberFormat="1" applyFont="1" applyFill="1" applyBorder="1" applyAlignment="1">
      <alignment horizontal="right" vertical="center"/>
      <protection/>
    </xf>
    <xf numFmtId="167" fontId="12" fillId="0" borderId="46" xfId="60" applyNumberFormat="1" applyFont="1" applyFill="1" applyBorder="1" applyAlignment="1">
      <alignment horizontal="right" vertical="center"/>
      <protection/>
    </xf>
    <xf numFmtId="167" fontId="12" fillId="0" borderId="49" xfId="60" applyNumberFormat="1" applyFont="1" applyFill="1" applyBorder="1" applyAlignment="1">
      <alignment horizontal="right" vertical="center"/>
      <protection/>
    </xf>
    <xf numFmtId="0" fontId="100" fillId="35" borderId="44" xfId="0" applyFont="1" applyFill="1" applyBorder="1" applyAlignment="1">
      <alignment horizontal="center"/>
    </xf>
    <xf numFmtId="0" fontId="100" fillId="35" borderId="0" xfId="0" applyFont="1" applyFill="1" applyBorder="1" applyAlignment="1">
      <alignment horizontal="center"/>
    </xf>
    <xf numFmtId="0" fontId="100" fillId="35" borderId="38" xfId="0" applyFont="1" applyFill="1" applyBorder="1" applyAlignment="1">
      <alignment horizontal="center"/>
    </xf>
    <xf numFmtId="167" fontId="21" fillId="43" borderId="44" xfId="60" applyNumberFormat="1" applyFont="1" applyFill="1" applyBorder="1" applyAlignment="1">
      <alignment horizontal="center" vertical="center" wrapText="1"/>
      <protection/>
    </xf>
    <xf numFmtId="167" fontId="21" fillId="43" borderId="61" xfId="60" applyNumberFormat="1" applyFont="1" applyFill="1" applyBorder="1" applyAlignment="1">
      <alignment horizontal="left" vertical="center" wrapText="1"/>
      <protection/>
    </xf>
    <xf numFmtId="167" fontId="21" fillId="43" borderId="0" xfId="60" applyNumberFormat="1" applyFont="1" applyFill="1" applyBorder="1" applyAlignment="1">
      <alignment horizontal="left" vertical="center" wrapText="1"/>
      <protection/>
    </xf>
    <xf numFmtId="167" fontId="21" fillId="43" borderId="124" xfId="60" applyNumberFormat="1" applyFont="1" applyFill="1" applyBorder="1" applyAlignment="1">
      <alignment horizontal="left" vertical="center" wrapText="1"/>
      <protection/>
    </xf>
    <xf numFmtId="167" fontId="21" fillId="0" borderId="72" xfId="60" applyNumberFormat="1" applyFont="1" applyFill="1" applyBorder="1" applyAlignment="1">
      <alignment horizontal="center" vertical="center"/>
      <protection/>
    </xf>
    <xf numFmtId="167" fontId="21" fillId="0" borderId="82" xfId="60" applyNumberFormat="1" applyFont="1" applyFill="1" applyBorder="1" applyAlignment="1">
      <alignment horizontal="center" vertical="center"/>
      <protection/>
    </xf>
    <xf numFmtId="167" fontId="21" fillId="0" borderId="113" xfId="60" applyNumberFormat="1" applyFont="1" applyFill="1" applyBorder="1" applyAlignment="1">
      <alignment horizontal="center" vertical="center"/>
      <protection/>
    </xf>
    <xf numFmtId="0" fontId="92" fillId="35" borderId="31" xfId="0" applyFont="1" applyFill="1" applyBorder="1" applyAlignment="1">
      <alignment horizontal="center" vertical="center"/>
    </xf>
    <xf numFmtId="0" fontId="92" fillId="35" borderId="53" xfId="0" applyFont="1" applyFill="1" applyBorder="1" applyAlignment="1">
      <alignment horizontal="center" vertical="center"/>
    </xf>
    <xf numFmtId="0" fontId="92" fillId="35" borderId="54" xfId="0" applyFont="1" applyFill="1" applyBorder="1" applyAlignment="1">
      <alignment horizontal="center" vertical="center"/>
    </xf>
    <xf numFmtId="0" fontId="106" fillId="35" borderId="44" xfId="0" applyFont="1" applyFill="1" applyBorder="1" applyAlignment="1">
      <alignment horizontal="center" vertical="center"/>
    </xf>
    <xf numFmtId="0" fontId="106" fillId="35" borderId="0" xfId="0" applyFont="1" applyFill="1" applyBorder="1" applyAlignment="1">
      <alignment horizontal="center" vertical="center"/>
    </xf>
    <xf numFmtId="0" fontId="106" fillId="35" borderId="38" xfId="0" applyFont="1" applyFill="1" applyBorder="1" applyAlignment="1">
      <alignment horizontal="center" vertical="center"/>
    </xf>
    <xf numFmtId="0" fontId="90" fillId="35" borderId="44" xfId="0" applyFont="1" applyFill="1" applyBorder="1" applyAlignment="1">
      <alignment horizontal="center" vertical="center"/>
    </xf>
    <xf numFmtId="0" fontId="90" fillId="35" borderId="0" xfId="0" applyFont="1" applyFill="1" applyBorder="1" applyAlignment="1">
      <alignment horizontal="center" vertical="center"/>
    </xf>
    <xf numFmtId="0" fontId="90" fillId="35" borderId="38" xfId="0" applyFont="1" applyFill="1" applyBorder="1" applyAlignment="1">
      <alignment horizontal="center" vertical="center"/>
    </xf>
    <xf numFmtId="0" fontId="92" fillId="35" borderId="32" xfId="0" applyFont="1" applyFill="1" applyBorder="1" applyAlignment="1">
      <alignment horizontal="center" vertical="center"/>
    </xf>
    <xf numFmtId="0" fontId="92" fillId="35" borderId="66" xfId="0" applyFont="1" applyFill="1" applyBorder="1" applyAlignment="1">
      <alignment horizontal="center" vertical="center"/>
    </xf>
    <xf numFmtId="0" fontId="92" fillId="35" borderId="67" xfId="0" applyFont="1" applyFill="1" applyBorder="1" applyAlignment="1">
      <alignment horizontal="center" vertical="center"/>
    </xf>
    <xf numFmtId="0" fontId="106" fillId="43" borderId="35" xfId="0" applyFont="1" applyFill="1" applyBorder="1" applyAlignment="1">
      <alignment horizontal="center" vertical="center"/>
    </xf>
    <xf numFmtId="0" fontId="106" fillId="43" borderId="36" xfId="0" applyFont="1" applyFill="1" applyBorder="1" applyAlignment="1">
      <alignment horizontal="center" vertical="center"/>
    </xf>
    <xf numFmtId="0" fontId="106" fillId="43" borderId="56" xfId="0" applyFont="1" applyFill="1" applyBorder="1" applyAlignment="1">
      <alignment horizontal="center" vertical="center"/>
    </xf>
    <xf numFmtId="0" fontId="92" fillId="35" borderId="44" xfId="0" applyFont="1" applyFill="1" applyBorder="1" applyAlignment="1">
      <alignment horizontal="center" vertical="center"/>
    </xf>
    <xf numFmtId="0" fontId="92" fillId="35" borderId="0" xfId="0" applyFont="1" applyFill="1" applyBorder="1" applyAlignment="1">
      <alignment horizontal="center" vertical="center"/>
    </xf>
    <xf numFmtId="0" fontId="92" fillId="35" borderId="38" xfId="0" applyFont="1" applyFill="1" applyBorder="1" applyAlignment="1">
      <alignment horizontal="center" vertical="center"/>
    </xf>
    <xf numFmtId="0" fontId="107" fillId="0" borderId="101"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107" fillId="0" borderId="38" xfId="0" applyFont="1" applyFill="1" applyBorder="1" applyAlignment="1">
      <alignment horizontal="center" vertical="center" wrapText="1"/>
    </xf>
    <xf numFmtId="0" fontId="106" fillId="0" borderId="114" xfId="0" applyFont="1" applyFill="1" applyBorder="1" applyAlignment="1">
      <alignment horizontal="center" vertical="center" wrapText="1"/>
    </xf>
    <xf numFmtId="0" fontId="106" fillId="0" borderId="115" xfId="0" applyFont="1" applyFill="1" applyBorder="1" applyAlignment="1">
      <alignment horizontal="center" vertical="center" wrapText="1"/>
    </xf>
    <xf numFmtId="0" fontId="106" fillId="0" borderId="116" xfId="0" applyFont="1" applyFill="1" applyBorder="1" applyAlignment="1">
      <alignment horizontal="center" vertical="center" wrapText="1"/>
    </xf>
    <xf numFmtId="0" fontId="91" fillId="34" borderId="61" xfId="0" applyFont="1" applyFill="1" applyBorder="1" applyAlignment="1">
      <alignment horizontal="center" vertical="center"/>
    </xf>
    <xf numFmtId="0" fontId="91" fillId="34" borderId="124" xfId="0" applyFont="1" applyFill="1" applyBorder="1" applyAlignment="1">
      <alignment horizontal="center" vertical="center"/>
    </xf>
    <xf numFmtId="0" fontId="91" fillId="34" borderId="38" xfId="0" applyFont="1" applyFill="1" applyBorder="1" applyAlignment="1">
      <alignment horizontal="center" vertical="center"/>
    </xf>
    <xf numFmtId="0" fontId="91" fillId="0" borderId="45" xfId="0" applyFont="1" applyBorder="1" applyAlignment="1">
      <alignment horizontal="center" vertical="center"/>
    </xf>
    <xf numFmtId="0" fontId="91" fillId="0" borderId="46" xfId="0" applyFont="1" applyBorder="1" applyAlignment="1">
      <alignment horizontal="center" vertical="center"/>
    </xf>
    <xf numFmtId="0" fontId="91" fillId="0" borderId="82" xfId="0" applyFont="1" applyBorder="1" applyAlignment="1">
      <alignment horizontal="center" vertical="center"/>
    </xf>
    <xf numFmtId="0" fontId="91" fillId="0" borderId="79" xfId="0" applyFont="1" applyBorder="1" applyAlignment="1">
      <alignment horizontal="center" vertical="center"/>
    </xf>
    <xf numFmtId="0" fontId="91" fillId="34" borderId="44" xfId="0" applyFont="1" applyFill="1" applyBorder="1" applyAlignment="1">
      <alignment horizontal="center" vertical="center"/>
    </xf>
    <xf numFmtId="0" fontId="91" fillId="34" borderId="72" xfId="0" applyFont="1" applyFill="1" applyBorder="1" applyAlignment="1">
      <alignment horizontal="center" vertical="center"/>
    </xf>
    <xf numFmtId="0" fontId="91" fillId="34" borderId="55" xfId="0" applyFont="1" applyFill="1" applyBorder="1" applyAlignment="1">
      <alignment horizontal="center" vertical="center"/>
    </xf>
    <xf numFmtId="0" fontId="91" fillId="34" borderId="74" xfId="0" applyFont="1" applyFill="1" applyBorder="1" applyAlignment="1">
      <alignment horizontal="center" vertical="center"/>
    </xf>
    <xf numFmtId="0" fontId="91" fillId="34" borderId="24" xfId="0" applyFont="1" applyFill="1" applyBorder="1" applyAlignment="1">
      <alignment horizontal="center" vertical="center"/>
    </xf>
    <xf numFmtId="0" fontId="91" fillId="34" borderId="45" xfId="0" applyFont="1" applyFill="1" applyBorder="1" applyAlignment="1">
      <alignment horizontal="center" vertical="center" wrapText="1"/>
    </xf>
    <xf numFmtId="0" fontId="91" fillId="34" borderId="46" xfId="0" applyFont="1" applyFill="1" applyBorder="1" applyAlignment="1">
      <alignment horizontal="center" vertical="center" wrapText="1"/>
    </xf>
    <xf numFmtId="0" fontId="91" fillId="34" borderId="49" xfId="0" applyFont="1" applyFill="1" applyBorder="1" applyAlignment="1">
      <alignment horizontal="center" vertical="center" wrapText="1"/>
    </xf>
    <xf numFmtId="0" fontId="91" fillId="0" borderId="47" xfId="0" applyFont="1" applyBorder="1" applyAlignment="1">
      <alignment horizontal="center" vertical="center"/>
    </xf>
    <xf numFmtId="0" fontId="91" fillId="0" borderId="72" xfId="0" applyFont="1" applyBorder="1" applyAlignment="1">
      <alignment horizontal="center" vertical="center"/>
    </xf>
    <xf numFmtId="0" fontId="91" fillId="34" borderId="41" xfId="0" applyFont="1" applyFill="1" applyBorder="1" applyAlignment="1">
      <alignment horizontal="center" vertical="center"/>
    </xf>
    <xf numFmtId="0" fontId="91" fillId="34" borderId="42" xfId="0" applyFont="1" applyFill="1" applyBorder="1" applyAlignment="1">
      <alignment horizontal="center" vertical="center"/>
    </xf>
    <xf numFmtId="0" fontId="90" fillId="0" borderId="0" xfId="0" applyFont="1" applyFill="1" applyBorder="1" applyAlignment="1">
      <alignment horizontal="left" vertical="center"/>
    </xf>
    <xf numFmtId="0" fontId="13" fillId="43" borderId="44" xfId="0" applyFont="1" applyFill="1" applyBorder="1" applyAlignment="1">
      <alignment horizontal="center" vertical="center" wrapText="1"/>
    </xf>
    <xf numFmtId="0" fontId="13" fillId="43" borderId="0" xfId="0" applyFont="1" applyFill="1" applyBorder="1" applyAlignment="1">
      <alignment horizontal="center" vertical="center" wrapText="1"/>
    </xf>
    <xf numFmtId="0" fontId="13" fillId="43" borderId="38" xfId="0" applyFont="1" applyFill="1" applyBorder="1" applyAlignment="1">
      <alignment horizontal="center" vertical="center" wrapText="1"/>
    </xf>
    <xf numFmtId="0" fontId="16" fillId="0" borderId="71" xfId="0" applyFont="1" applyFill="1" applyBorder="1" applyAlignment="1">
      <alignment horizontal="left" vertical="center"/>
    </xf>
    <xf numFmtId="0" fontId="16" fillId="0" borderId="97" xfId="0" applyFont="1" applyFill="1" applyBorder="1" applyAlignment="1">
      <alignment horizontal="left" vertical="center"/>
    </xf>
    <xf numFmtId="0" fontId="16" fillId="0" borderId="75" xfId="0" applyFont="1" applyFill="1" applyBorder="1" applyAlignment="1">
      <alignment horizontal="left" vertical="center"/>
    </xf>
    <xf numFmtId="0" fontId="13" fillId="0" borderId="0" xfId="0" applyFont="1" applyBorder="1" applyAlignment="1">
      <alignment horizontal="center" vertical="center"/>
    </xf>
    <xf numFmtId="0" fontId="18" fillId="0" borderId="0" xfId="0" applyFont="1" applyBorder="1" applyAlignment="1">
      <alignment horizontal="left" vertical="center"/>
    </xf>
    <xf numFmtId="0" fontId="15" fillId="0" borderId="44" xfId="0" applyFont="1" applyBorder="1" applyAlignment="1">
      <alignment horizontal="center"/>
    </xf>
    <xf numFmtId="0" fontId="15" fillId="0" borderId="0" xfId="0" applyFont="1" applyBorder="1" applyAlignment="1">
      <alignment horizontal="center"/>
    </xf>
    <xf numFmtId="0" fontId="16" fillId="0" borderId="0" xfId="0" applyFont="1" applyBorder="1" applyAlignment="1">
      <alignment horizontal="left" vertical="center"/>
    </xf>
    <xf numFmtId="0" fontId="16" fillId="0" borderId="48" xfId="0" applyFont="1" applyBorder="1" applyAlignment="1">
      <alignment horizontal="left" vertical="center"/>
    </xf>
    <xf numFmtId="0" fontId="16" fillId="0" borderId="46" xfId="0" applyFont="1" applyBorder="1" applyAlignment="1">
      <alignment horizontal="left" vertical="center"/>
    </xf>
    <xf numFmtId="0" fontId="16" fillId="0" borderId="47" xfId="0" applyFont="1" applyBorder="1" applyAlignment="1">
      <alignment horizontal="left" vertical="center"/>
    </xf>
    <xf numFmtId="0" fontId="16" fillId="34" borderId="45" xfId="0" applyFont="1" applyFill="1" applyBorder="1" applyAlignment="1">
      <alignment horizontal="right" vertical="center"/>
    </xf>
    <xf numFmtId="0" fontId="16" fillId="34" borderId="46" xfId="0" applyFont="1" applyFill="1" applyBorder="1" applyAlignment="1">
      <alignment horizontal="right" vertical="center"/>
    </xf>
    <xf numFmtId="0" fontId="16" fillId="34" borderId="47" xfId="0" applyFont="1" applyFill="1" applyBorder="1" applyAlignment="1">
      <alignment horizontal="right"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3" fillId="43" borderId="98" xfId="62" applyFont="1" applyFill="1" applyBorder="1" applyAlignment="1">
      <alignment horizontal="center" vertical="center" wrapText="1"/>
      <protection/>
    </xf>
    <xf numFmtId="0" fontId="13" fillId="43" borderId="95" xfId="62" applyFont="1" applyFill="1" applyBorder="1" applyAlignment="1">
      <alignment horizontal="center" vertical="center" wrapText="1"/>
      <protection/>
    </xf>
    <xf numFmtId="0" fontId="13" fillId="43" borderId="99" xfId="62" applyFont="1" applyFill="1" applyBorder="1" applyAlignment="1">
      <alignment horizontal="center" vertical="center" wrapText="1"/>
      <protection/>
    </xf>
    <xf numFmtId="0" fontId="13" fillId="0" borderId="114" xfId="62" applyFont="1" applyFill="1" applyBorder="1" applyAlignment="1">
      <alignment horizontal="center" vertical="center" wrapText="1"/>
      <protection/>
    </xf>
    <xf numFmtId="0" fontId="13" fillId="0" borderId="115" xfId="62" applyFont="1" applyFill="1" applyBorder="1" applyAlignment="1">
      <alignment horizontal="center" vertical="center" wrapText="1"/>
      <protection/>
    </xf>
    <xf numFmtId="0" fontId="13" fillId="0" borderId="116" xfId="62" applyFont="1" applyFill="1" applyBorder="1" applyAlignment="1">
      <alignment horizontal="center" vertical="center" wrapText="1"/>
      <protection/>
    </xf>
    <xf numFmtId="0" fontId="15" fillId="0" borderId="0" xfId="0" applyFont="1" applyAlignment="1">
      <alignment horizontal="left" wrapText="1"/>
    </xf>
    <xf numFmtId="0" fontId="15" fillId="0" borderId="38" xfId="0" applyFont="1" applyBorder="1" applyAlignment="1">
      <alignment horizontal="left" wrapText="1"/>
    </xf>
    <xf numFmtId="0" fontId="15" fillId="0" borderId="51" xfId="0" applyFont="1" applyBorder="1" applyAlignment="1">
      <alignment horizontal="left" wrapText="1"/>
    </xf>
    <xf numFmtId="0" fontId="15" fillId="0" borderId="78" xfId="0" applyFont="1" applyBorder="1" applyAlignment="1">
      <alignment horizontal="left" wrapText="1"/>
    </xf>
    <xf numFmtId="0" fontId="16" fillId="0" borderId="129" xfId="0" applyFont="1" applyBorder="1" applyAlignment="1">
      <alignment horizontal="center" vertical="center" wrapText="1"/>
    </xf>
    <xf numFmtId="0" fontId="16" fillId="0" borderId="130" xfId="0" applyFont="1" applyBorder="1" applyAlignment="1">
      <alignment horizontal="center" vertical="center" wrapText="1"/>
    </xf>
    <xf numFmtId="0" fontId="16" fillId="0" borderId="131" xfId="0" applyFont="1" applyBorder="1" applyAlignment="1">
      <alignment horizontal="center" vertical="center" wrapText="1"/>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9" xfId="0" applyFont="1" applyBorder="1" applyAlignment="1">
      <alignment horizontal="center" vertical="center"/>
    </xf>
    <xf numFmtId="0" fontId="11" fillId="35" borderId="31" xfId="0" applyFont="1" applyFill="1" applyBorder="1" applyAlignment="1" applyProtection="1">
      <alignment horizontal="center" vertical="center"/>
      <protection locked="0"/>
    </xf>
    <xf numFmtId="0" fontId="11" fillId="35" borderId="53" xfId="0" applyFont="1" applyFill="1" applyBorder="1" applyAlignment="1" applyProtection="1">
      <alignment horizontal="center" vertical="center"/>
      <protection locked="0"/>
    </xf>
    <xf numFmtId="0" fontId="11" fillId="35" borderId="54" xfId="0" applyFont="1" applyFill="1" applyBorder="1" applyAlignment="1" applyProtection="1">
      <alignment horizontal="center" vertical="center"/>
      <protection locked="0"/>
    </xf>
    <xf numFmtId="2" fontId="20" fillId="35" borderId="44" xfId="63" applyNumberFormat="1" applyFont="1" applyFill="1" applyBorder="1" applyAlignment="1" applyProtection="1">
      <alignment horizontal="center" vertical="center"/>
      <protection locked="0"/>
    </xf>
    <xf numFmtId="2" fontId="20" fillId="35" borderId="0" xfId="63" applyNumberFormat="1" applyFont="1" applyFill="1" applyBorder="1" applyAlignment="1" applyProtection="1">
      <alignment horizontal="center" vertical="center"/>
      <protection locked="0"/>
    </xf>
    <xf numFmtId="2" fontId="20" fillId="35" borderId="38" xfId="63" applyNumberFormat="1" applyFont="1" applyFill="1" applyBorder="1" applyAlignment="1" applyProtection="1">
      <alignment horizontal="center" vertical="center"/>
      <protection locked="0"/>
    </xf>
    <xf numFmtId="2" fontId="15" fillId="35" borderId="44" xfId="63" applyNumberFormat="1" applyFont="1" applyFill="1" applyBorder="1" applyAlignment="1" applyProtection="1">
      <alignment horizontal="center" vertical="center"/>
      <protection locked="0"/>
    </xf>
    <xf numFmtId="2" fontId="15" fillId="35" borderId="0" xfId="63" applyNumberFormat="1" applyFont="1" applyFill="1" applyBorder="1" applyAlignment="1" applyProtection="1">
      <alignment horizontal="center" vertical="center"/>
      <protection locked="0"/>
    </xf>
    <xf numFmtId="2" fontId="15" fillId="35" borderId="38" xfId="63" applyNumberFormat="1" applyFont="1" applyFill="1" applyBorder="1" applyAlignment="1" applyProtection="1">
      <alignment horizontal="center" vertical="center"/>
      <protection locked="0"/>
    </xf>
    <xf numFmtId="0" fontId="14" fillId="35" borderId="66" xfId="63" applyFont="1" applyFill="1" applyBorder="1" applyAlignment="1" applyProtection="1">
      <alignment horizontal="center" vertical="center"/>
      <protection locked="0"/>
    </xf>
    <xf numFmtId="171" fontId="14" fillId="35" borderId="66" xfId="0" applyNumberFormat="1" applyFont="1" applyFill="1" applyBorder="1" applyAlignment="1" applyProtection="1">
      <alignment horizontal="center" vertical="center"/>
      <protection locked="0"/>
    </xf>
    <xf numFmtId="171" fontId="14" fillId="35" borderId="67" xfId="0" applyNumberFormat="1" applyFont="1" applyFill="1" applyBorder="1" applyAlignment="1" applyProtection="1">
      <alignment horizontal="center" vertical="center"/>
      <protection locked="0"/>
    </xf>
    <xf numFmtId="0" fontId="13" fillId="0" borderId="44" xfId="62" applyFont="1" applyFill="1" applyBorder="1" applyAlignment="1">
      <alignment horizontal="center" vertical="center" wrapText="1"/>
      <protection/>
    </xf>
    <xf numFmtId="0" fontId="13" fillId="0" borderId="0" xfId="62" applyFont="1" applyFill="1" applyBorder="1" applyAlignment="1">
      <alignment horizontal="center" vertical="center" wrapText="1"/>
      <protection/>
    </xf>
    <xf numFmtId="0" fontId="13" fillId="0" borderId="38" xfId="62" applyFont="1" applyFill="1" applyBorder="1" applyAlignment="1">
      <alignment horizontal="center" vertical="center" wrapText="1"/>
      <protection/>
    </xf>
    <xf numFmtId="0" fontId="15" fillId="0" borderId="101" xfId="62" applyFont="1" applyFill="1" applyBorder="1" applyAlignment="1">
      <alignment horizontal="center" vertical="center" wrapText="1"/>
      <protection/>
    </xf>
    <xf numFmtId="0" fontId="15" fillId="0" borderId="0" xfId="62" applyFont="1" applyFill="1" applyBorder="1" applyAlignment="1">
      <alignment horizontal="center" vertical="center" wrapText="1"/>
      <protection/>
    </xf>
    <xf numFmtId="0" fontId="15" fillId="0" borderId="38" xfId="62" applyFont="1" applyFill="1" applyBorder="1" applyAlignment="1">
      <alignment horizontal="center" vertical="center" wrapText="1"/>
      <protection/>
    </xf>
    <xf numFmtId="0" fontId="98" fillId="35" borderId="44" xfId="0" applyFont="1" applyFill="1" applyBorder="1" applyAlignment="1">
      <alignment horizontal="center" vertical="center"/>
    </xf>
    <xf numFmtId="0" fontId="98" fillId="35" borderId="0" xfId="0" applyFont="1" applyFill="1" applyBorder="1" applyAlignment="1">
      <alignment horizontal="center" vertical="center"/>
    </xf>
    <xf numFmtId="0" fontId="98" fillId="35" borderId="38" xfId="0" applyFont="1" applyFill="1" applyBorder="1" applyAlignment="1">
      <alignment horizontal="center" vertical="center"/>
    </xf>
    <xf numFmtId="0" fontId="97" fillId="35" borderId="44" xfId="0" applyFont="1" applyFill="1" applyBorder="1" applyAlignment="1">
      <alignment horizontal="center" vertical="center"/>
    </xf>
    <xf numFmtId="0" fontId="97" fillId="35" borderId="0" xfId="0" applyFont="1" applyFill="1" applyBorder="1" applyAlignment="1">
      <alignment horizontal="center" vertical="center"/>
    </xf>
    <xf numFmtId="0" fontId="97" fillId="35" borderId="38" xfId="0" applyFont="1" applyFill="1" applyBorder="1" applyAlignment="1">
      <alignment horizontal="center" vertical="center"/>
    </xf>
    <xf numFmtId="0" fontId="98" fillId="35" borderId="32" xfId="0" applyFont="1" applyFill="1" applyBorder="1" applyAlignment="1">
      <alignment horizontal="center" vertical="center"/>
    </xf>
    <xf numFmtId="0" fontId="98" fillId="35" borderId="66" xfId="0" applyFont="1" applyFill="1" applyBorder="1" applyAlignment="1">
      <alignment horizontal="center" vertical="center"/>
    </xf>
    <xf numFmtId="0" fontId="98" fillId="35" borderId="67" xfId="0" applyFont="1" applyFill="1" applyBorder="1" applyAlignment="1">
      <alignment horizontal="center" vertical="center"/>
    </xf>
    <xf numFmtId="167" fontId="24" fillId="0" borderId="39" xfId="60" applyNumberFormat="1" applyFont="1" applyBorder="1" applyAlignment="1">
      <alignment horizontal="left" vertical="center"/>
      <protection/>
    </xf>
    <xf numFmtId="167" fontId="24" fillId="8" borderId="42" xfId="60" applyNumberFormat="1" applyFont="1" applyFill="1" applyBorder="1" applyAlignment="1">
      <alignment horizontal="left" vertical="center"/>
      <protection/>
    </xf>
    <xf numFmtId="167" fontId="24" fillId="0" borderId="72" xfId="60" applyNumberFormat="1" applyFont="1" applyBorder="1" applyAlignment="1">
      <alignment horizontal="center" vertical="center"/>
      <protection/>
    </xf>
    <xf numFmtId="167" fontId="24" fillId="0" borderId="82" xfId="60" applyNumberFormat="1" applyFont="1" applyBorder="1" applyAlignment="1">
      <alignment horizontal="center" vertical="center"/>
      <protection/>
    </xf>
    <xf numFmtId="167" fontId="24" fillId="0" borderId="113" xfId="60" applyNumberFormat="1" applyFont="1" applyBorder="1" applyAlignment="1">
      <alignment horizontal="center" vertical="center"/>
      <protection/>
    </xf>
    <xf numFmtId="167" fontId="25" fillId="0" borderId="39" xfId="60" applyNumberFormat="1" applyFont="1" applyBorder="1" applyAlignment="1">
      <alignment horizontal="left" vertical="center"/>
      <protection/>
    </xf>
    <xf numFmtId="0" fontId="24" fillId="0" borderId="72" xfId="54" applyFont="1" applyFill="1" applyBorder="1" applyAlignment="1">
      <alignment horizontal="center" vertical="center"/>
      <protection/>
    </xf>
    <xf numFmtId="0" fontId="24" fillId="0" borderId="82" xfId="54" applyFont="1" applyFill="1" applyBorder="1" applyAlignment="1">
      <alignment horizontal="center" vertical="center"/>
      <protection/>
    </xf>
    <xf numFmtId="0" fontId="24" fillId="0" borderId="113" xfId="54" applyFont="1" applyFill="1" applyBorder="1" applyAlignment="1">
      <alignment horizontal="center" vertical="center"/>
      <protection/>
    </xf>
    <xf numFmtId="167" fontId="24" fillId="0" borderId="114" xfId="60" applyNumberFormat="1" applyFont="1" applyFill="1" applyBorder="1" applyAlignment="1">
      <alignment horizontal="center" vertical="center" wrapText="1"/>
      <protection/>
    </xf>
    <xf numFmtId="167" fontId="24" fillId="0" borderId="115" xfId="60" applyNumberFormat="1" applyFont="1" applyFill="1" applyBorder="1" applyAlignment="1">
      <alignment horizontal="center" vertical="center" wrapText="1"/>
      <protection/>
    </xf>
    <xf numFmtId="167" fontId="24" fillId="0" borderId="116" xfId="60" applyNumberFormat="1" applyFont="1" applyFill="1" applyBorder="1" applyAlignment="1">
      <alignment horizontal="center" vertical="center" wrapText="1"/>
      <protection/>
    </xf>
    <xf numFmtId="167" fontId="24" fillId="43" borderId="122" xfId="60" applyNumberFormat="1" applyFont="1" applyFill="1" applyBorder="1" applyAlignment="1">
      <alignment horizontal="center" vertical="center" wrapText="1"/>
      <protection/>
    </xf>
    <xf numFmtId="167" fontId="24" fillId="43" borderId="32" xfId="60" applyNumberFormat="1" applyFont="1" applyFill="1" applyBorder="1" applyAlignment="1">
      <alignment horizontal="center" vertical="center" wrapText="1"/>
      <protection/>
    </xf>
    <xf numFmtId="167" fontId="24" fillId="43" borderId="62" xfId="60" applyNumberFormat="1" applyFont="1" applyFill="1" applyBorder="1" applyAlignment="1">
      <alignment horizontal="center" vertical="center" wrapText="1"/>
      <protection/>
    </xf>
    <xf numFmtId="167" fontId="24" fillId="43" borderId="123" xfId="60" applyNumberFormat="1" applyFont="1" applyFill="1" applyBorder="1" applyAlignment="1">
      <alignment horizontal="center" vertical="center" wrapText="1"/>
      <protection/>
    </xf>
    <xf numFmtId="167" fontId="24" fillId="43" borderId="59" xfId="60" applyNumberFormat="1" applyFont="1" applyFill="1" applyBorder="1" applyAlignment="1">
      <alignment horizontal="center" vertical="center" wrapText="1"/>
      <protection/>
    </xf>
    <xf numFmtId="167" fontId="24" fillId="43" borderId="66" xfId="60" applyNumberFormat="1" applyFont="1" applyFill="1" applyBorder="1" applyAlignment="1">
      <alignment horizontal="center" vertical="center" wrapText="1"/>
      <protection/>
    </xf>
    <xf numFmtId="167" fontId="24" fillId="0" borderId="39" xfId="60" applyNumberFormat="1" applyFont="1" applyFill="1" applyBorder="1" applyAlignment="1">
      <alignment horizontal="right" vertical="center"/>
      <protection/>
    </xf>
    <xf numFmtId="0" fontId="24" fillId="0" borderId="39" xfId="54" applyFont="1" applyFill="1" applyBorder="1" applyAlignment="1">
      <alignment horizontal="center" vertical="center"/>
      <protection/>
    </xf>
    <xf numFmtId="0" fontId="58" fillId="35" borderId="53" xfId="54" applyFont="1" applyFill="1" applyBorder="1" applyAlignment="1">
      <alignment horizontal="center" vertical="center"/>
      <protection/>
    </xf>
    <xf numFmtId="0" fontId="58" fillId="35" borderId="54" xfId="54" applyFont="1" applyFill="1" applyBorder="1" applyAlignment="1">
      <alignment horizontal="center" vertical="center"/>
      <protection/>
    </xf>
    <xf numFmtId="0" fontId="58" fillId="35" borderId="44" xfId="54" applyFont="1" applyFill="1" applyBorder="1" applyAlignment="1">
      <alignment horizontal="center" vertical="center"/>
      <protection/>
    </xf>
    <xf numFmtId="0" fontId="58" fillId="35" borderId="0" xfId="54" applyFont="1" applyFill="1" applyBorder="1" applyAlignment="1">
      <alignment horizontal="center" vertical="center"/>
      <protection/>
    </xf>
    <xf numFmtId="0" fontId="58" fillId="35" borderId="38" xfId="54" applyFont="1" applyFill="1" applyBorder="1" applyAlignment="1">
      <alignment horizontal="center" vertical="center"/>
      <protection/>
    </xf>
    <xf numFmtId="0" fontId="56" fillId="35" borderId="44" xfId="54" applyFont="1" applyFill="1" applyBorder="1" applyAlignment="1">
      <alignment horizontal="center" vertical="center"/>
      <protection/>
    </xf>
    <xf numFmtId="0" fontId="56" fillId="35" borderId="0" xfId="54" applyFont="1" applyFill="1" applyBorder="1" applyAlignment="1">
      <alignment horizontal="center" vertical="center"/>
      <protection/>
    </xf>
    <xf numFmtId="0" fontId="56" fillId="35" borderId="38" xfId="54" applyFont="1" applyFill="1" applyBorder="1" applyAlignment="1">
      <alignment horizontal="center" vertical="center"/>
      <protection/>
    </xf>
    <xf numFmtId="0" fontId="58" fillId="35" borderId="66" xfId="54" applyFont="1" applyFill="1" applyBorder="1" applyAlignment="1">
      <alignment horizontal="center" vertical="center"/>
      <protection/>
    </xf>
    <xf numFmtId="0" fontId="58" fillId="35" borderId="67" xfId="54" applyFont="1" applyFill="1" applyBorder="1" applyAlignment="1">
      <alignment horizontal="center" vertical="center"/>
      <protection/>
    </xf>
    <xf numFmtId="167" fontId="58" fillId="14" borderId="36" xfId="60" applyNumberFormat="1" applyFont="1" applyFill="1" applyBorder="1" applyAlignment="1">
      <alignment horizontal="center" vertical="center" wrapText="1"/>
      <protection/>
    </xf>
    <xf numFmtId="167" fontId="58" fillId="14" borderId="94" xfId="60" applyNumberFormat="1" applyFont="1" applyFill="1" applyBorder="1" applyAlignment="1">
      <alignment horizontal="center" vertical="center" wrapText="1"/>
      <protection/>
    </xf>
    <xf numFmtId="167" fontId="58" fillId="14" borderId="99" xfId="60" applyNumberFormat="1" applyFont="1" applyFill="1" applyBorder="1" applyAlignment="1">
      <alignment horizontal="center" vertical="center" wrapText="1"/>
      <protection/>
    </xf>
    <xf numFmtId="167" fontId="56" fillId="0" borderId="132" xfId="60" applyNumberFormat="1" applyFont="1" applyBorder="1" applyAlignment="1">
      <alignment horizontal="center" vertical="center"/>
      <protection/>
    </xf>
    <xf numFmtId="167" fontId="56" fillId="0" borderId="133" xfId="60" applyNumberFormat="1" applyFont="1" applyBorder="1" applyAlignment="1">
      <alignment horizontal="center" vertical="center"/>
      <protection/>
    </xf>
    <xf numFmtId="0" fontId="56" fillId="0" borderId="17" xfId="0" applyFont="1" applyFill="1" applyBorder="1" applyAlignment="1">
      <alignment horizontal="right" vertical="center"/>
    </xf>
    <xf numFmtId="0" fontId="56" fillId="0" borderId="26" xfId="0" applyFont="1" applyFill="1" applyBorder="1" applyAlignment="1">
      <alignment horizontal="right" vertical="center"/>
    </xf>
    <xf numFmtId="0" fontId="58" fillId="0" borderId="27" xfId="0" applyFont="1" applyFill="1" applyBorder="1" applyAlignment="1">
      <alignment horizontal="right" vertical="center"/>
    </xf>
    <xf numFmtId="1" fontId="58" fillId="0" borderId="122" xfId="0" applyNumberFormat="1" applyFont="1" applyFill="1" applyBorder="1" applyAlignment="1">
      <alignment horizontal="center" vertical="center" wrapText="1"/>
    </xf>
    <xf numFmtId="1" fontId="58" fillId="0" borderId="123" xfId="0" applyNumberFormat="1" applyFont="1" applyFill="1" applyBorder="1" applyAlignment="1">
      <alignment horizontal="center" vertical="center" wrapText="1"/>
    </xf>
    <xf numFmtId="1" fontId="58" fillId="0" borderId="126" xfId="0" applyNumberFormat="1" applyFont="1" applyFill="1" applyBorder="1" applyAlignment="1">
      <alignment horizontal="center" vertical="center" wrapText="1"/>
    </xf>
    <xf numFmtId="0" fontId="58" fillId="37" borderId="45" xfId="0" applyFont="1" applyFill="1" applyBorder="1" applyAlignment="1">
      <alignment horizontal="center" vertical="center"/>
    </xf>
    <xf numFmtId="0" fontId="58" fillId="37" borderId="46" xfId="0" applyFont="1" applyFill="1" applyBorder="1" applyAlignment="1">
      <alignment horizontal="center" vertical="center"/>
    </xf>
    <xf numFmtId="0" fontId="58" fillId="37" borderId="49" xfId="0" applyFont="1" applyFill="1" applyBorder="1" applyAlignment="1">
      <alignment horizontal="center" vertical="center"/>
    </xf>
    <xf numFmtId="167" fontId="56" fillId="0" borderId="134" xfId="60" applyNumberFormat="1" applyFont="1" applyBorder="1" applyAlignment="1">
      <alignment horizontal="center" vertical="center"/>
      <protection/>
    </xf>
    <xf numFmtId="167" fontId="56" fillId="0" borderId="135" xfId="60" applyNumberFormat="1" applyFont="1" applyBorder="1" applyAlignment="1">
      <alignment horizontal="center" vertical="center"/>
      <protection/>
    </xf>
    <xf numFmtId="0" fontId="58" fillId="37" borderId="72" xfId="0" applyFont="1" applyFill="1" applyBorder="1" applyAlignment="1">
      <alignment horizontal="center" vertical="center"/>
    </xf>
    <xf numFmtId="0" fontId="58" fillId="37" borderId="82" xfId="0" applyFont="1" applyFill="1" applyBorder="1" applyAlignment="1">
      <alignment horizontal="center" vertical="center"/>
    </xf>
    <xf numFmtId="0" fontId="58" fillId="37" borderId="113" xfId="0" applyFont="1" applyFill="1" applyBorder="1" applyAlignment="1">
      <alignment horizontal="center" vertical="center"/>
    </xf>
    <xf numFmtId="0" fontId="58" fillId="37" borderId="72" xfId="0" applyFont="1" applyFill="1" applyBorder="1" applyAlignment="1">
      <alignment horizontal="center" vertical="center" wrapText="1"/>
    </xf>
    <xf numFmtId="0" fontId="58" fillId="37" borderId="82" xfId="0" applyFont="1" applyFill="1" applyBorder="1" applyAlignment="1">
      <alignment horizontal="center" vertical="center" wrapText="1"/>
    </xf>
    <xf numFmtId="0" fontId="58" fillId="37" borderId="113" xfId="0" applyFont="1" applyFill="1" applyBorder="1" applyAlignment="1">
      <alignment horizontal="center" vertical="center" wrapText="1"/>
    </xf>
    <xf numFmtId="0" fontId="94" fillId="35" borderId="54" xfId="0" applyFont="1" applyFill="1" applyBorder="1" applyAlignment="1">
      <alignment horizontal="center"/>
    </xf>
    <xf numFmtId="0" fontId="28" fillId="35" borderId="38" xfId="0" applyFont="1" applyFill="1" applyBorder="1" applyAlignment="1">
      <alignment horizontal="center" vertical="center"/>
    </xf>
    <xf numFmtId="0" fontId="14" fillId="35" borderId="38" xfId="0" applyFont="1" applyFill="1" applyBorder="1" applyAlignment="1">
      <alignment horizontal="center" vertical="center"/>
    </xf>
    <xf numFmtId="0" fontId="14" fillId="0" borderId="38" xfId="0" applyFont="1" applyBorder="1" applyAlignment="1">
      <alignment horizontal="center" vertical="center" wrapText="1"/>
    </xf>
    <xf numFmtId="49" fontId="21" fillId="35" borderId="67" xfId="0" applyNumberFormat="1" applyFont="1" applyFill="1" applyBorder="1" applyAlignment="1">
      <alignment horizontal="center" vertical="center"/>
    </xf>
    <xf numFmtId="167" fontId="28" fillId="43" borderId="67" xfId="60" applyNumberFormat="1" applyFont="1" applyFill="1" applyBorder="1" applyAlignment="1">
      <alignment horizontal="center" vertical="center" wrapText="1"/>
      <protection/>
    </xf>
    <xf numFmtId="0" fontId="26" fillId="0" borderId="38" xfId="0" applyFont="1" applyBorder="1" applyAlignment="1">
      <alignment horizontal="center" vertical="center" wrapText="1"/>
    </xf>
  </cellXfs>
  <cellStyles count="7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12" xfId="51"/>
    <cellStyle name="Normal 2" xfId="52"/>
    <cellStyle name="Normal 2 2" xfId="53"/>
    <cellStyle name="Normal 2 2 2" xfId="54"/>
    <cellStyle name="Normal 2 3" xfId="55"/>
    <cellStyle name="Normal 3" xfId="56"/>
    <cellStyle name="Normal 4" xfId="57"/>
    <cellStyle name="Normal 5" xfId="58"/>
    <cellStyle name="Normal 5 2" xfId="59"/>
    <cellStyle name="Normal 6" xfId="60"/>
    <cellStyle name="Normal 7" xfId="61"/>
    <cellStyle name="Normal_F-06-09" xfId="62"/>
    <cellStyle name="Normal_Plan1" xfId="63"/>
    <cellStyle name="Nota" xfId="64"/>
    <cellStyle name="Percent" xfId="65"/>
    <cellStyle name="Porcentagem 2" xfId="66"/>
    <cellStyle name="Porcentagem 4" xfId="67"/>
    <cellStyle name="Saída" xfId="68"/>
    <cellStyle name="Comma [0]" xfId="69"/>
    <cellStyle name="Separador de milhares 2 2" xfId="70"/>
    <cellStyle name="Separador de milhares 2 2 5" xfId="71"/>
    <cellStyle name="Separador de milhares 2 2 5 2" xfId="72"/>
    <cellStyle name="Separador de milhares 2 2 6" xfId="73"/>
    <cellStyle name="Separador de milhares 3" xfId="74"/>
    <cellStyle name="Separador de milhares 4" xfId="75"/>
    <cellStyle name="Separador de milhares_Projeto Completo Água - Água  Boa(alterado)" xfId="76"/>
    <cellStyle name="Texto de Aviso" xfId="77"/>
    <cellStyle name="Texto Explicativo" xfId="78"/>
    <cellStyle name="Título" xfId="79"/>
    <cellStyle name="Título 1" xfId="80"/>
    <cellStyle name="Título 2" xfId="81"/>
    <cellStyle name="Título 3" xfId="82"/>
    <cellStyle name="Título 4" xfId="83"/>
    <cellStyle name="Total" xfId="84"/>
    <cellStyle name="Comma" xfId="85"/>
    <cellStyle name="Vírgula 12" xfId="86"/>
    <cellStyle name="Vírgula 2" xfId="87"/>
    <cellStyle name="Vírgula 5" xfId="88"/>
    <cellStyle name="Vírgula 5 6" xfId="89"/>
  </cellStyles>
  <dxfs count="198">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0</xdr:row>
      <xdr:rowOff>123825</xdr:rowOff>
    </xdr:from>
    <xdr:to>
      <xdr:col>3</xdr:col>
      <xdr:colOff>1076325</xdr:colOff>
      <xdr:row>0</xdr:row>
      <xdr:rowOff>190500</xdr:rowOff>
    </xdr:to>
    <xdr:pic>
      <xdr:nvPicPr>
        <xdr:cNvPr id="1" name="Imagem 2" descr="Descrição: logo100"/>
        <xdr:cNvPicPr preferRelativeResize="1">
          <a:picLocks noChangeAspect="1"/>
        </xdr:cNvPicPr>
      </xdr:nvPicPr>
      <xdr:blipFill>
        <a:blip r:embed="rId1"/>
        <a:stretch>
          <a:fillRect/>
        </a:stretch>
      </xdr:blipFill>
      <xdr:spPr>
        <a:xfrm>
          <a:off x="4838700" y="123825"/>
          <a:ext cx="0" cy="66675"/>
        </a:xfrm>
        <a:prstGeom prst="rect">
          <a:avLst/>
        </a:prstGeom>
        <a:noFill/>
        <a:ln w="9525" cmpd="sng">
          <a:noFill/>
        </a:ln>
      </xdr:spPr>
    </xdr:pic>
    <xdr:clientData/>
  </xdr:twoCellAnchor>
  <xdr:twoCellAnchor editAs="oneCell">
    <xdr:from>
      <xdr:col>0</xdr:col>
      <xdr:colOff>228600</xdr:colOff>
      <xdr:row>0</xdr:row>
      <xdr:rowOff>142875</xdr:rowOff>
    </xdr:from>
    <xdr:to>
      <xdr:col>2</xdr:col>
      <xdr:colOff>85725</xdr:colOff>
      <xdr:row>4</xdr:row>
      <xdr:rowOff>85725</xdr:rowOff>
    </xdr:to>
    <xdr:pic>
      <xdr:nvPicPr>
        <xdr:cNvPr id="2" name="Imagem 3"/>
        <xdr:cNvPicPr preferRelativeResize="1">
          <a:picLocks noChangeAspect="1"/>
        </xdr:cNvPicPr>
      </xdr:nvPicPr>
      <xdr:blipFill>
        <a:blip r:embed="rId2"/>
        <a:stretch>
          <a:fillRect/>
        </a:stretch>
      </xdr:blipFill>
      <xdr:spPr>
        <a:xfrm>
          <a:off x="228600" y="142875"/>
          <a:ext cx="1600200"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2038350</xdr:colOff>
      <xdr:row>0</xdr:row>
      <xdr:rowOff>85725</xdr:rowOff>
    </xdr:from>
    <xdr:to>
      <xdr:col>3</xdr:col>
      <xdr:colOff>400050</xdr:colOff>
      <xdr:row>3</xdr:row>
      <xdr:rowOff>19050</xdr:rowOff>
    </xdr:to>
    <xdr:pic>
      <xdr:nvPicPr>
        <xdr:cNvPr id="1" name="Imagem 3"/>
        <xdr:cNvPicPr preferRelativeResize="1">
          <a:picLocks noChangeAspect="1"/>
        </xdr:cNvPicPr>
      </xdr:nvPicPr>
      <xdr:blipFill>
        <a:blip r:embed="rId1"/>
        <a:stretch>
          <a:fillRect/>
        </a:stretch>
      </xdr:blipFill>
      <xdr:spPr>
        <a:xfrm>
          <a:off x="3276600" y="85725"/>
          <a:ext cx="150495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2305050</xdr:colOff>
      <xdr:row>0</xdr:row>
      <xdr:rowOff>85725</xdr:rowOff>
    </xdr:from>
    <xdr:to>
      <xdr:col>3</xdr:col>
      <xdr:colOff>85725</xdr:colOff>
      <xdr:row>1</xdr:row>
      <xdr:rowOff>542925</xdr:rowOff>
    </xdr:to>
    <xdr:pic>
      <xdr:nvPicPr>
        <xdr:cNvPr id="1" name="Imagem 3"/>
        <xdr:cNvPicPr preferRelativeResize="1">
          <a:picLocks noChangeAspect="1"/>
        </xdr:cNvPicPr>
      </xdr:nvPicPr>
      <xdr:blipFill>
        <a:blip r:embed="rId1"/>
        <a:stretch>
          <a:fillRect/>
        </a:stretch>
      </xdr:blipFill>
      <xdr:spPr>
        <a:xfrm>
          <a:off x="3609975" y="85725"/>
          <a:ext cx="12382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2305050</xdr:colOff>
      <xdr:row>0</xdr:row>
      <xdr:rowOff>85725</xdr:rowOff>
    </xdr:from>
    <xdr:to>
      <xdr:col>3</xdr:col>
      <xdr:colOff>85725</xdr:colOff>
      <xdr:row>1</xdr:row>
      <xdr:rowOff>542925</xdr:rowOff>
    </xdr:to>
    <xdr:pic>
      <xdr:nvPicPr>
        <xdr:cNvPr id="1" name="Imagem 3"/>
        <xdr:cNvPicPr preferRelativeResize="1">
          <a:picLocks noChangeAspect="1"/>
        </xdr:cNvPicPr>
      </xdr:nvPicPr>
      <xdr:blipFill>
        <a:blip r:embed="rId1"/>
        <a:stretch>
          <a:fillRect/>
        </a:stretch>
      </xdr:blipFill>
      <xdr:spPr>
        <a:xfrm>
          <a:off x="3609975" y="85725"/>
          <a:ext cx="12382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2028825</xdr:colOff>
      <xdr:row>0</xdr:row>
      <xdr:rowOff>66675</xdr:rowOff>
    </xdr:from>
    <xdr:to>
      <xdr:col>3</xdr:col>
      <xdr:colOff>581025</xdr:colOff>
      <xdr:row>1</xdr:row>
      <xdr:rowOff>619125</xdr:rowOff>
    </xdr:to>
    <xdr:pic>
      <xdr:nvPicPr>
        <xdr:cNvPr id="1" name="Imagem 1"/>
        <xdr:cNvPicPr preferRelativeResize="1">
          <a:picLocks noChangeAspect="1"/>
        </xdr:cNvPicPr>
      </xdr:nvPicPr>
      <xdr:blipFill>
        <a:blip r:embed="rId1"/>
        <a:stretch>
          <a:fillRect/>
        </a:stretch>
      </xdr:blipFill>
      <xdr:spPr>
        <a:xfrm>
          <a:off x="3429000" y="66675"/>
          <a:ext cx="1600200"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3857625</xdr:colOff>
      <xdr:row>0</xdr:row>
      <xdr:rowOff>180975</xdr:rowOff>
    </xdr:from>
    <xdr:to>
      <xdr:col>2</xdr:col>
      <xdr:colOff>666750</xdr:colOff>
      <xdr:row>1</xdr:row>
      <xdr:rowOff>819150</xdr:rowOff>
    </xdr:to>
    <xdr:pic>
      <xdr:nvPicPr>
        <xdr:cNvPr id="1" name="Imagem 2"/>
        <xdr:cNvPicPr preferRelativeResize="1">
          <a:picLocks noChangeAspect="1"/>
        </xdr:cNvPicPr>
      </xdr:nvPicPr>
      <xdr:blipFill>
        <a:blip r:embed="rId1"/>
        <a:stretch>
          <a:fillRect/>
        </a:stretch>
      </xdr:blipFill>
      <xdr:spPr>
        <a:xfrm>
          <a:off x="4752975" y="180975"/>
          <a:ext cx="1981200" cy="8858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0</xdr:row>
      <xdr:rowOff>161925</xdr:rowOff>
    </xdr:from>
    <xdr:to>
      <xdr:col>5</xdr:col>
      <xdr:colOff>9525</xdr:colOff>
      <xdr:row>1</xdr:row>
      <xdr:rowOff>800100</xdr:rowOff>
    </xdr:to>
    <xdr:pic>
      <xdr:nvPicPr>
        <xdr:cNvPr id="1" name="Imagem 1"/>
        <xdr:cNvPicPr preferRelativeResize="1">
          <a:picLocks noChangeAspect="1"/>
        </xdr:cNvPicPr>
      </xdr:nvPicPr>
      <xdr:blipFill>
        <a:blip r:embed="rId1"/>
        <a:stretch>
          <a:fillRect/>
        </a:stretch>
      </xdr:blipFill>
      <xdr:spPr>
        <a:xfrm>
          <a:off x="3990975" y="161925"/>
          <a:ext cx="1647825" cy="809625"/>
        </a:xfrm>
        <a:prstGeom prst="rect">
          <a:avLst/>
        </a:prstGeom>
        <a:noFill/>
        <a:ln w="9525" cmpd="sng">
          <a:noFill/>
        </a:ln>
      </xdr:spPr>
    </xdr:pic>
    <xdr:clientData/>
  </xdr:twoCellAnchor>
  <xdr:oneCellAnchor>
    <xdr:from>
      <xdr:col>1</xdr:col>
      <xdr:colOff>19050</xdr:colOff>
      <xdr:row>46</xdr:row>
      <xdr:rowOff>161925</xdr:rowOff>
    </xdr:from>
    <xdr:ext cx="1571625" cy="1809750"/>
    <xdr:sp>
      <xdr:nvSpPr>
        <xdr:cNvPr id="2" name="CaixaDeTexto 4"/>
        <xdr:cNvSpPr txBox="1">
          <a:spLocks noChangeArrowheads="1"/>
        </xdr:cNvSpPr>
      </xdr:nvSpPr>
      <xdr:spPr>
        <a:xfrm>
          <a:off x="1457325" y="15249525"/>
          <a:ext cx="1571625" cy="1809750"/>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oneCellAnchor>
    <xdr:from>
      <xdr:col>6</xdr:col>
      <xdr:colOff>685800</xdr:colOff>
      <xdr:row>46</xdr:row>
      <xdr:rowOff>161925</xdr:rowOff>
    </xdr:from>
    <xdr:ext cx="1571625" cy="1809750"/>
    <xdr:sp>
      <xdr:nvSpPr>
        <xdr:cNvPr id="3" name="CaixaDeTexto 6"/>
        <xdr:cNvSpPr txBox="1">
          <a:spLocks noChangeArrowheads="1"/>
        </xdr:cNvSpPr>
      </xdr:nvSpPr>
      <xdr:spPr>
        <a:xfrm>
          <a:off x="7362825" y="15249525"/>
          <a:ext cx="1571625" cy="1809750"/>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1790700</xdr:colOff>
      <xdr:row>0</xdr:row>
      <xdr:rowOff>66675</xdr:rowOff>
    </xdr:from>
    <xdr:to>
      <xdr:col>3</xdr:col>
      <xdr:colOff>200025</xdr:colOff>
      <xdr:row>1</xdr:row>
      <xdr:rowOff>523875</xdr:rowOff>
    </xdr:to>
    <xdr:pic>
      <xdr:nvPicPr>
        <xdr:cNvPr id="1" name="Imagem 3"/>
        <xdr:cNvPicPr preferRelativeResize="1">
          <a:picLocks noChangeAspect="1"/>
        </xdr:cNvPicPr>
      </xdr:nvPicPr>
      <xdr:blipFill>
        <a:blip r:embed="rId1"/>
        <a:stretch>
          <a:fillRect/>
        </a:stretch>
      </xdr:blipFill>
      <xdr:spPr>
        <a:xfrm>
          <a:off x="3019425" y="66675"/>
          <a:ext cx="1257300" cy="5905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85725</xdr:rowOff>
    </xdr:from>
    <xdr:to>
      <xdr:col>2</xdr:col>
      <xdr:colOff>676275</xdr:colOff>
      <xdr:row>4</xdr:row>
      <xdr:rowOff>0</xdr:rowOff>
    </xdr:to>
    <xdr:pic>
      <xdr:nvPicPr>
        <xdr:cNvPr id="1" name="Imagem 3"/>
        <xdr:cNvPicPr preferRelativeResize="1">
          <a:picLocks noChangeAspect="1"/>
        </xdr:cNvPicPr>
      </xdr:nvPicPr>
      <xdr:blipFill>
        <a:blip r:embed="rId1"/>
        <a:stretch>
          <a:fillRect/>
        </a:stretch>
      </xdr:blipFill>
      <xdr:spPr>
        <a:xfrm>
          <a:off x="352425" y="85725"/>
          <a:ext cx="15525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4171950</xdr:colOff>
      <xdr:row>0</xdr:row>
      <xdr:rowOff>142875</xdr:rowOff>
    </xdr:from>
    <xdr:to>
      <xdr:col>5</xdr:col>
      <xdr:colOff>6524625</xdr:colOff>
      <xdr:row>3</xdr:row>
      <xdr:rowOff>228600</xdr:rowOff>
    </xdr:to>
    <xdr:pic>
      <xdr:nvPicPr>
        <xdr:cNvPr id="1" name="Imagem 3"/>
        <xdr:cNvPicPr preferRelativeResize="1">
          <a:picLocks noChangeAspect="1"/>
        </xdr:cNvPicPr>
      </xdr:nvPicPr>
      <xdr:blipFill>
        <a:blip r:embed="rId1"/>
        <a:stretch>
          <a:fillRect/>
        </a:stretch>
      </xdr:blipFill>
      <xdr:spPr>
        <a:xfrm>
          <a:off x="8505825" y="142875"/>
          <a:ext cx="2352675"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0</xdr:row>
      <xdr:rowOff>171450</xdr:rowOff>
    </xdr:from>
    <xdr:to>
      <xdr:col>10</xdr:col>
      <xdr:colOff>1114425</xdr:colOff>
      <xdr:row>4</xdr:row>
      <xdr:rowOff>171450</xdr:rowOff>
    </xdr:to>
    <xdr:pic>
      <xdr:nvPicPr>
        <xdr:cNvPr id="1" name="Imagem 3"/>
        <xdr:cNvPicPr preferRelativeResize="1">
          <a:picLocks noChangeAspect="1"/>
        </xdr:cNvPicPr>
      </xdr:nvPicPr>
      <xdr:blipFill>
        <a:blip r:embed="rId1"/>
        <a:stretch>
          <a:fillRect/>
        </a:stretch>
      </xdr:blipFill>
      <xdr:spPr>
        <a:xfrm>
          <a:off x="14554200" y="171450"/>
          <a:ext cx="271462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2543175</xdr:colOff>
      <xdr:row>0</xdr:row>
      <xdr:rowOff>266700</xdr:rowOff>
    </xdr:from>
    <xdr:to>
      <xdr:col>9</xdr:col>
      <xdr:colOff>304800</xdr:colOff>
      <xdr:row>3</xdr:row>
      <xdr:rowOff>333375</xdr:rowOff>
    </xdr:to>
    <xdr:pic>
      <xdr:nvPicPr>
        <xdr:cNvPr id="1" name="Imagem 3"/>
        <xdr:cNvPicPr preferRelativeResize="1">
          <a:picLocks noChangeAspect="1"/>
        </xdr:cNvPicPr>
      </xdr:nvPicPr>
      <xdr:blipFill>
        <a:blip r:embed="rId1"/>
        <a:stretch>
          <a:fillRect/>
        </a:stretch>
      </xdr:blipFill>
      <xdr:spPr>
        <a:xfrm>
          <a:off x="26012775" y="266700"/>
          <a:ext cx="3857625" cy="1581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2276475</xdr:colOff>
      <xdr:row>0</xdr:row>
      <xdr:rowOff>342900</xdr:rowOff>
    </xdr:from>
    <xdr:to>
      <xdr:col>8</xdr:col>
      <xdr:colOff>5772150</xdr:colOff>
      <xdr:row>3</xdr:row>
      <xdr:rowOff>342900</xdr:rowOff>
    </xdr:to>
    <xdr:pic>
      <xdr:nvPicPr>
        <xdr:cNvPr id="1" name="Imagem 3"/>
        <xdr:cNvPicPr preferRelativeResize="1">
          <a:picLocks noChangeAspect="1"/>
        </xdr:cNvPicPr>
      </xdr:nvPicPr>
      <xdr:blipFill>
        <a:blip r:embed="rId1"/>
        <a:stretch>
          <a:fillRect/>
        </a:stretch>
      </xdr:blipFill>
      <xdr:spPr>
        <a:xfrm>
          <a:off x="16335375" y="342900"/>
          <a:ext cx="3486150" cy="1514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1</xdr:row>
      <xdr:rowOff>19050</xdr:rowOff>
    </xdr:from>
    <xdr:to>
      <xdr:col>8</xdr:col>
      <xdr:colOff>314325</xdr:colOff>
      <xdr:row>3</xdr:row>
      <xdr:rowOff>190500</xdr:rowOff>
    </xdr:to>
    <xdr:pic>
      <xdr:nvPicPr>
        <xdr:cNvPr id="1" name="Imagem 3"/>
        <xdr:cNvPicPr preferRelativeResize="1">
          <a:picLocks noChangeAspect="1"/>
        </xdr:cNvPicPr>
      </xdr:nvPicPr>
      <xdr:blipFill>
        <a:blip r:embed="rId1"/>
        <a:stretch>
          <a:fillRect/>
        </a:stretch>
      </xdr:blipFill>
      <xdr:spPr>
        <a:xfrm>
          <a:off x="6515100" y="200025"/>
          <a:ext cx="150495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2076450</xdr:colOff>
      <xdr:row>0</xdr:row>
      <xdr:rowOff>66675</xdr:rowOff>
    </xdr:from>
    <xdr:to>
      <xdr:col>2</xdr:col>
      <xdr:colOff>3190875</xdr:colOff>
      <xdr:row>1</xdr:row>
      <xdr:rowOff>495300</xdr:rowOff>
    </xdr:to>
    <xdr:pic>
      <xdr:nvPicPr>
        <xdr:cNvPr id="1" name="Imagem 2"/>
        <xdr:cNvPicPr preferRelativeResize="1">
          <a:picLocks noChangeAspect="1"/>
        </xdr:cNvPicPr>
      </xdr:nvPicPr>
      <xdr:blipFill>
        <a:blip r:embed="rId1"/>
        <a:stretch>
          <a:fillRect/>
        </a:stretch>
      </xdr:blipFill>
      <xdr:spPr>
        <a:xfrm>
          <a:off x="3295650" y="66675"/>
          <a:ext cx="111442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57150</xdr:rowOff>
    </xdr:from>
    <xdr:to>
      <xdr:col>3</xdr:col>
      <xdr:colOff>1552575</xdr:colOff>
      <xdr:row>1</xdr:row>
      <xdr:rowOff>457200</xdr:rowOff>
    </xdr:to>
    <xdr:pic>
      <xdr:nvPicPr>
        <xdr:cNvPr id="1" name="Imagem 3"/>
        <xdr:cNvPicPr preferRelativeResize="1">
          <a:picLocks noChangeAspect="1"/>
        </xdr:cNvPicPr>
      </xdr:nvPicPr>
      <xdr:blipFill>
        <a:blip r:embed="rId1"/>
        <a:stretch>
          <a:fillRect/>
        </a:stretch>
      </xdr:blipFill>
      <xdr:spPr>
        <a:xfrm>
          <a:off x="3505200" y="57150"/>
          <a:ext cx="112395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3171825</xdr:colOff>
      <xdr:row>0</xdr:row>
      <xdr:rowOff>104775</xdr:rowOff>
    </xdr:from>
    <xdr:to>
      <xdr:col>3</xdr:col>
      <xdr:colOff>1133475</xdr:colOff>
      <xdr:row>1</xdr:row>
      <xdr:rowOff>581025</xdr:rowOff>
    </xdr:to>
    <xdr:pic>
      <xdr:nvPicPr>
        <xdr:cNvPr id="1" name="Imagem 3"/>
        <xdr:cNvPicPr preferRelativeResize="1">
          <a:picLocks noChangeAspect="1"/>
        </xdr:cNvPicPr>
      </xdr:nvPicPr>
      <xdr:blipFill>
        <a:blip r:embed="rId1"/>
        <a:stretch>
          <a:fillRect/>
        </a:stretch>
      </xdr:blipFill>
      <xdr:spPr>
        <a:xfrm>
          <a:off x="4410075" y="104775"/>
          <a:ext cx="14382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niffer.nascimento\Downloads\Composicao%20ORSE%20-%2012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sição ORSE"/>
    </sheetNames>
    <sheetDataSet>
      <sheetData sheetId="0">
        <row r="12">
          <cell r="H12" t="str">
            <v> 0,0059524</v>
          </cell>
        </row>
        <row r="20">
          <cell r="H20" t="str">
            <v> 0,0178571</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O39"/>
  <sheetViews>
    <sheetView view="pageBreakPreview" zoomScale="70" zoomScaleSheetLayoutView="70" zoomScalePageLayoutView="0" workbookViewId="0" topLeftCell="A1">
      <selection activeCell="L29" sqref="L29"/>
    </sheetView>
  </sheetViews>
  <sheetFormatPr defaultColWidth="9.140625" defaultRowHeight="12.75"/>
  <cols>
    <col min="1" max="1" width="5.421875" style="404" bestFit="1" customWidth="1"/>
    <col min="2" max="2" width="20.7109375" style="404" customWidth="1"/>
    <col min="3" max="3" width="25.7109375" style="404" bestFit="1" customWidth="1"/>
    <col min="4" max="4" width="20.7109375" style="404" customWidth="1"/>
    <col min="5" max="6" width="15.7109375" style="404" customWidth="1"/>
    <col min="7" max="7" width="17.28125" style="404" bestFit="1" customWidth="1"/>
    <col min="8" max="8" width="20.140625" style="404" hidden="1" customWidth="1"/>
    <col min="9" max="9" width="16.28125" style="404" customWidth="1"/>
    <col min="10" max="10" width="22.140625" style="404" customWidth="1"/>
    <col min="11" max="11" width="20.140625" style="404" hidden="1" customWidth="1"/>
    <col min="12" max="12" width="17.28125" style="404" bestFit="1" customWidth="1"/>
    <col min="13" max="13" width="9.140625" style="404" customWidth="1"/>
    <col min="14" max="14" width="15.421875" style="404" bestFit="1" customWidth="1"/>
    <col min="15" max="15" width="13.8515625" style="404" bestFit="1" customWidth="1"/>
    <col min="16" max="16384" width="9.140625" style="404" customWidth="1"/>
  </cols>
  <sheetData>
    <row r="1" spans="1:12" ht="15" customHeight="1">
      <c r="A1" s="780"/>
      <c r="B1" s="781"/>
      <c r="C1" s="781"/>
      <c r="D1" s="781"/>
      <c r="E1" s="781"/>
      <c r="F1" s="781"/>
      <c r="G1" s="781"/>
      <c r="H1" s="781"/>
      <c r="I1" s="781"/>
      <c r="J1" s="781"/>
      <c r="K1" s="781"/>
      <c r="L1" s="782"/>
    </row>
    <row r="2" spans="1:12" ht="15" customHeight="1">
      <c r="A2" s="783" t="s">
        <v>20</v>
      </c>
      <c r="B2" s="784"/>
      <c r="C2" s="784"/>
      <c r="D2" s="784"/>
      <c r="E2" s="784"/>
      <c r="F2" s="784"/>
      <c r="G2" s="784"/>
      <c r="H2" s="784"/>
      <c r="I2" s="784"/>
      <c r="J2" s="784"/>
      <c r="K2" s="784"/>
      <c r="L2" s="785"/>
    </row>
    <row r="3" spans="1:12" ht="15" customHeight="1">
      <c r="A3" s="786" t="s">
        <v>194</v>
      </c>
      <c r="B3" s="787"/>
      <c r="C3" s="787"/>
      <c r="D3" s="787"/>
      <c r="E3" s="787"/>
      <c r="F3" s="787"/>
      <c r="G3" s="787"/>
      <c r="H3" s="787"/>
      <c r="I3" s="787"/>
      <c r="J3" s="787"/>
      <c r="K3" s="787"/>
      <c r="L3" s="788"/>
    </row>
    <row r="4" spans="1:12" ht="15" customHeight="1">
      <c r="A4" s="786" t="s">
        <v>19</v>
      </c>
      <c r="B4" s="787"/>
      <c r="C4" s="787"/>
      <c r="D4" s="787"/>
      <c r="E4" s="787"/>
      <c r="F4" s="787"/>
      <c r="G4" s="787"/>
      <c r="H4" s="787"/>
      <c r="I4" s="787"/>
      <c r="J4" s="787"/>
      <c r="K4" s="787"/>
      <c r="L4" s="788"/>
    </row>
    <row r="5" spans="1:12" ht="15" customHeight="1" thickBot="1">
      <c r="A5" s="405"/>
      <c r="B5" s="406"/>
      <c r="C5" s="406"/>
      <c r="D5" s="406"/>
      <c r="E5" s="406"/>
      <c r="F5" s="406"/>
      <c r="G5" s="406"/>
      <c r="H5" s="406"/>
      <c r="I5" s="406"/>
      <c r="J5" s="406"/>
      <c r="K5" s="406"/>
      <c r="L5" s="407"/>
    </row>
    <row r="6" spans="1:12" ht="39" customHeight="1" thickBot="1" thickTop="1">
      <c r="A6" s="789" t="s">
        <v>577</v>
      </c>
      <c r="B6" s="790"/>
      <c r="C6" s="790"/>
      <c r="D6" s="790"/>
      <c r="E6" s="790"/>
      <c r="F6" s="790"/>
      <c r="G6" s="790"/>
      <c r="H6" s="790"/>
      <c r="I6" s="790"/>
      <c r="J6" s="790"/>
      <c r="K6" s="790"/>
      <c r="L6" s="790"/>
    </row>
    <row r="7" spans="1:12" ht="35.25" customHeight="1" thickBot="1" thickTop="1">
      <c r="A7" s="791" t="str">
        <f>'ORÇAMENTO GERAL'!D9</f>
        <v>EXECUÇÃO DOS SERVIÇOS DE DRENAGEM URBANA E TERRAPLENAGEM NA NS. DO CARMO, PASS. KENEDY, PASS. UBIRATAN MACIEL E PASS. ALEGRE - BAIRRO COQUEIRO  - NO MUNICÍPIO DE ANANINDEUA - PA.</v>
      </c>
      <c r="B7" s="792"/>
      <c r="C7" s="792"/>
      <c r="D7" s="792"/>
      <c r="E7" s="792"/>
      <c r="F7" s="792"/>
      <c r="G7" s="792"/>
      <c r="H7" s="792"/>
      <c r="I7" s="792"/>
      <c r="J7" s="792"/>
      <c r="K7" s="792"/>
      <c r="L7" s="793"/>
    </row>
    <row r="8" spans="1:12" ht="34.5" customHeight="1" thickBot="1">
      <c r="A8" s="408" t="s">
        <v>7</v>
      </c>
      <c r="B8" s="409" t="s">
        <v>231</v>
      </c>
      <c r="C8" s="409" t="s">
        <v>359</v>
      </c>
      <c r="D8" s="409" t="s">
        <v>360</v>
      </c>
      <c r="E8" s="409" t="s">
        <v>381</v>
      </c>
      <c r="F8" s="410" t="s">
        <v>357</v>
      </c>
      <c r="G8" s="411" t="s">
        <v>568</v>
      </c>
      <c r="H8" s="411" t="s">
        <v>571</v>
      </c>
      <c r="I8" s="411" t="s">
        <v>570</v>
      </c>
      <c r="J8" s="411" t="s">
        <v>384</v>
      </c>
      <c r="K8" s="410" t="s">
        <v>569</v>
      </c>
      <c r="L8" s="410" t="s">
        <v>24</v>
      </c>
    </row>
    <row r="9" spans="1:15" s="393" customFormat="1" ht="39.75" customHeight="1">
      <c r="A9" s="387">
        <v>1</v>
      </c>
      <c r="B9" s="721" t="s">
        <v>773</v>
      </c>
      <c r="C9" s="388" t="s">
        <v>763</v>
      </c>
      <c r="D9" s="389" t="s">
        <v>768</v>
      </c>
      <c r="E9" s="389">
        <f>350+20+58+125</f>
        <v>553</v>
      </c>
      <c r="F9" s="390">
        <v>6</v>
      </c>
      <c r="G9" s="391">
        <f>'MC-DRE'!AD20+'MC-DRE'!AD48+'MC-DRE'!AD76+'MC-DRE'!AD104+'MC-DRE'!AD132+'MC-DRE'!AD160+'MC-DRE'!AD184+'MC-DRE'!AG184+'MC-DRE'!AD209+'MC-DRE'!AG209+'MC-DRE'!AJ209</f>
        <v>273982.16</v>
      </c>
      <c r="H9" s="391">
        <f>'MC-PAV'!AA18</f>
        <v>0</v>
      </c>
      <c r="I9" s="391">
        <f>'MC-PAV'!AG18</f>
        <v>126049.22</v>
      </c>
      <c r="J9" s="391">
        <f>'MC-TER'!AH19</f>
        <v>304787.06</v>
      </c>
      <c r="K9" s="391">
        <f>'MC-PAV'!AO18</f>
        <v>0</v>
      </c>
      <c r="L9" s="392">
        <f>G9+H9+I9+J9+K9+$O$9</f>
        <v>706524.79</v>
      </c>
      <c r="N9" s="394" t="s">
        <v>602</v>
      </c>
      <c r="O9" s="395">
        <f>('ORÇAMENTO GERAL'!K22+'ORÇAMENTO GERAL'!K142)/20</f>
        <v>1706.35</v>
      </c>
    </row>
    <row r="10" spans="1:12" s="393" customFormat="1" ht="39.75" customHeight="1">
      <c r="A10" s="396">
        <v>2</v>
      </c>
      <c r="B10" s="397" t="s">
        <v>764</v>
      </c>
      <c r="C10" s="388" t="s">
        <v>765</v>
      </c>
      <c r="D10" s="389" t="s">
        <v>768</v>
      </c>
      <c r="E10" s="389">
        <v>305</v>
      </c>
      <c r="F10" s="390">
        <v>6</v>
      </c>
      <c r="G10" s="391">
        <f>'MC-DRE'!AD21+'MC-DRE'!AD49+'MC-DRE'!AD77+'MC-DRE'!AD105+'MC-DRE'!AD133+'MC-DRE'!AD161+'MC-DRE'!AD185+'MC-DRE'!AG185+'MC-DRE'!AD210+'MC-DRE'!AG210+'MC-DRE'!AJ210</f>
        <v>169702.14</v>
      </c>
      <c r="H10" s="391">
        <f>'MC-PAV'!AA19</f>
        <v>0</v>
      </c>
      <c r="I10" s="391">
        <f>'MC-PAV'!AG19</f>
        <v>69520.66</v>
      </c>
      <c r="J10" s="391">
        <f>'MC-TER'!AH20</f>
        <v>168101.36</v>
      </c>
      <c r="K10" s="391">
        <f>'MC-PAV'!AO19</f>
        <v>0</v>
      </c>
      <c r="L10" s="392">
        <f aca="true" t="shared" si="0" ref="L10:L28">G10+H10+I10+J10+K10+$O$9</f>
        <v>409030.51</v>
      </c>
    </row>
    <row r="11" spans="1:12" s="393" customFormat="1" ht="39.75" customHeight="1">
      <c r="A11" s="396">
        <v>3</v>
      </c>
      <c r="B11" s="720" t="s">
        <v>767</v>
      </c>
      <c r="C11" s="388" t="s">
        <v>766</v>
      </c>
      <c r="D11" s="389" t="s">
        <v>768</v>
      </c>
      <c r="E11" s="389">
        <v>300</v>
      </c>
      <c r="F11" s="390">
        <v>6</v>
      </c>
      <c r="G11" s="391">
        <f>'MC-DRE'!AD22+'MC-DRE'!AD50+'MC-DRE'!AD78+'MC-DRE'!AD106+'MC-DRE'!AD134+'MC-DRE'!AD162+'MC-DRE'!AD186+'MC-DRE'!AG186+'MC-DRE'!AD211+'MC-DRE'!AG211+'MC-DRE'!AJ211</f>
        <v>169702.14</v>
      </c>
      <c r="H11" s="391">
        <f>'MC-PAV'!AA20</f>
        <v>0</v>
      </c>
      <c r="I11" s="391">
        <f>'MC-PAV'!AG20</f>
        <v>68380.98</v>
      </c>
      <c r="J11" s="391">
        <f>'MC-TER'!AH21</f>
        <v>165345.6</v>
      </c>
      <c r="K11" s="391">
        <f>'MC-PAV'!AO20</f>
        <v>0</v>
      </c>
      <c r="L11" s="392">
        <f t="shared" si="0"/>
        <v>405135.07</v>
      </c>
    </row>
    <row r="12" spans="1:12" s="393" customFormat="1" ht="39.75" customHeight="1" thickBot="1">
      <c r="A12" s="396">
        <v>4</v>
      </c>
      <c r="B12" s="397" t="s">
        <v>769</v>
      </c>
      <c r="C12" s="398" t="s">
        <v>770</v>
      </c>
      <c r="D12" s="389" t="s">
        <v>768</v>
      </c>
      <c r="E12" s="389">
        <v>215</v>
      </c>
      <c r="F12" s="390">
        <v>6</v>
      </c>
      <c r="G12" s="391">
        <f>'MC-DRE'!AD23+'MC-DRE'!AD51+'MC-DRE'!AD79+'MC-DRE'!AD107+'MC-DRE'!AD135+'MC-DRE'!AD163+'MC-DRE'!AD187+'MC-DRE'!AG187+'MC-DRE'!AD212+'MC-DRE'!AG212+'MC-DRE'!AJ212</f>
        <v>203514.26</v>
      </c>
      <c r="H12" s="391">
        <f>'MC-PAV'!AA21</f>
        <v>0</v>
      </c>
      <c r="I12" s="391">
        <f>'MC-PAV'!AG21</f>
        <v>49006.37</v>
      </c>
      <c r="J12" s="391">
        <f>'MC-TER'!AH22</f>
        <v>118497.68</v>
      </c>
      <c r="K12" s="391">
        <f>'MC-PAV'!AO21</f>
        <v>0</v>
      </c>
      <c r="L12" s="392">
        <f t="shared" si="0"/>
        <v>372724.66</v>
      </c>
    </row>
    <row r="13" spans="1:12" s="393" customFormat="1" ht="39.75" customHeight="1" hidden="1">
      <c r="A13" s="396">
        <v>5</v>
      </c>
      <c r="B13" s="397"/>
      <c r="C13" s="398"/>
      <c r="D13" s="389"/>
      <c r="E13" s="389"/>
      <c r="F13" s="390"/>
      <c r="G13" s="391">
        <f>'MC-DRE'!AD24+'MC-DRE'!AD52+'MC-DRE'!AD80+'MC-DRE'!AD108+'MC-DRE'!AD136+'MC-DRE'!AD164+'MC-DRE'!AD188+'MC-DRE'!AG188+'MC-DRE'!AD213+'MC-DRE'!AG213+'MC-DRE'!AJ213</f>
        <v>0</v>
      </c>
      <c r="H13" s="391">
        <f>'MC-PAV'!AA22</f>
        <v>0</v>
      </c>
      <c r="I13" s="391">
        <f>'MC-PAV'!AG22</f>
        <v>0</v>
      </c>
      <c r="J13" s="391">
        <f>'MC-TER'!AH23</f>
        <v>0</v>
      </c>
      <c r="K13" s="391">
        <f>'MC-PAV'!AO22</f>
        <v>0</v>
      </c>
      <c r="L13" s="392">
        <f t="shared" si="0"/>
        <v>1706.35</v>
      </c>
    </row>
    <row r="14" spans="1:12" s="393" customFormat="1" ht="39.75" customHeight="1" hidden="1">
      <c r="A14" s="396">
        <v>6</v>
      </c>
      <c r="B14" s="720"/>
      <c r="C14" s="398"/>
      <c r="D14" s="389"/>
      <c r="E14" s="389"/>
      <c r="F14" s="390"/>
      <c r="G14" s="391">
        <f>'MC-DRE'!AD25+'MC-DRE'!AD53+'MC-DRE'!AD81+'MC-DRE'!AD109+'MC-DRE'!AD137+'MC-DRE'!AD165+'MC-DRE'!AD189+'MC-DRE'!AG189+'MC-DRE'!AD214+'MC-DRE'!AG214+'MC-DRE'!AJ214</f>
        <v>0</v>
      </c>
      <c r="H14" s="391">
        <f>'MC-PAV'!AA23</f>
        <v>0</v>
      </c>
      <c r="I14" s="391">
        <f>'MC-PAV'!AG23</f>
        <v>0</v>
      </c>
      <c r="J14" s="391">
        <f>'MC-TER'!AH24</f>
        <v>0</v>
      </c>
      <c r="K14" s="391">
        <f>'MC-PAV'!AO23</f>
        <v>0</v>
      </c>
      <c r="L14" s="392">
        <f t="shared" si="0"/>
        <v>1706.35</v>
      </c>
    </row>
    <row r="15" spans="1:12" s="393" customFormat="1" ht="39.75" customHeight="1" hidden="1">
      <c r="A15" s="396">
        <v>7</v>
      </c>
      <c r="B15" s="397"/>
      <c r="C15" s="399"/>
      <c r="D15" s="399"/>
      <c r="E15" s="389"/>
      <c r="F15" s="390"/>
      <c r="G15" s="391">
        <f>'MC-DRE'!AD26+'MC-DRE'!AD54+'MC-DRE'!AD82+'MC-DRE'!AD110+'MC-DRE'!AD138+'MC-DRE'!AD166+'MC-DRE'!AD190+'MC-DRE'!AG190+'MC-DRE'!AD215+'MC-DRE'!AG215+'MC-DRE'!AJ215</f>
        <v>0</v>
      </c>
      <c r="H15" s="391">
        <f>'MC-PAV'!AA24</f>
        <v>0</v>
      </c>
      <c r="I15" s="391">
        <f>'MC-PAV'!AG24</f>
        <v>0</v>
      </c>
      <c r="J15" s="391">
        <f>'MC-TER'!AH25</f>
        <v>0</v>
      </c>
      <c r="K15" s="391">
        <f>'MC-PAV'!AO24</f>
        <v>0</v>
      </c>
      <c r="L15" s="392">
        <f t="shared" si="0"/>
        <v>1706.35</v>
      </c>
    </row>
    <row r="16" spans="1:12" s="393" customFormat="1" ht="39.75" customHeight="1" hidden="1">
      <c r="A16" s="396">
        <v>8</v>
      </c>
      <c r="B16" s="397"/>
      <c r="C16" s="399"/>
      <c r="D16" s="399"/>
      <c r="E16" s="389"/>
      <c r="F16" s="390"/>
      <c r="G16" s="391">
        <f>'MC-DRE'!AD27+'MC-DRE'!AD55+'MC-DRE'!AD83+'MC-DRE'!AD111+'MC-DRE'!AD139+'MC-DRE'!AD167+'MC-DRE'!AD191+'MC-DRE'!AG191+'MC-DRE'!AD216+'MC-DRE'!AG216+'MC-DRE'!AJ216</f>
        <v>0</v>
      </c>
      <c r="H16" s="391">
        <f>'MC-PAV'!AA25</f>
        <v>0</v>
      </c>
      <c r="I16" s="391">
        <f>'MC-PAV'!AG25</f>
        <v>0</v>
      </c>
      <c r="J16" s="391">
        <f>'MC-TER'!AH26</f>
        <v>0</v>
      </c>
      <c r="K16" s="391">
        <f>'MC-PAV'!AO25</f>
        <v>0</v>
      </c>
      <c r="L16" s="392">
        <f t="shared" si="0"/>
        <v>1706.35</v>
      </c>
    </row>
    <row r="17" spans="1:12" s="393" customFormat="1" ht="39.75" customHeight="1" hidden="1">
      <c r="A17" s="396">
        <v>9</v>
      </c>
      <c r="B17" s="397"/>
      <c r="C17" s="399"/>
      <c r="D17" s="399"/>
      <c r="E17" s="389"/>
      <c r="F17" s="390"/>
      <c r="G17" s="391">
        <f>'MC-DRE'!AD28+'MC-DRE'!AD56+'MC-DRE'!AD84+'MC-DRE'!AD112+'MC-DRE'!AD140+'MC-DRE'!AD168+'MC-DRE'!AD192+'MC-DRE'!AG192+'MC-DRE'!AD217+'MC-DRE'!AG217+'MC-DRE'!AJ217</f>
        <v>0</v>
      </c>
      <c r="H17" s="391">
        <f>'MC-PAV'!AA26</f>
        <v>0</v>
      </c>
      <c r="I17" s="391">
        <f>'MC-PAV'!AG26</f>
        <v>0</v>
      </c>
      <c r="J17" s="391">
        <f>'MC-TER'!AH27</f>
        <v>0</v>
      </c>
      <c r="K17" s="391">
        <f>'MC-PAV'!AO26</f>
        <v>0</v>
      </c>
      <c r="L17" s="392">
        <f t="shared" si="0"/>
        <v>1706.35</v>
      </c>
    </row>
    <row r="18" spans="1:12" s="393" customFormat="1" ht="39.75" customHeight="1" hidden="1">
      <c r="A18" s="396">
        <v>10</v>
      </c>
      <c r="B18" s="397"/>
      <c r="C18" s="399"/>
      <c r="D18" s="399"/>
      <c r="E18" s="389"/>
      <c r="F18" s="390"/>
      <c r="G18" s="391">
        <f>'MC-DRE'!AD29+'MC-DRE'!AD57+'MC-DRE'!AD85+'MC-DRE'!AD113+'MC-DRE'!AD141+'MC-DRE'!AD169+'MC-DRE'!AD193+'MC-DRE'!AG193+'MC-DRE'!AD218+'MC-DRE'!AG218+'MC-DRE'!AJ218</f>
        <v>0</v>
      </c>
      <c r="H18" s="391">
        <f>'MC-PAV'!AA27</f>
        <v>0</v>
      </c>
      <c r="I18" s="391">
        <f>'MC-PAV'!AG27</f>
        <v>0</v>
      </c>
      <c r="J18" s="391">
        <f>'MC-TER'!AH28</f>
        <v>0</v>
      </c>
      <c r="K18" s="391">
        <f>'MC-PAV'!AO27</f>
        <v>0</v>
      </c>
      <c r="L18" s="392">
        <f t="shared" si="0"/>
        <v>1706.35</v>
      </c>
    </row>
    <row r="19" spans="1:12" s="393" customFormat="1" ht="39.75" customHeight="1" hidden="1">
      <c r="A19" s="396">
        <v>11</v>
      </c>
      <c r="B19" s="397"/>
      <c r="C19" s="399"/>
      <c r="D19" s="399"/>
      <c r="E19" s="389"/>
      <c r="F19" s="390"/>
      <c r="G19" s="391">
        <f>'MC-DRE'!AD30+'MC-DRE'!AD58+'MC-DRE'!AD86+'MC-DRE'!AD114+'MC-DRE'!AD142+'MC-DRE'!AD170+'MC-DRE'!AD194+'MC-DRE'!AG194+'MC-DRE'!AD219+'MC-DRE'!AG219+'MC-DRE'!AJ219</f>
        <v>0</v>
      </c>
      <c r="H19" s="391">
        <f>'MC-PAV'!AA28</f>
        <v>0</v>
      </c>
      <c r="I19" s="391">
        <f>'MC-PAV'!AG28</f>
        <v>0</v>
      </c>
      <c r="J19" s="391">
        <f>'MC-TER'!AH29</f>
        <v>0</v>
      </c>
      <c r="K19" s="391">
        <f>'MC-PAV'!AO28</f>
        <v>0</v>
      </c>
      <c r="L19" s="392">
        <f t="shared" si="0"/>
        <v>1706.35</v>
      </c>
    </row>
    <row r="20" spans="1:12" s="393" customFormat="1" ht="39.75" customHeight="1" hidden="1">
      <c r="A20" s="396">
        <v>12</v>
      </c>
      <c r="B20" s="397"/>
      <c r="C20" s="399"/>
      <c r="D20" s="399"/>
      <c r="E20" s="389"/>
      <c r="F20" s="390"/>
      <c r="G20" s="391">
        <f>'MC-DRE'!AD31+'MC-DRE'!AD59+'MC-DRE'!AD87+'MC-DRE'!AD115+'MC-DRE'!AD143+'MC-DRE'!AD171+'MC-DRE'!AD195+'MC-DRE'!AG195+'MC-DRE'!AD220+'MC-DRE'!AG220+'MC-DRE'!AJ220</f>
        <v>0</v>
      </c>
      <c r="H20" s="391">
        <f>'MC-PAV'!AA29</f>
        <v>0</v>
      </c>
      <c r="I20" s="391">
        <f>'MC-PAV'!AG29</f>
        <v>0</v>
      </c>
      <c r="J20" s="391">
        <f>'MC-TER'!AH30</f>
        <v>0</v>
      </c>
      <c r="K20" s="391">
        <f>'MC-PAV'!AO29</f>
        <v>0</v>
      </c>
      <c r="L20" s="392">
        <f t="shared" si="0"/>
        <v>1706.35</v>
      </c>
    </row>
    <row r="21" spans="1:12" s="393" customFormat="1" ht="39.75" customHeight="1" hidden="1">
      <c r="A21" s="396">
        <v>13</v>
      </c>
      <c r="B21" s="397"/>
      <c r="C21" s="399"/>
      <c r="D21" s="399"/>
      <c r="E21" s="389"/>
      <c r="F21" s="390"/>
      <c r="G21" s="391">
        <f>'MC-DRE'!AD32+'MC-DRE'!AD60+'MC-DRE'!AD88+'MC-DRE'!AD116+'MC-DRE'!AD144+'MC-DRE'!AD172+'MC-DRE'!AD196+'MC-DRE'!AG196+'MC-DRE'!AD221+'MC-DRE'!AG221+'MC-DRE'!AJ221</f>
        <v>0</v>
      </c>
      <c r="H21" s="391">
        <f>'MC-PAV'!AA30</f>
        <v>0</v>
      </c>
      <c r="I21" s="391">
        <f>'MC-PAV'!AG30</f>
        <v>0</v>
      </c>
      <c r="J21" s="391">
        <f>'MC-TER'!AH31</f>
        <v>0</v>
      </c>
      <c r="K21" s="391">
        <f>'MC-PAV'!AO30</f>
        <v>0</v>
      </c>
      <c r="L21" s="392">
        <f t="shared" si="0"/>
        <v>1706.35</v>
      </c>
    </row>
    <row r="22" spans="1:12" s="393" customFormat="1" ht="39.75" customHeight="1" hidden="1">
      <c r="A22" s="396">
        <v>14</v>
      </c>
      <c r="B22" s="397"/>
      <c r="C22" s="399"/>
      <c r="D22" s="399"/>
      <c r="E22" s="389"/>
      <c r="F22" s="390"/>
      <c r="G22" s="391">
        <f>'MC-DRE'!AD33+'MC-DRE'!AD61+'MC-DRE'!AD89+'MC-DRE'!AD117+'MC-DRE'!AD145+'MC-DRE'!AD173+'MC-DRE'!AD197+'MC-DRE'!AG197+'MC-DRE'!AD222+'MC-DRE'!AG222+'MC-DRE'!AJ222</f>
        <v>0</v>
      </c>
      <c r="H22" s="391">
        <f>'MC-PAV'!AA31</f>
        <v>0</v>
      </c>
      <c r="I22" s="391">
        <f>'MC-PAV'!AG31</f>
        <v>0</v>
      </c>
      <c r="J22" s="391">
        <f>'MC-TER'!AH32</f>
        <v>0</v>
      </c>
      <c r="K22" s="391">
        <f>'MC-PAV'!AO31</f>
        <v>0</v>
      </c>
      <c r="L22" s="392">
        <f t="shared" si="0"/>
        <v>1706.35</v>
      </c>
    </row>
    <row r="23" spans="1:12" s="393" customFormat="1" ht="39.75" customHeight="1" hidden="1">
      <c r="A23" s="396">
        <v>15</v>
      </c>
      <c r="B23" s="397"/>
      <c r="C23" s="399"/>
      <c r="D23" s="399"/>
      <c r="E23" s="389"/>
      <c r="F23" s="390"/>
      <c r="G23" s="391">
        <f>'MC-DRE'!AD34+'MC-DRE'!AD62+'MC-DRE'!AD90+'MC-DRE'!AD118+'MC-DRE'!AD146+'MC-DRE'!AD174+'MC-DRE'!AD198+'MC-DRE'!AG198+'MC-DRE'!AD223+'MC-DRE'!AG223+'MC-DRE'!AJ223</f>
        <v>0</v>
      </c>
      <c r="H23" s="391">
        <f>'MC-PAV'!AA32</f>
        <v>0</v>
      </c>
      <c r="I23" s="391">
        <f>'MC-PAV'!AG32</f>
        <v>0</v>
      </c>
      <c r="J23" s="391">
        <f>'MC-TER'!AH33</f>
        <v>0</v>
      </c>
      <c r="K23" s="391">
        <f>'MC-PAV'!AO32</f>
        <v>0</v>
      </c>
      <c r="L23" s="392">
        <f t="shared" si="0"/>
        <v>1706.35</v>
      </c>
    </row>
    <row r="24" spans="1:12" s="393" customFormat="1" ht="39.75" customHeight="1" hidden="1">
      <c r="A24" s="396">
        <v>16</v>
      </c>
      <c r="B24" s="397"/>
      <c r="C24" s="399"/>
      <c r="D24" s="399"/>
      <c r="E24" s="389"/>
      <c r="F24" s="390"/>
      <c r="G24" s="391">
        <f>'MC-DRE'!AD35+'MC-DRE'!AD63+'MC-DRE'!AD91+'MC-DRE'!AD119+'MC-DRE'!AD147+'MC-DRE'!AD175+'MC-DRE'!AD199+'MC-DRE'!AG199+'MC-DRE'!AD224+'MC-DRE'!AG224+'MC-DRE'!AJ224</f>
        <v>0</v>
      </c>
      <c r="H24" s="391">
        <f>'MC-PAV'!AA33</f>
        <v>0</v>
      </c>
      <c r="I24" s="391">
        <f>'MC-PAV'!AG33</f>
        <v>0</v>
      </c>
      <c r="J24" s="391">
        <f>'MC-TER'!AH34</f>
        <v>0</v>
      </c>
      <c r="K24" s="391">
        <f>'MC-PAV'!AO33</f>
        <v>0</v>
      </c>
      <c r="L24" s="392">
        <f t="shared" si="0"/>
        <v>1706.35</v>
      </c>
    </row>
    <row r="25" spans="1:12" s="393" customFormat="1" ht="39.75" customHeight="1" hidden="1">
      <c r="A25" s="396">
        <v>17</v>
      </c>
      <c r="B25" s="397"/>
      <c r="C25" s="399"/>
      <c r="D25" s="399"/>
      <c r="E25" s="389"/>
      <c r="F25" s="390"/>
      <c r="G25" s="391">
        <f>'MC-DRE'!AD36+'MC-DRE'!AD64+'MC-DRE'!AD92+'MC-DRE'!AD120+'MC-DRE'!AD148+'MC-DRE'!AD176+'MC-DRE'!AD200+'MC-DRE'!AG200+'MC-DRE'!AD225+'MC-DRE'!AG225+'MC-DRE'!AJ225</f>
        <v>0</v>
      </c>
      <c r="H25" s="391">
        <f>'MC-PAV'!AA34</f>
        <v>0</v>
      </c>
      <c r="I25" s="391">
        <f>'MC-PAV'!AG34</f>
        <v>0</v>
      </c>
      <c r="J25" s="391">
        <f>'MC-TER'!AH35</f>
        <v>0</v>
      </c>
      <c r="K25" s="391">
        <f>'MC-PAV'!AO34</f>
        <v>0</v>
      </c>
      <c r="L25" s="392">
        <f t="shared" si="0"/>
        <v>1706.35</v>
      </c>
    </row>
    <row r="26" spans="1:12" s="393" customFormat="1" ht="39.75" customHeight="1" hidden="1">
      <c r="A26" s="396">
        <v>18</v>
      </c>
      <c r="B26" s="397"/>
      <c r="C26" s="399"/>
      <c r="D26" s="399"/>
      <c r="E26" s="389"/>
      <c r="F26" s="390"/>
      <c r="G26" s="391">
        <f>'MC-DRE'!AD37+'MC-DRE'!AD65+'MC-DRE'!AD93+'MC-DRE'!AD121+'MC-DRE'!AD149+'MC-DRE'!AD177+'MC-DRE'!AD201+'MC-DRE'!AG201+'MC-DRE'!AD226+'MC-DRE'!AG226+'MC-DRE'!AJ226</f>
        <v>0</v>
      </c>
      <c r="H26" s="391">
        <f>'MC-PAV'!AA35</f>
        <v>0</v>
      </c>
      <c r="I26" s="391">
        <f>'MC-PAV'!AG35</f>
        <v>0</v>
      </c>
      <c r="J26" s="391">
        <f>'MC-TER'!AH36</f>
        <v>0</v>
      </c>
      <c r="K26" s="391">
        <f>'MC-PAV'!AO35</f>
        <v>0</v>
      </c>
      <c r="L26" s="392">
        <f t="shared" si="0"/>
        <v>1706.35</v>
      </c>
    </row>
    <row r="27" spans="1:12" s="393" customFormat="1" ht="39.75" customHeight="1" hidden="1">
      <c r="A27" s="396">
        <v>19</v>
      </c>
      <c r="B27" s="397"/>
      <c r="C27" s="399"/>
      <c r="D27" s="399"/>
      <c r="E27" s="389"/>
      <c r="F27" s="390"/>
      <c r="G27" s="391">
        <f>'MC-DRE'!AD38+'MC-DRE'!AD66+'MC-DRE'!AD94+'MC-DRE'!AD122+'MC-DRE'!AD150+'MC-DRE'!AD178+'MC-DRE'!AD202+'MC-DRE'!AG202+'MC-DRE'!AD227+'MC-DRE'!AG227+'MC-DRE'!AJ227</f>
        <v>0</v>
      </c>
      <c r="H27" s="391">
        <f>'MC-PAV'!AA36</f>
        <v>0</v>
      </c>
      <c r="I27" s="391">
        <f>'MC-PAV'!AG36</f>
        <v>0</v>
      </c>
      <c r="J27" s="391">
        <f>'MC-TER'!AH37</f>
        <v>0</v>
      </c>
      <c r="K27" s="391">
        <f>'MC-PAV'!AO36</f>
        <v>0</v>
      </c>
      <c r="L27" s="392">
        <f t="shared" si="0"/>
        <v>1706.35</v>
      </c>
    </row>
    <row r="28" spans="1:12" s="393" customFormat="1" ht="39.75" customHeight="1" hidden="1" thickBot="1">
      <c r="A28" s="400">
        <v>20</v>
      </c>
      <c r="B28" s="401"/>
      <c r="C28" s="402"/>
      <c r="D28" s="402"/>
      <c r="E28" s="389"/>
      <c r="F28" s="390"/>
      <c r="G28" s="391">
        <f>'MC-DRE'!AD39+'MC-DRE'!AD67+'MC-DRE'!AD95+'MC-DRE'!AD123+'MC-DRE'!AD151+'MC-DRE'!AD179+'MC-DRE'!AD203+'MC-DRE'!AG203+'MC-DRE'!AD228+'MC-DRE'!AG228+'MC-DRE'!AJ228</f>
        <v>0</v>
      </c>
      <c r="H28" s="391">
        <f>'MC-PAV'!AA37</f>
        <v>0</v>
      </c>
      <c r="I28" s="391">
        <f>'MC-PAV'!AG37</f>
        <v>0</v>
      </c>
      <c r="J28" s="391">
        <f>'MC-TER'!AH38</f>
        <v>0</v>
      </c>
      <c r="K28" s="391">
        <f>'MC-PAV'!AO37</f>
        <v>0</v>
      </c>
      <c r="L28" s="392">
        <f t="shared" si="0"/>
        <v>1706.35</v>
      </c>
    </row>
    <row r="29" spans="1:12" s="412" customFormat="1" ht="30" customHeight="1" thickBot="1">
      <c r="A29" s="777" t="s">
        <v>382</v>
      </c>
      <c r="B29" s="778"/>
      <c r="C29" s="778"/>
      <c r="D29" s="778"/>
      <c r="E29" s="778"/>
      <c r="F29" s="779"/>
      <c r="G29" s="403">
        <f aca="true" t="shared" si="1" ref="G29:L29">SUM(G9:G28)</f>
        <v>816900.7</v>
      </c>
      <c r="H29" s="403">
        <f t="shared" si="1"/>
        <v>0</v>
      </c>
      <c r="I29" s="403">
        <f t="shared" si="1"/>
        <v>312957.23</v>
      </c>
      <c r="J29" s="403">
        <f t="shared" si="1"/>
        <v>756731.7</v>
      </c>
      <c r="K29" s="403">
        <f t="shared" si="1"/>
        <v>0</v>
      </c>
      <c r="L29" s="403">
        <f t="shared" si="1"/>
        <v>1920716.63</v>
      </c>
    </row>
    <row r="31" spans="1:12" ht="17.25">
      <c r="A31" s="776" t="s">
        <v>507</v>
      </c>
      <c r="B31" s="776"/>
      <c r="C31" s="776"/>
      <c r="D31" s="776"/>
      <c r="E31" s="776"/>
      <c r="F31" s="776"/>
      <c r="G31" s="776"/>
      <c r="H31" s="776"/>
      <c r="I31" s="776"/>
      <c r="J31" s="776"/>
      <c r="K31" s="776"/>
      <c r="L31" s="776"/>
    </row>
    <row r="32" spans="1:12" ht="17.25">
      <c r="A32" s="776"/>
      <c r="B32" s="776"/>
      <c r="C32" s="776"/>
      <c r="D32" s="776"/>
      <c r="E32" s="776"/>
      <c r="F32" s="776"/>
      <c r="G32" s="776"/>
      <c r="H32" s="776"/>
      <c r="I32" s="776"/>
      <c r="J32" s="776"/>
      <c r="K32" s="776"/>
      <c r="L32" s="776"/>
    </row>
    <row r="33" spans="1:12" ht="17.25">
      <c r="A33" s="776"/>
      <c r="B33" s="776"/>
      <c r="C33" s="776"/>
      <c r="D33" s="776"/>
      <c r="E33" s="776"/>
      <c r="F33" s="776"/>
      <c r="G33" s="776"/>
      <c r="H33" s="776"/>
      <c r="I33" s="776"/>
      <c r="J33" s="776"/>
      <c r="K33" s="776"/>
      <c r="L33" s="776"/>
    </row>
    <row r="34" spans="1:12" ht="17.25">
      <c r="A34" s="776" t="s">
        <v>505</v>
      </c>
      <c r="B34" s="776"/>
      <c r="C34" s="776"/>
      <c r="D34" s="776"/>
      <c r="E34" s="776"/>
      <c r="F34" s="776"/>
      <c r="G34" s="776"/>
      <c r="H34" s="776"/>
      <c r="I34" s="776"/>
      <c r="J34" s="776"/>
      <c r="K34" s="776"/>
      <c r="L34" s="776"/>
    </row>
    <row r="35" spans="1:12" ht="17.25">
      <c r="A35" s="776"/>
      <c r="B35" s="776"/>
      <c r="C35" s="776"/>
      <c r="D35" s="776"/>
      <c r="E35" s="776"/>
      <c r="F35" s="776"/>
      <c r="G35" s="776"/>
      <c r="H35" s="776"/>
      <c r="I35" s="776"/>
      <c r="J35" s="776"/>
      <c r="K35" s="776"/>
      <c r="L35" s="776"/>
    </row>
    <row r="36" spans="1:12" ht="17.25">
      <c r="A36" s="776"/>
      <c r="B36" s="776"/>
      <c r="C36" s="776"/>
      <c r="D36" s="776"/>
      <c r="E36" s="776"/>
      <c r="F36" s="776"/>
      <c r="G36" s="776"/>
      <c r="H36" s="776"/>
      <c r="I36" s="776"/>
      <c r="J36" s="776"/>
      <c r="K36" s="776"/>
      <c r="L36" s="776"/>
    </row>
    <row r="37" spans="1:12" ht="17.25">
      <c r="A37" s="776" t="s">
        <v>506</v>
      </c>
      <c r="B37" s="776"/>
      <c r="C37" s="776"/>
      <c r="D37" s="776"/>
      <c r="E37" s="776"/>
      <c r="F37" s="776"/>
      <c r="G37" s="776"/>
      <c r="H37" s="776"/>
      <c r="I37" s="776"/>
      <c r="J37" s="776"/>
      <c r="K37" s="776"/>
      <c r="L37" s="776"/>
    </row>
    <row r="38" spans="1:12" ht="17.25">
      <c r="A38" s="776"/>
      <c r="B38" s="776"/>
      <c r="C38" s="776"/>
      <c r="D38" s="776"/>
      <c r="E38" s="776"/>
      <c r="F38" s="776"/>
      <c r="G38" s="776"/>
      <c r="H38" s="776"/>
      <c r="I38" s="776"/>
      <c r="J38" s="776"/>
      <c r="K38" s="776"/>
      <c r="L38" s="776"/>
    </row>
    <row r="39" spans="1:12" ht="17.25">
      <c r="A39" s="776"/>
      <c r="B39" s="776"/>
      <c r="C39" s="776"/>
      <c r="D39" s="776"/>
      <c r="E39" s="776"/>
      <c r="F39" s="776"/>
      <c r="G39" s="776"/>
      <c r="H39" s="776"/>
      <c r="I39" s="776"/>
      <c r="J39" s="776"/>
      <c r="K39" s="776"/>
      <c r="L39" s="776"/>
    </row>
  </sheetData>
  <sheetProtection/>
  <mergeCells count="10">
    <mergeCell ref="A37:L39"/>
    <mergeCell ref="A34:L36"/>
    <mergeCell ref="A29:F29"/>
    <mergeCell ref="A31:L33"/>
    <mergeCell ref="A1:L1"/>
    <mergeCell ref="A2:L2"/>
    <mergeCell ref="A3:L3"/>
    <mergeCell ref="A4:L4"/>
    <mergeCell ref="A6:L6"/>
    <mergeCell ref="A7:L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53"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sheetPr>
  <dimension ref="A1:H41"/>
  <sheetViews>
    <sheetView view="pageBreakPreview" zoomScale="85" zoomScaleNormal="85" zoomScaleSheetLayoutView="85" zoomScalePageLayoutView="0" workbookViewId="0" topLeftCell="A1">
      <selection activeCell="E15" sqref="E15"/>
    </sheetView>
  </sheetViews>
  <sheetFormatPr defaultColWidth="9.140625" defaultRowHeight="12.75"/>
  <cols>
    <col min="1" max="1" width="9.28125" style="293" bestFit="1" customWidth="1"/>
    <col min="2" max="2" width="9.28125" style="293" customWidth="1"/>
    <col min="3" max="3" width="47.140625" style="293" customWidth="1"/>
    <col min="4" max="4" width="9.140625" style="293" customWidth="1"/>
    <col min="5" max="5" width="16.28125" style="293" customWidth="1"/>
    <col min="6" max="6" width="12.140625" style="293" bestFit="1" customWidth="1"/>
    <col min="7" max="7" width="16.57421875" style="293" bestFit="1" customWidth="1"/>
    <col min="8" max="16384" width="9.140625" style="293" customWidth="1"/>
  </cols>
  <sheetData>
    <row r="1" spans="1:7" s="275" customFormat="1" ht="14.25">
      <c r="A1" s="1018"/>
      <c r="B1" s="1019"/>
      <c r="C1" s="1019"/>
      <c r="D1" s="1019"/>
      <c r="E1" s="1019"/>
      <c r="F1" s="1019"/>
      <c r="G1" s="1020"/>
    </row>
    <row r="2" spans="1:7" s="275" customFormat="1" ht="19.5" customHeight="1">
      <c r="A2" s="1021"/>
      <c r="B2" s="1022"/>
      <c r="C2" s="1022"/>
      <c r="D2" s="1022"/>
      <c r="E2" s="1022"/>
      <c r="F2" s="1022"/>
      <c r="G2" s="1023"/>
    </row>
    <row r="3" spans="1:7" s="275" customFormat="1" ht="19.5" customHeight="1">
      <c r="A3" s="1024"/>
      <c r="B3" s="1025"/>
      <c r="C3" s="1025"/>
      <c r="D3" s="1025"/>
      <c r="E3" s="1025"/>
      <c r="F3" s="1025"/>
      <c r="G3" s="1026"/>
    </row>
    <row r="4" spans="1:7" s="275" customFormat="1" ht="19.5" customHeight="1">
      <c r="A4" s="1021" t="s">
        <v>20</v>
      </c>
      <c r="B4" s="1022"/>
      <c r="C4" s="1022"/>
      <c r="D4" s="1022"/>
      <c r="E4" s="1022"/>
      <c r="F4" s="1022"/>
      <c r="G4" s="1023"/>
    </row>
    <row r="5" spans="1:7" s="275" customFormat="1" ht="19.5" customHeight="1">
      <c r="A5" s="1024" t="s">
        <v>194</v>
      </c>
      <c r="B5" s="1025"/>
      <c r="C5" s="1025"/>
      <c r="D5" s="1025"/>
      <c r="E5" s="1025"/>
      <c r="F5" s="1025"/>
      <c r="G5" s="1026"/>
    </row>
    <row r="6" spans="1:7" s="275" customFormat="1" ht="19.5" customHeight="1">
      <c r="A6" s="1024" t="s">
        <v>19</v>
      </c>
      <c r="B6" s="1025"/>
      <c r="C6" s="1025"/>
      <c r="D6" s="1025"/>
      <c r="E6" s="1025"/>
      <c r="F6" s="1025"/>
      <c r="G6" s="1026"/>
    </row>
    <row r="7" spans="1:7" s="275" customFormat="1" ht="19.5" customHeight="1">
      <c r="A7" s="625"/>
      <c r="B7" s="626"/>
      <c r="C7" s="626"/>
      <c r="D7" s="626"/>
      <c r="E7" s="626"/>
      <c r="F7" s="626"/>
      <c r="G7" s="627"/>
    </row>
    <row r="8" spans="1:7" s="277" customFormat="1" ht="29.25" customHeight="1">
      <c r="A8" s="675" t="s">
        <v>691</v>
      </c>
      <c r="B8" s="1039" t="str">
        <f>'ORÇAMENTO GERAL'!D9</f>
        <v>EXECUÇÃO DOS SERVIÇOS DE DRENAGEM URBANA E TERRAPLENAGEM NA NS. DO CARMO, PASS. KENEDY, PASS. UBIRATAN MACIEL E PASS. ALEGRE - BAIRRO COQUEIRO  - NO MUNICÍPIO DE ANANINDEUA - PA.</v>
      </c>
      <c r="C8" s="1040"/>
      <c r="D8" s="1040"/>
      <c r="E8" s="1040"/>
      <c r="F8" s="1040"/>
      <c r="G8" s="1041"/>
    </row>
    <row r="9" spans="1:7" s="275" customFormat="1" ht="15" thickBot="1">
      <c r="A9" s="1027"/>
      <c r="B9" s="1028"/>
      <c r="C9" s="1028"/>
      <c r="D9" s="1028"/>
      <c r="E9" s="1028"/>
      <c r="F9" s="1028"/>
      <c r="G9" s="1029"/>
    </row>
    <row r="10" spans="1:7" s="277" customFormat="1" ht="24.75" customHeight="1" thickTop="1">
      <c r="A10" s="1030" t="s">
        <v>642</v>
      </c>
      <c r="B10" s="1130" t="s">
        <v>694</v>
      </c>
      <c r="C10" s="1126" t="s">
        <v>658</v>
      </c>
      <c r="D10" s="1127"/>
      <c r="E10" s="1127"/>
      <c r="F10" s="1127"/>
      <c r="G10" s="361" t="s">
        <v>693</v>
      </c>
    </row>
    <row r="11" spans="1:7" s="277" customFormat="1" ht="24.75" customHeight="1" thickBot="1">
      <c r="A11" s="1031"/>
      <c r="B11" s="1131"/>
      <c r="C11" s="1128"/>
      <c r="D11" s="1129"/>
      <c r="E11" s="1129"/>
      <c r="F11" s="1129"/>
      <c r="G11" s="676" t="s">
        <v>608</v>
      </c>
    </row>
    <row r="12" spans="1:7" s="277" customFormat="1" ht="12.75" customHeight="1" thickTop="1">
      <c r="A12" s="1004"/>
      <c r="B12" s="1005"/>
      <c r="C12" s="1005"/>
      <c r="D12" s="1005"/>
      <c r="E12" s="1005"/>
      <c r="F12" s="1005"/>
      <c r="G12" s="1006"/>
    </row>
    <row r="13" spans="1:7" s="208" customFormat="1" ht="19.5" customHeight="1">
      <c r="A13" s="263" t="s">
        <v>39</v>
      </c>
      <c r="B13" s="264" t="s">
        <v>282</v>
      </c>
      <c r="C13" s="265" t="s">
        <v>40</v>
      </c>
      <c r="D13" s="264" t="s">
        <v>41</v>
      </c>
      <c r="E13" s="265" t="s">
        <v>158</v>
      </c>
      <c r="F13" s="266" t="s">
        <v>42</v>
      </c>
      <c r="G13" s="267" t="s">
        <v>43</v>
      </c>
    </row>
    <row r="14" spans="1:7" s="371" customFormat="1" ht="24.75" customHeight="1">
      <c r="A14" s="1108" t="s">
        <v>38</v>
      </c>
      <c r="B14" s="1109"/>
      <c r="C14" s="1109"/>
      <c r="D14" s="1109"/>
      <c r="E14" s="1109"/>
      <c r="F14" s="1109"/>
      <c r="G14" s="1110"/>
    </row>
    <row r="15" spans="1:7" s="277" customFormat="1" ht="24.75" customHeight="1">
      <c r="A15" s="677">
        <v>1</v>
      </c>
      <c r="B15" s="312">
        <v>88316</v>
      </c>
      <c r="C15" s="479" t="s">
        <v>196</v>
      </c>
      <c r="D15" s="279" t="s">
        <v>239</v>
      </c>
      <c r="E15" s="329">
        <v>0.0575</v>
      </c>
      <c r="F15" s="280">
        <v>19.21</v>
      </c>
      <c r="G15" s="282">
        <f>E15*F15</f>
        <v>1.1</v>
      </c>
    </row>
    <row r="16" spans="1:7" s="371" customFormat="1" ht="24.75" customHeight="1">
      <c r="A16" s="1111" t="s">
        <v>48</v>
      </c>
      <c r="B16" s="1112"/>
      <c r="C16" s="1112"/>
      <c r="D16" s="1112"/>
      <c r="E16" s="1112"/>
      <c r="F16" s="1112"/>
      <c r="G16" s="666">
        <f>SUM(G15:G15)</f>
        <v>1.1</v>
      </c>
    </row>
    <row r="17" spans="1:7" s="371" customFormat="1" ht="24.75" customHeight="1">
      <c r="A17" s="1113" t="s">
        <v>699</v>
      </c>
      <c r="B17" s="1114"/>
      <c r="C17" s="1114"/>
      <c r="D17" s="1114"/>
      <c r="E17" s="1114"/>
      <c r="F17" s="1114"/>
      <c r="G17" s="1115"/>
    </row>
    <row r="18" spans="1:7" s="277" customFormat="1" ht="24.75" customHeight="1">
      <c r="A18" s="677">
        <v>1</v>
      </c>
      <c r="B18" s="312" t="s">
        <v>578</v>
      </c>
      <c r="C18" s="287" t="s">
        <v>598</v>
      </c>
      <c r="D18" s="285" t="s">
        <v>608</v>
      </c>
      <c r="E18" s="329">
        <v>1</v>
      </c>
      <c r="F18" s="286">
        <v>61.25</v>
      </c>
      <c r="G18" s="282">
        <f>E18*F18</f>
        <v>61.25</v>
      </c>
    </row>
    <row r="19" spans="1:7" s="371" customFormat="1" ht="24.75" customHeight="1">
      <c r="A19" s="1116" t="s">
        <v>697</v>
      </c>
      <c r="B19" s="1117"/>
      <c r="C19" s="1117"/>
      <c r="D19" s="1117"/>
      <c r="E19" s="1117"/>
      <c r="F19" s="1117"/>
      <c r="G19" s="666">
        <f>SUM(G18:G18)</f>
        <v>61.25</v>
      </c>
    </row>
    <row r="20" spans="1:7" s="371" customFormat="1" ht="24.75" customHeight="1">
      <c r="A20" s="1108" t="s">
        <v>696</v>
      </c>
      <c r="B20" s="1109"/>
      <c r="C20" s="1109"/>
      <c r="D20" s="1109"/>
      <c r="E20" s="1109"/>
      <c r="F20" s="1109"/>
      <c r="G20" s="1110"/>
    </row>
    <row r="21" spans="1:7" s="277" customFormat="1" ht="24.75" customHeight="1">
      <c r="A21" s="278">
        <v>1</v>
      </c>
      <c r="B21" s="284">
        <v>5901</v>
      </c>
      <c r="C21" s="288" t="s">
        <v>285</v>
      </c>
      <c r="D21" s="285" t="s">
        <v>181</v>
      </c>
      <c r="E21" s="331">
        <v>0.0527</v>
      </c>
      <c r="F21" s="286">
        <v>316.33</v>
      </c>
      <c r="G21" s="282">
        <f>E21*F21</f>
        <v>16.67</v>
      </c>
    </row>
    <row r="22" spans="1:7" s="277" customFormat="1" ht="24.75" customHeight="1">
      <c r="A22" s="278">
        <v>2</v>
      </c>
      <c r="B22" s="284">
        <v>5903</v>
      </c>
      <c r="C22" s="288" t="s">
        <v>287</v>
      </c>
      <c r="D22" s="285" t="s">
        <v>183</v>
      </c>
      <c r="E22" s="329">
        <v>0.0168</v>
      </c>
      <c r="F22" s="286">
        <v>55.39</v>
      </c>
      <c r="G22" s="282">
        <f aca="true" t="shared" si="0" ref="G22:G32">E22*F22</f>
        <v>0.93</v>
      </c>
    </row>
    <row r="23" spans="1:7" s="277" customFormat="1" ht="24.75" customHeight="1">
      <c r="A23" s="278">
        <v>3</v>
      </c>
      <c r="B23" s="284">
        <v>5921</v>
      </c>
      <c r="C23" s="288" t="s">
        <v>411</v>
      </c>
      <c r="D23" s="285" t="s">
        <v>181</v>
      </c>
      <c r="E23" s="329">
        <v>0.0072</v>
      </c>
      <c r="F23" s="286">
        <v>5.9</v>
      </c>
      <c r="G23" s="282">
        <f t="shared" si="0"/>
        <v>0.04</v>
      </c>
    </row>
    <row r="24" spans="1:7" s="277" customFormat="1" ht="24.75" customHeight="1">
      <c r="A24" s="278">
        <v>4</v>
      </c>
      <c r="B24" s="284">
        <v>5923</v>
      </c>
      <c r="C24" s="288" t="s">
        <v>413</v>
      </c>
      <c r="D24" s="285" t="s">
        <v>183</v>
      </c>
      <c r="E24" s="329">
        <v>0.0503</v>
      </c>
      <c r="F24" s="286">
        <v>3.67</v>
      </c>
      <c r="G24" s="282">
        <f t="shared" si="0"/>
        <v>0.18</v>
      </c>
    </row>
    <row r="25" spans="1:7" s="277" customFormat="1" ht="24.75" customHeight="1">
      <c r="A25" s="278">
        <v>5</v>
      </c>
      <c r="B25" s="284">
        <v>5932</v>
      </c>
      <c r="C25" s="288" t="s">
        <v>290</v>
      </c>
      <c r="D25" s="285" t="s">
        <v>181</v>
      </c>
      <c r="E25" s="329">
        <v>0.0059</v>
      </c>
      <c r="F25" s="286">
        <v>247.37</v>
      </c>
      <c r="G25" s="282">
        <f t="shared" si="0"/>
        <v>1.46</v>
      </c>
    </row>
    <row r="26" spans="1:7" s="277" customFormat="1" ht="24.75" customHeight="1">
      <c r="A26" s="278">
        <v>6</v>
      </c>
      <c r="B26" s="284">
        <v>5934</v>
      </c>
      <c r="C26" s="288" t="s">
        <v>293</v>
      </c>
      <c r="D26" s="285" t="s">
        <v>183</v>
      </c>
      <c r="E26" s="329">
        <v>0.0516</v>
      </c>
      <c r="F26" s="286">
        <v>80.38</v>
      </c>
      <c r="G26" s="282">
        <f t="shared" si="0"/>
        <v>4.15</v>
      </c>
    </row>
    <row r="27" spans="1:7" s="277" customFormat="1" ht="24.75" customHeight="1">
      <c r="A27" s="278">
        <v>7</v>
      </c>
      <c r="B27" s="284">
        <v>73436</v>
      </c>
      <c r="C27" s="288" t="s">
        <v>644</v>
      </c>
      <c r="D27" s="285" t="s">
        <v>181</v>
      </c>
      <c r="E27" s="329">
        <v>0.0407</v>
      </c>
      <c r="F27" s="286">
        <v>209.42</v>
      </c>
      <c r="G27" s="282">
        <f t="shared" si="0"/>
        <v>8.52</v>
      </c>
    </row>
    <row r="28" spans="1:7" s="277" customFormat="1" ht="24.75" customHeight="1">
      <c r="A28" s="278">
        <v>8</v>
      </c>
      <c r="B28" s="284">
        <v>89035</v>
      </c>
      <c r="C28" s="288" t="s">
        <v>276</v>
      </c>
      <c r="D28" s="285" t="s">
        <v>181</v>
      </c>
      <c r="E28" s="329">
        <v>0.0072</v>
      </c>
      <c r="F28" s="286">
        <v>129.56</v>
      </c>
      <c r="G28" s="282">
        <f t="shared" si="0"/>
        <v>0.93</v>
      </c>
    </row>
    <row r="29" spans="1:7" s="277" customFormat="1" ht="24.75" customHeight="1">
      <c r="A29" s="278">
        <v>9</v>
      </c>
      <c r="B29" s="284">
        <v>89036</v>
      </c>
      <c r="C29" s="288" t="s">
        <v>277</v>
      </c>
      <c r="D29" s="285" t="s">
        <v>183</v>
      </c>
      <c r="E29" s="329">
        <v>0.0503</v>
      </c>
      <c r="F29" s="286">
        <v>38.02</v>
      </c>
      <c r="G29" s="282">
        <f t="shared" si="0"/>
        <v>1.91</v>
      </c>
    </row>
    <row r="30" spans="1:7" s="277" customFormat="1" ht="24.75" customHeight="1">
      <c r="A30" s="278">
        <v>10</v>
      </c>
      <c r="B30" s="284">
        <v>93244</v>
      </c>
      <c r="C30" s="288" t="s">
        <v>645</v>
      </c>
      <c r="D30" s="285" t="s">
        <v>183</v>
      </c>
      <c r="E30" s="329">
        <v>0.0058</v>
      </c>
      <c r="F30" s="286">
        <v>60</v>
      </c>
      <c r="G30" s="282">
        <f t="shared" si="0"/>
        <v>0.35</v>
      </c>
    </row>
    <row r="31" spans="1:7" s="277" customFormat="1" ht="24.75" customHeight="1">
      <c r="A31" s="278">
        <v>11</v>
      </c>
      <c r="B31" s="284">
        <v>96463</v>
      </c>
      <c r="C31" s="288" t="s">
        <v>295</v>
      </c>
      <c r="D31" s="285" t="s">
        <v>181</v>
      </c>
      <c r="E31" s="329">
        <v>0.0058</v>
      </c>
      <c r="F31" s="286">
        <v>222.28</v>
      </c>
      <c r="G31" s="282">
        <f t="shared" si="0"/>
        <v>1.29</v>
      </c>
    </row>
    <row r="32" spans="1:7" s="277" customFormat="1" ht="24.75" customHeight="1">
      <c r="A32" s="278">
        <v>12</v>
      </c>
      <c r="B32" s="284">
        <v>96464</v>
      </c>
      <c r="C32" s="288" t="s">
        <v>297</v>
      </c>
      <c r="D32" s="285" t="s">
        <v>183</v>
      </c>
      <c r="E32" s="329">
        <v>0.0517</v>
      </c>
      <c r="F32" s="286">
        <v>82.97</v>
      </c>
      <c r="G32" s="282">
        <f t="shared" si="0"/>
        <v>4.29</v>
      </c>
    </row>
    <row r="33" spans="1:7" s="371" customFormat="1" ht="24.75" customHeight="1">
      <c r="A33" s="1116" t="s">
        <v>698</v>
      </c>
      <c r="B33" s="1117"/>
      <c r="C33" s="1117"/>
      <c r="D33" s="1117"/>
      <c r="E33" s="1117"/>
      <c r="F33" s="1117"/>
      <c r="G33" s="666">
        <f>SUM(G21:G32)</f>
        <v>40.72</v>
      </c>
    </row>
    <row r="34" spans="1:8" s="370" customFormat="1" ht="24.75" customHeight="1">
      <c r="A34" s="1118" t="s">
        <v>53</v>
      </c>
      <c r="B34" s="1119"/>
      <c r="C34" s="1119"/>
      <c r="D34" s="1119"/>
      <c r="E34" s="1119"/>
      <c r="F34" s="1119"/>
      <c r="G34" s="1120"/>
      <c r="H34" s="380"/>
    </row>
    <row r="35" spans="1:8" s="370" customFormat="1" ht="24.75" customHeight="1">
      <c r="A35" s="668" t="s">
        <v>39</v>
      </c>
      <c r="B35" s="381"/>
      <c r="C35" s="381" t="s">
        <v>54</v>
      </c>
      <c r="D35" s="381" t="s">
        <v>43</v>
      </c>
      <c r="E35" s="381"/>
      <c r="F35" s="382"/>
      <c r="G35" s="669"/>
      <c r="H35" s="380"/>
    </row>
    <row r="36" spans="1:8" s="370" customFormat="1" ht="24.75" customHeight="1">
      <c r="A36" s="668" t="s">
        <v>55</v>
      </c>
      <c r="B36" s="381"/>
      <c r="C36" s="383" t="s">
        <v>56</v>
      </c>
      <c r="D36" s="1121" t="s">
        <v>57</v>
      </c>
      <c r="E36" s="1121"/>
      <c r="F36" s="1121"/>
      <c r="G36" s="669">
        <f>G15</f>
        <v>1.1</v>
      </c>
      <c r="H36" s="380"/>
    </row>
    <row r="37" spans="1:8" s="370" customFormat="1" ht="24.75" customHeight="1">
      <c r="A37" s="668" t="s">
        <v>58</v>
      </c>
      <c r="B37" s="381"/>
      <c r="C37" s="383" t="s">
        <v>59</v>
      </c>
      <c r="D37" s="1121" t="s">
        <v>60</v>
      </c>
      <c r="E37" s="1121"/>
      <c r="F37" s="1121"/>
      <c r="G37" s="669">
        <f>G19</f>
        <v>61.25</v>
      </c>
      <c r="H37" s="380"/>
    </row>
    <row r="38" spans="1:8" s="370" customFormat="1" ht="24.75" customHeight="1">
      <c r="A38" s="668" t="s">
        <v>16</v>
      </c>
      <c r="B38" s="381"/>
      <c r="C38" s="383" t="s">
        <v>61</v>
      </c>
      <c r="D38" s="1121" t="s">
        <v>62</v>
      </c>
      <c r="E38" s="1121"/>
      <c r="F38" s="1121"/>
      <c r="G38" s="669">
        <f>G33</f>
        <v>40.72</v>
      </c>
      <c r="H38" s="380"/>
    </row>
    <row r="39" spans="1:8" s="370" customFormat="1" ht="24.75" customHeight="1">
      <c r="A39" s="668" t="s">
        <v>8</v>
      </c>
      <c r="B39" s="381"/>
      <c r="C39" s="384" t="s">
        <v>63</v>
      </c>
      <c r="D39" s="1122" t="s">
        <v>64</v>
      </c>
      <c r="E39" s="1122"/>
      <c r="F39" s="1122"/>
      <c r="G39" s="670">
        <f>G36+G37+G38</f>
        <v>103.07</v>
      </c>
      <c r="H39" s="380"/>
    </row>
    <row r="40" spans="1:8" s="370" customFormat="1" ht="24.75" customHeight="1">
      <c r="A40" s="668"/>
      <c r="B40" s="381"/>
      <c r="C40" s="384"/>
      <c r="D40" s="385" t="s">
        <v>205</v>
      </c>
      <c r="E40" s="385"/>
      <c r="F40" s="386">
        <v>0.2746</v>
      </c>
      <c r="G40" s="671">
        <f>G39*F40</f>
        <v>28.3</v>
      </c>
      <c r="H40" s="380"/>
    </row>
    <row r="41" spans="1:8" s="370" customFormat="1" ht="24.75" customHeight="1" thickBot="1">
      <c r="A41" s="672"/>
      <c r="B41" s="673"/>
      <c r="C41" s="673"/>
      <c r="D41" s="1107" t="s">
        <v>66</v>
      </c>
      <c r="E41" s="1107"/>
      <c r="F41" s="1107"/>
      <c r="G41" s="674">
        <f>G39+G40</f>
        <v>131.37</v>
      </c>
      <c r="H41" s="380"/>
    </row>
  </sheetData>
  <sheetProtection/>
  <mergeCells count="24">
    <mergeCell ref="D36:F36"/>
    <mergeCell ref="C10:F11"/>
    <mergeCell ref="A14:G14"/>
    <mergeCell ref="A12:G12"/>
    <mergeCell ref="A10:A11"/>
    <mergeCell ref="B10:B11"/>
    <mergeCell ref="D38:F38"/>
    <mergeCell ref="D39:F39"/>
    <mergeCell ref="D41:F41"/>
    <mergeCell ref="A16:F16"/>
    <mergeCell ref="A17:G17"/>
    <mergeCell ref="A19:F19"/>
    <mergeCell ref="A20:G20"/>
    <mergeCell ref="D37:F37"/>
    <mergeCell ref="A33:F33"/>
    <mergeCell ref="A34:G34"/>
    <mergeCell ref="A1:G1"/>
    <mergeCell ref="A4:G4"/>
    <mergeCell ref="A5:G5"/>
    <mergeCell ref="A6:G6"/>
    <mergeCell ref="A9:G9"/>
    <mergeCell ref="A2:G2"/>
    <mergeCell ref="A3:G3"/>
    <mergeCell ref="B8:G8"/>
  </mergeCells>
  <printOptions/>
  <pageMargins left="0.511811024" right="0.511811024" top="0.787401575" bottom="0.787401575" header="0.31496062" footer="0.31496062"/>
  <pageSetup horizontalDpi="600" verticalDpi="600" orientation="portrait" paperSize="9" scale="77" r:id="rId2"/>
  <drawing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1">
      <selection activeCell="F17" sqref="F17:F22"/>
    </sheetView>
  </sheetViews>
  <sheetFormatPr defaultColWidth="9.140625" defaultRowHeight="12.75"/>
  <cols>
    <col min="1" max="1" width="9.28125" style="293" bestFit="1" customWidth="1"/>
    <col min="2" max="2" width="10.28125" style="293" customWidth="1"/>
    <col min="3" max="3" width="51.8515625" style="293" customWidth="1"/>
    <col min="4" max="4" width="9.28125" style="293" bestFit="1" customWidth="1"/>
    <col min="5" max="5" width="16.28125" style="293" customWidth="1"/>
    <col min="6" max="6" width="15.28125" style="293" bestFit="1" customWidth="1"/>
    <col min="7" max="7" width="14.28125" style="293" bestFit="1" customWidth="1"/>
    <col min="8" max="16384" width="9.140625" style="293" customWidth="1"/>
  </cols>
  <sheetData>
    <row r="1" spans="1:7" s="275" customFormat="1" ht="15" customHeight="1">
      <c r="A1" s="274"/>
      <c r="B1" s="1019"/>
      <c r="C1" s="1019"/>
      <c r="D1" s="1019"/>
      <c r="E1" s="1019"/>
      <c r="F1" s="1019"/>
      <c r="G1" s="1020"/>
    </row>
    <row r="2" spans="1:7" s="275" customFormat="1" ht="45.75" customHeight="1">
      <c r="A2" s="311"/>
      <c r="B2" s="623"/>
      <c r="C2" s="623"/>
      <c r="D2" s="623"/>
      <c r="E2" s="623"/>
      <c r="F2" s="623"/>
      <c r="G2" s="624"/>
    </row>
    <row r="3" spans="1:7" s="275" customFormat="1" ht="15" customHeight="1">
      <c r="A3" s="1021" t="s">
        <v>20</v>
      </c>
      <c r="B3" s="1022"/>
      <c r="C3" s="1022"/>
      <c r="D3" s="1022"/>
      <c r="E3" s="1022"/>
      <c r="F3" s="1022"/>
      <c r="G3" s="1023"/>
    </row>
    <row r="4" spans="1:7" s="275" customFormat="1" ht="15" customHeight="1">
      <c r="A4" s="1024" t="s">
        <v>194</v>
      </c>
      <c r="B4" s="1025"/>
      <c r="C4" s="1025"/>
      <c r="D4" s="1025"/>
      <c r="E4" s="1025"/>
      <c r="F4" s="1025"/>
      <c r="G4" s="1026"/>
    </row>
    <row r="5" spans="1:7" s="275" customFormat="1" ht="15" customHeight="1">
      <c r="A5" s="1024" t="s">
        <v>19</v>
      </c>
      <c r="B5" s="1025"/>
      <c r="C5" s="1025"/>
      <c r="D5" s="1025"/>
      <c r="E5" s="1025"/>
      <c r="F5" s="1025"/>
      <c r="G5" s="1026"/>
    </row>
    <row r="6" spans="1:7" s="275" customFormat="1" ht="15" customHeight="1">
      <c r="A6" s="625"/>
      <c r="B6" s="626"/>
      <c r="C6" s="626"/>
      <c r="D6" s="626"/>
      <c r="E6" s="626"/>
      <c r="F6" s="626"/>
      <c r="G6" s="627"/>
    </row>
    <row r="7" spans="1:7" s="277" customFormat="1" ht="40.5" customHeight="1">
      <c r="A7" s="658" t="s">
        <v>691</v>
      </c>
      <c r="B7" s="1039" t="str">
        <f>'ORÇAMENTO GERAL'!D9</f>
        <v>EXECUÇÃO DOS SERVIÇOS DE DRENAGEM URBANA E TERRAPLENAGEM NA NS. DO CARMO, PASS. KENEDY, PASS. UBIRATAN MACIEL E PASS. ALEGRE - BAIRRO COQUEIRO  - NO MUNICÍPIO DE ANANINDEUA - PA.</v>
      </c>
      <c r="C7" s="1040"/>
      <c r="D7" s="1040"/>
      <c r="E7" s="1040"/>
      <c r="F7" s="1040"/>
      <c r="G7" s="1041"/>
    </row>
    <row r="8" spans="1:7" s="275" customFormat="1" ht="15" customHeight="1" thickBot="1">
      <c r="A8" s="276"/>
      <c r="B8" s="1095"/>
      <c r="C8" s="1095"/>
      <c r="D8" s="1095"/>
      <c r="E8" s="1095"/>
      <c r="F8" s="1095"/>
      <c r="G8" s="1096"/>
    </row>
    <row r="9" spans="1:7" s="277" customFormat="1" ht="15" customHeight="1" thickTop="1">
      <c r="A9" s="1052" t="s">
        <v>655</v>
      </c>
      <c r="B9" s="364" t="s">
        <v>193</v>
      </c>
      <c r="C9" s="1054" t="s">
        <v>682</v>
      </c>
      <c r="D9" s="1055"/>
      <c r="E9" s="1055"/>
      <c r="F9" s="1167"/>
      <c r="G9" s="481" t="s">
        <v>689</v>
      </c>
    </row>
    <row r="10" spans="1:7" s="277" customFormat="1" ht="15" thickBot="1">
      <c r="A10" s="1053"/>
      <c r="B10" s="359">
        <v>44866</v>
      </c>
      <c r="C10" s="1056"/>
      <c r="D10" s="1057"/>
      <c r="E10" s="1057"/>
      <c r="F10" s="1168"/>
      <c r="G10" s="183" t="s">
        <v>702</v>
      </c>
    </row>
    <row r="11" spans="1:7" s="277" customFormat="1" ht="12.75" customHeight="1" thickTop="1">
      <c r="A11" s="1158"/>
      <c r="B11" s="1159"/>
      <c r="C11" s="1159"/>
      <c r="D11" s="1159"/>
      <c r="E11" s="1159"/>
      <c r="F11" s="1159"/>
      <c r="G11" s="1160"/>
    </row>
    <row r="12" spans="1:8" s="208" customFormat="1" ht="19.5" customHeight="1">
      <c r="A12" s="353" t="s">
        <v>39</v>
      </c>
      <c r="B12" s="354" t="s">
        <v>282</v>
      </c>
      <c r="C12" s="355" t="s">
        <v>40</v>
      </c>
      <c r="D12" s="354" t="s">
        <v>41</v>
      </c>
      <c r="E12" s="355" t="s">
        <v>158</v>
      </c>
      <c r="F12" s="356" t="s">
        <v>42</v>
      </c>
      <c r="G12" s="357" t="s">
        <v>43</v>
      </c>
      <c r="H12" s="202"/>
    </row>
    <row r="13" spans="1:7" s="277" customFormat="1" ht="19.5" customHeight="1">
      <c r="A13" s="1161" t="s">
        <v>38</v>
      </c>
      <c r="B13" s="1162"/>
      <c r="C13" s="1162"/>
      <c r="D13" s="1162"/>
      <c r="E13" s="1162"/>
      <c r="F13" s="1162"/>
      <c r="G13" s="1163"/>
    </row>
    <row r="14" spans="1:7" s="277" customFormat="1" ht="19.5" customHeight="1">
      <c r="A14" s="317">
        <v>1</v>
      </c>
      <c r="B14" s="313" t="s">
        <v>47</v>
      </c>
      <c r="C14" s="314" t="s">
        <v>196</v>
      </c>
      <c r="D14" s="313" t="s">
        <v>239</v>
      </c>
      <c r="E14" s="315">
        <v>0.0058</v>
      </c>
      <c r="F14" s="316">
        <v>19.21</v>
      </c>
      <c r="G14" s="323">
        <f>E14*F14</f>
        <v>0.11</v>
      </c>
    </row>
    <row r="15" spans="1:7" s="277" customFormat="1" ht="19.5" customHeight="1">
      <c r="A15" s="1154" t="s">
        <v>683</v>
      </c>
      <c r="B15" s="1155"/>
      <c r="C15" s="1155"/>
      <c r="D15" s="1155"/>
      <c r="E15" s="1155"/>
      <c r="F15" s="1155"/>
      <c r="G15" s="328">
        <f>SUM(G14:G14)</f>
        <v>0.11</v>
      </c>
    </row>
    <row r="16" spans="1:7" s="277" customFormat="1" ht="19.5" customHeight="1">
      <c r="A16" s="1151" t="s">
        <v>49</v>
      </c>
      <c r="B16" s="1152"/>
      <c r="C16" s="1152"/>
      <c r="D16" s="1152"/>
      <c r="E16" s="1152"/>
      <c r="F16" s="1152"/>
      <c r="G16" s="1153"/>
    </row>
    <row r="17" spans="1:7" s="277" customFormat="1" ht="19.5" customHeight="1">
      <c r="A17" s="317">
        <v>1</v>
      </c>
      <c r="B17" s="318">
        <v>5839</v>
      </c>
      <c r="C17" s="319" t="s">
        <v>274</v>
      </c>
      <c r="D17" s="320" t="s">
        <v>181</v>
      </c>
      <c r="E17" s="321" t="s">
        <v>312</v>
      </c>
      <c r="F17" s="322">
        <v>11.31</v>
      </c>
      <c r="G17" s="323">
        <f aca="true" t="shared" si="0" ref="G17:G22">E17*F17</f>
        <v>0.02</v>
      </c>
    </row>
    <row r="18" spans="1:7" s="277" customFormat="1" ht="19.5" customHeight="1">
      <c r="A18" s="317">
        <v>2</v>
      </c>
      <c r="B18" s="318" t="s">
        <v>313</v>
      </c>
      <c r="C18" s="319" t="s">
        <v>275</v>
      </c>
      <c r="D18" s="320" t="s">
        <v>183</v>
      </c>
      <c r="E18" s="321" t="s">
        <v>314</v>
      </c>
      <c r="F18" s="322">
        <v>5.38</v>
      </c>
      <c r="G18" s="323">
        <f t="shared" si="0"/>
        <v>0.02</v>
      </c>
    </row>
    <row r="19" spans="1:7" s="277" customFormat="1" ht="19.5" customHeight="1">
      <c r="A19" s="317">
        <v>3</v>
      </c>
      <c r="B19" s="318">
        <v>83362</v>
      </c>
      <c r="C19" s="319" t="s">
        <v>315</v>
      </c>
      <c r="D19" s="320" t="s">
        <v>181</v>
      </c>
      <c r="E19" s="321" t="s">
        <v>316</v>
      </c>
      <c r="F19" s="322">
        <v>262.25</v>
      </c>
      <c r="G19" s="323">
        <f t="shared" si="0"/>
        <v>0.26</v>
      </c>
    </row>
    <row r="20" spans="1:7" s="277" customFormat="1" ht="19.5" customHeight="1">
      <c r="A20" s="317">
        <v>4</v>
      </c>
      <c r="B20" s="318" t="s">
        <v>317</v>
      </c>
      <c r="C20" s="319" t="s">
        <v>276</v>
      </c>
      <c r="D20" s="320" t="s">
        <v>181</v>
      </c>
      <c r="E20" s="321" t="s">
        <v>318</v>
      </c>
      <c r="F20" s="322">
        <v>129.56</v>
      </c>
      <c r="G20" s="323">
        <f t="shared" si="0"/>
        <v>0.22</v>
      </c>
    </row>
    <row r="21" spans="1:7" s="277" customFormat="1" ht="19.5" customHeight="1">
      <c r="A21" s="317">
        <v>5</v>
      </c>
      <c r="B21" s="318" t="s">
        <v>319</v>
      </c>
      <c r="C21" s="319" t="s">
        <v>277</v>
      </c>
      <c r="D21" s="320" t="s">
        <v>183</v>
      </c>
      <c r="E21" s="321" t="s">
        <v>320</v>
      </c>
      <c r="F21" s="322">
        <v>38.02</v>
      </c>
      <c r="G21" s="323">
        <f t="shared" si="0"/>
        <v>0.16</v>
      </c>
    </row>
    <row r="22" spans="1:7" s="277" customFormat="1" ht="19.5" customHeight="1">
      <c r="A22" s="317">
        <v>6</v>
      </c>
      <c r="B22" s="318">
        <v>91486</v>
      </c>
      <c r="C22" s="319" t="s">
        <v>321</v>
      </c>
      <c r="D22" s="320" t="s">
        <v>183</v>
      </c>
      <c r="E22" s="321" t="s">
        <v>322</v>
      </c>
      <c r="F22" s="322">
        <v>51.2</v>
      </c>
      <c r="G22" s="323">
        <f t="shared" si="0"/>
        <v>0.25</v>
      </c>
    </row>
    <row r="23" spans="1:7" s="277" customFormat="1" ht="19.5" customHeight="1">
      <c r="A23" s="1154" t="s">
        <v>684</v>
      </c>
      <c r="B23" s="1155"/>
      <c r="C23" s="1155"/>
      <c r="D23" s="1155"/>
      <c r="E23" s="1155"/>
      <c r="F23" s="1155"/>
      <c r="G23" s="328">
        <f>SUM(G17:G22)</f>
        <v>0.93</v>
      </c>
    </row>
    <row r="24" spans="1:7" s="277" customFormat="1" ht="19.5" customHeight="1">
      <c r="A24" s="1133" t="s">
        <v>51</v>
      </c>
      <c r="B24" s="1134"/>
      <c r="C24" s="1134"/>
      <c r="D24" s="1134"/>
      <c r="E24" s="1134"/>
      <c r="F24" s="1134"/>
      <c r="G24" s="1135"/>
    </row>
    <row r="25" spans="1:7" s="277" customFormat="1" ht="19.5" customHeight="1">
      <c r="A25" s="317">
        <v>1</v>
      </c>
      <c r="B25" s="318" t="s">
        <v>310</v>
      </c>
      <c r="C25" s="324" t="s">
        <v>311</v>
      </c>
      <c r="D25" s="320" t="s">
        <v>182</v>
      </c>
      <c r="E25" s="325">
        <v>1.2</v>
      </c>
      <c r="F25" s="322">
        <f>G41</f>
        <v>7.87</v>
      </c>
      <c r="G25" s="323">
        <f>E25*F25</f>
        <v>9.44</v>
      </c>
    </row>
    <row r="26" spans="1:7" s="277" customFormat="1" ht="19.5" customHeight="1">
      <c r="A26" s="1154" t="s">
        <v>685</v>
      </c>
      <c r="B26" s="1155"/>
      <c r="C26" s="1155"/>
      <c r="D26" s="1155"/>
      <c r="E26" s="1155"/>
      <c r="F26" s="1155"/>
      <c r="G26" s="328">
        <f>SUM(G25:G25)</f>
        <v>9.44</v>
      </c>
    </row>
    <row r="27" spans="1:8" s="208" customFormat="1" ht="19.5" customHeight="1">
      <c r="A27" s="1164" t="s">
        <v>53</v>
      </c>
      <c r="B27" s="1165"/>
      <c r="C27" s="1165"/>
      <c r="D27" s="1165"/>
      <c r="E27" s="1165"/>
      <c r="F27" s="1165"/>
      <c r="G27" s="1166"/>
      <c r="H27" s="202"/>
    </row>
    <row r="28" spans="1:8" s="208" customFormat="1" ht="19.5" customHeight="1">
      <c r="A28" s="184" t="s">
        <v>39</v>
      </c>
      <c r="B28" s="185"/>
      <c r="C28" s="185" t="s">
        <v>54</v>
      </c>
      <c r="D28" s="185" t="s">
        <v>43</v>
      </c>
      <c r="E28" s="185"/>
      <c r="F28" s="188"/>
      <c r="G28" s="186"/>
      <c r="H28" s="202"/>
    </row>
    <row r="29" spans="1:8" s="208" customFormat="1" ht="19.5" customHeight="1">
      <c r="A29" s="184" t="s">
        <v>55</v>
      </c>
      <c r="B29" s="185"/>
      <c r="C29" s="187" t="s">
        <v>56</v>
      </c>
      <c r="D29" s="1132" t="s">
        <v>57</v>
      </c>
      <c r="E29" s="1132"/>
      <c r="F29" s="1132"/>
      <c r="G29" s="186">
        <f>G15</f>
        <v>0.11</v>
      </c>
      <c r="H29" s="202"/>
    </row>
    <row r="30" spans="1:8" s="208" customFormat="1" ht="19.5" customHeight="1">
      <c r="A30" s="184" t="s">
        <v>58</v>
      </c>
      <c r="B30" s="185"/>
      <c r="C30" s="187" t="s">
        <v>59</v>
      </c>
      <c r="D30" s="1132" t="s">
        <v>60</v>
      </c>
      <c r="E30" s="1132"/>
      <c r="F30" s="1132"/>
      <c r="G30" s="186">
        <f>G23</f>
        <v>0.93</v>
      </c>
      <c r="H30" s="202"/>
    </row>
    <row r="31" spans="1:8" s="208" customFormat="1" ht="19.5" customHeight="1">
      <c r="A31" s="184" t="s">
        <v>16</v>
      </c>
      <c r="B31" s="185"/>
      <c r="C31" s="187" t="s">
        <v>61</v>
      </c>
      <c r="D31" s="1132" t="s">
        <v>62</v>
      </c>
      <c r="E31" s="1132"/>
      <c r="F31" s="1132"/>
      <c r="G31" s="186">
        <f>G26</f>
        <v>9.44</v>
      </c>
      <c r="H31" s="202"/>
    </row>
    <row r="32" spans="1:8" s="208" customFormat="1" ht="19.5" customHeight="1">
      <c r="A32" s="184" t="s">
        <v>8</v>
      </c>
      <c r="B32" s="185"/>
      <c r="C32" s="189" t="s">
        <v>63</v>
      </c>
      <c r="D32" s="1156" t="s">
        <v>64</v>
      </c>
      <c r="E32" s="1156"/>
      <c r="F32" s="1156"/>
      <c r="G32" s="190">
        <f>G29+G30+G31</f>
        <v>10.48</v>
      </c>
      <c r="H32" s="202"/>
    </row>
    <row r="33" spans="1:8" s="208" customFormat="1" ht="19.5" customHeight="1">
      <c r="A33" s="184"/>
      <c r="B33" s="185"/>
      <c r="C33" s="189"/>
      <c r="D33" s="191" t="s">
        <v>205</v>
      </c>
      <c r="E33" s="192"/>
      <c r="F33" s="193">
        <v>0.2746</v>
      </c>
      <c r="G33" s="194">
        <f>G32*F33</f>
        <v>2.88</v>
      </c>
      <c r="H33" s="202"/>
    </row>
    <row r="34" spans="1:8" s="208" customFormat="1" ht="19.5" customHeight="1" thickBot="1">
      <c r="A34" s="195"/>
      <c r="B34" s="196"/>
      <c r="C34" s="196"/>
      <c r="D34" s="1157" t="s">
        <v>66</v>
      </c>
      <c r="E34" s="1157"/>
      <c r="F34" s="1157"/>
      <c r="G34" s="197">
        <f>G32+G33</f>
        <v>13.36</v>
      </c>
      <c r="H34" s="202"/>
    </row>
    <row r="35" spans="1:7" s="277" customFormat="1" ht="19.5" customHeight="1">
      <c r="A35" s="289"/>
      <c r="B35" s="290"/>
      <c r="C35" s="290"/>
      <c r="D35" s="291"/>
      <c r="E35" s="290"/>
      <c r="F35" s="290"/>
      <c r="G35" s="292"/>
    </row>
    <row r="36" spans="1:7" ht="14.25">
      <c r="A36" s="1145" t="s">
        <v>725</v>
      </c>
      <c r="B36" s="1145"/>
      <c r="C36" s="1145"/>
      <c r="D36" s="1145"/>
      <c r="E36" s="1145"/>
      <c r="F36" s="1145"/>
      <c r="G36" s="1145"/>
    </row>
    <row r="37" spans="1:7" ht="14.25">
      <c r="A37" s="1146" t="s">
        <v>724</v>
      </c>
      <c r="B37" s="1147"/>
      <c r="C37" s="326" t="s">
        <v>190</v>
      </c>
      <c r="D37" s="327" t="s">
        <v>154</v>
      </c>
      <c r="E37" s="327" t="s">
        <v>536</v>
      </c>
      <c r="F37" s="327" t="s">
        <v>537</v>
      </c>
      <c r="G37" s="709" t="s">
        <v>325</v>
      </c>
    </row>
    <row r="38" spans="1:7" ht="14.25">
      <c r="A38" s="1148">
        <v>44944</v>
      </c>
      <c r="B38" s="1149"/>
      <c r="C38" s="710" t="s">
        <v>722</v>
      </c>
      <c r="D38" s="711">
        <v>1</v>
      </c>
      <c r="E38" s="711" t="s">
        <v>508</v>
      </c>
      <c r="F38" s="712">
        <v>5300</v>
      </c>
      <c r="G38" s="712">
        <f>F38/1000</f>
        <v>5.3</v>
      </c>
    </row>
    <row r="39" spans="1:7" ht="14.25">
      <c r="A39" s="1148">
        <v>44945</v>
      </c>
      <c r="B39" s="1149"/>
      <c r="C39" s="710" t="s">
        <v>726</v>
      </c>
      <c r="D39" s="711">
        <v>1</v>
      </c>
      <c r="E39" s="711" t="s">
        <v>508</v>
      </c>
      <c r="F39" s="712">
        <v>10500</v>
      </c>
      <c r="G39" s="712">
        <f>F39/1000</f>
        <v>10.5</v>
      </c>
    </row>
    <row r="40" spans="1:7" ht="14.25">
      <c r="A40" s="1148">
        <v>44949</v>
      </c>
      <c r="B40" s="1149"/>
      <c r="C40" s="710" t="s">
        <v>728</v>
      </c>
      <c r="D40" s="711">
        <v>1</v>
      </c>
      <c r="E40" s="711" t="s">
        <v>508</v>
      </c>
      <c r="F40" s="712">
        <v>7810</v>
      </c>
      <c r="G40" s="712">
        <f>F40/1000</f>
        <v>7.81</v>
      </c>
    </row>
    <row r="41" spans="1:7" ht="14.25">
      <c r="A41" s="1150" t="s">
        <v>538</v>
      </c>
      <c r="B41" s="1150"/>
      <c r="C41" s="1150"/>
      <c r="D41" s="1150"/>
      <c r="E41" s="1150"/>
      <c r="F41" s="1150"/>
      <c r="G41" s="713">
        <f>(G38+G39+G40)/3</f>
        <v>7.87</v>
      </c>
    </row>
    <row r="44" spans="1:7" ht="16.5">
      <c r="A44" s="1140" t="s">
        <v>310</v>
      </c>
      <c r="B44" s="1140"/>
      <c r="C44" s="1140"/>
      <c r="D44" s="1140"/>
      <c r="E44" s="1140"/>
      <c r="F44" s="1140"/>
      <c r="G44" s="1140"/>
    </row>
    <row r="45" spans="1:7" ht="16.5">
      <c r="A45" s="1141" t="s">
        <v>323</v>
      </c>
      <c r="B45" s="1142"/>
      <c r="C45" s="1143"/>
      <c r="D45" s="1144" t="s">
        <v>324</v>
      </c>
      <c r="E45" s="1144"/>
      <c r="F45" s="296"/>
      <c r="G45" s="297" t="s">
        <v>325</v>
      </c>
    </row>
    <row r="46" spans="1:7" ht="14.25">
      <c r="A46" s="1139" t="s">
        <v>326</v>
      </c>
      <c r="B46" s="1139"/>
      <c r="C46" s="1139"/>
      <c r="D46" s="1139"/>
      <c r="E46" s="1139"/>
      <c r="F46" s="299"/>
      <c r="G46" s="300"/>
    </row>
    <row r="47" spans="1:7" ht="14.25">
      <c r="A47" s="1136" t="s">
        <v>327</v>
      </c>
      <c r="B47" s="1136"/>
      <c r="C47" s="1136"/>
      <c r="D47" s="1136"/>
      <c r="E47" s="1136"/>
      <c r="F47" s="301"/>
      <c r="G47" s="301"/>
    </row>
    <row r="48" spans="1:7" ht="14.25">
      <c r="A48" s="1136" t="s">
        <v>328</v>
      </c>
      <c r="B48" s="1136"/>
      <c r="C48" s="1136"/>
      <c r="D48" s="1136"/>
      <c r="E48" s="1136"/>
      <c r="F48" s="301"/>
      <c r="G48" s="301"/>
    </row>
    <row r="49" spans="1:7" ht="16.5">
      <c r="A49" s="1138" t="s">
        <v>329</v>
      </c>
      <c r="B49" s="1138"/>
      <c r="C49" s="1138"/>
      <c r="D49" s="1138"/>
      <c r="E49" s="1138"/>
      <c r="F49" s="302"/>
      <c r="G49" s="302"/>
    </row>
    <row r="50" spans="1:7" ht="16.5">
      <c r="A50" s="1136" t="s">
        <v>330</v>
      </c>
      <c r="B50" s="1136"/>
      <c r="C50" s="1136"/>
      <c r="D50" s="1136"/>
      <c r="E50" s="1136"/>
      <c r="F50" s="303"/>
      <c r="G50" s="304"/>
    </row>
    <row r="51" spans="1:7" ht="16.5">
      <c r="A51" s="1136" t="s">
        <v>331</v>
      </c>
      <c r="B51" s="1136"/>
      <c r="C51" s="1136"/>
      <c r="D51" s="1136"/>
      <c r="E51" s="1136"/>
      <c r="F51" s="305"/>
      <c r="G51" s="304"/>
    </row>
    <row r="52" spans="1:7" ht="16.5">
      <c r="A52" s="1136" t="s">
        <v>332</v>
      </c>
      <c r="B52" s="1136"/>
      <c r="C52" s="1136"/>
      <c r="D52" s="1136"/>
      <c r="E52" s="1136"/>
      <c r="F52" s="305"/>
      <c r="G52" s="304"/>
    </row>
    <row r="53" spans="1:7" ht="16.5">
      <c r="A53" s="1136" t="s">
        <v>333</v>
      </c>
      <c r="B53" s="1136"/>
      <c r="C53" s="1136"/>
      <c r="D53" s="1136"/>
      <c r="E53" s="1136"/>
      <c r="F53" s="305"/>
      <c r="G53" s="304"/>
    </row>
    <row r="54" spans="1:7" ht="16.5">
      <c r="A54" s="1136" t="s">
        <v>334</v>
      </c>
      <c r="B54" s="1136"/>
      <c r="C54" s="1136"/>
      <c r="D54" s="1136"/>
      <c r="E54" s="1136"/>
      <c r="F54" s="305"/>
      <c r="G54" s="304"/>
    </row>
    <row r="55" spans="1:7" ht="16.5">
      <c r="A55" s="1137" t="s">
        <v>335</v>
      </c>
      <c r="B55" s="1137"/>
      <c r="C55" s="1137"/>
      <c r="D55" s="1137"/>
      <c r="E55" s="1137"/>
      <c r="F55" s="306"/>
      <c r="G55" s="307"/>
    </row>
    <row r="56" spans="1:7" ht="16.5">
      <c r="A56" s="1136" t="s">
        <v>336</v>
      </c>
      <c r="B56" s="1136"/>
      <c r="C56" s="1136"/>
      <c r="D56" s="1136"/>
      <c r="E56" s="1136"/>
      <c r="F56" s="305"/>
      <c r="G56" s="304"/>
    </row>
    <row r="57" spans="1:7" ht="16.5">
      <c r="A57" s="1136" t="s">
        <v>337</v>
      </c>
      <c r="B57" s="1136"/>
      <c r="C57" s="1136"/>
      <c r="D57" s="1136"/>
      <c r="E57" s="1136"/>
      <c r="F57" s="305"/>
      <c r="G57" s="304"/>
    </row>
    <row r="58" spans="1:7" ht="16.5">
      <c r="A58" s="1136" t="s">
        <v>338</v>
      </c>
      <c r="B58" s="1136"/>
      <c r="C58" s="1136"/>
      <c r="D58" s="1136" t="s">
        <v>339</v>
      </c>
      <c r="E58" s="1136"/>
      <c r="F58" s="305">
        <v>3680</v>
      </c>
      <c r="G58" s="304">
        <f>F58/1000</f>
        <v>3.68</v>
      </c>
    </row>
    <row r="59" spans="1:7" ht="16.5">
      <c r="A59" s="1136" t="s">
        <v>340</v>
      </c>
      <c r="B59" s="1136"/>
      <c r="C59" s="1136"/>
      <c r="D59" s="1136"/>
      <c r="E59" s="1136"/>
      <c r="F59" s="305"/>
      <c r="G59" s="304"/>
    </row>
    <row r="60" spans="1:7" ht="16.5">
      <c r="A60" s="1136" t="s">
        <v>341</v>
      </c>
      <c r="B60" s="1136"/>
      <c r="C60" s="1136"/>
      <c r="D60" s="1136"/>
      <c r="E60" s="1136"/>
      <c r="F60" s="305"/>
      <c r="G60" s="304"/>
    </row>
    <row r="61" spans="1:7" ht="16.5">
      <c r="A61" s="1136" t="s">
        <v>342</v>
      </c>
      <c r="B61" s="1136"/>
      <c r="C61" s="1136"/>
      <c r="D61" s="1136"/>
      <c r="E61" s="1136"/>
      <c r="F61" s="305"/>
      <c r="G61" s="304"/>
    </row>
    <row r="62" spans="1:7" ht="16.5">
      <c r="A62" s="1136" t="s">
        <v>343</v>
      </c>
      <c r="B62" s="1136"/>
      <c r="C62" s="1136"/>
      <c r="D62" s="1136"/>
      <c r="E62" s="1136"/>
      <c r="F62" s="305"/>
      <c r="G62" s="304"/>
    </row>
    <row r="63" spans="1:7" ht="16.5">
      <c r="A63" s="1136" t="s">
        <v>344</v>
      </c>
      <c r="B63" s="1136"/>
      <c r="C63" s="1136"/>
      <c r="D63" s="1136"/>
      <c r="E63" s="1136"/>
      <c r="F63" s="308"/>
      <c r="G63" s="309"/>
    </row>
    <row r="64" spans="1:7" ht="16.5">
      <c r="A64" s="1137" t="s">
        <v>345</v>
      </c>
      <c r="B64" s="1137"/>
      <c r="C64" s="1137"/>
      <c r="D64" s="1136"/>
      <c r="E64" s="1136"/>
      <c r="F64" s="305"/>
      <c r="G64" s="310"/>
    </row>
    <row r="65" spans="1:7" ht="16.5">
      <c r="A65" s="1136" t="s">
        <v>346</v>
      </c>
      <c r="B65" s="1136"/>
      <c r="C65" s="1136"/>
      <c r="D65" s="1136"/>
      <c r="E65" s="1136"/>
      <c r="F65" s="305"/>
      <c r="G65" s="304"/>
    </row>
    <row r="66" spans="1:7" ht="16.5">
      <c r="A66" s="1136" t="s">
        <v>347</v>
      </c>
      <c r="B66" s="1136"/>
      <c r="C66" s="1136"/>
      <c r="D66" s="1136"/>
      <c r="E66" s="1136"/>
      <c r="F66" s="305"/>
      <c r="G66" s="304"/>
    </row>
    <row r="67" spans="1:7" ht="16.5">
      <c r="A67" s="1136" t="s">
        <v>348</v>
      </c>
      <c r="B67" s="1136"/>
      <c r="C67" s="1136"/>
      <c r="D67" s="1136"/>
      <c r="E67" s="1136"/>
      <c r="F67" s="305"/>
      <c r="G67" s="304"/>
    </row>
  </sheetData>
  <sheetProtection/>
  <mergeCells count="74">
    <mergeCell ref="B1:G1"/>
    <mergeCell ref="A3:G3"/>
    <mergeCell ref="A4:G4"/>
    <mergeCell ref="A5:G5"/>
    <mergeCell ref="B8:G8"/>
    <mergeCell ref="A9:A10"/>
    <mergeCell ref="C9:F10"/>
    <mergeCell ref="B7:G7"/>
    <mergeCell ref="A16:G16"/>
    <mergeCell ref="A15:F15"/>
    <mergeCell ref="D32:F32"/>
    <mergeCell ref="D34:F34"/>
    <mergeCell ref="A11:G11"/>
    <mergeCell ref="A13:G13"/>
    <mergeCell ref="A23:F23"/>
    <mergeCell ref="A26:F26"/>
    <mergeCell ref="A27:G27"/>
    <mergeCell ref="D29:F29"/>
    <mergeCell ref="A44:G44"/>
    <mergeCell ref="A45:C45"/>
    <mergeCell ref="D45:E45"/>
    <mergeCell ref="A36:G36"/>
    <mergeCell ref="A37:B37"/>
    <mergeCell ref="A38:B38"/>
    <mergeCell ref="A39:B39"/>
    <mergeCell ref="A40:B40"/>
    <mergeCell ref="A41:F41"/>
    <mergeCell ref="A46:C46"/>
    <mergeCell ref="D46:E46"/>
    <mergeCell ref="A47:C47"/>
    <mergeCell ref="D47:E47"/>
    <mergeCell ref="A48:C48"/>
    <mergeCell ref="D48:E48"/>
    <mergeCell ref="A49:C49"/>
    <mergeCell ref="D49:E49"/>
    <mergeCell ref="A50:C50"/>
    <mergeCell ref="D50:E50"/>
    <mergeCell ref="A51:C51"/>
    <mergeCell ref="D51:E51"/>
    <mergeCell ref="A52:C52"/>
    <mergeCell ref="D52:E52"/>
    <mergeCell ref="A53:C53"/>
    <mergeCell ref="D53:E53"/>
    <mergeCell ref="A54:C54"/>
    <mergeCell ref="D54:E54"/>
    <mergeCell ref="A55:C55"/>
    <mergeCell ref="D55:E55"/>
    <mergeCell ref="A56:C56"/>
    <mergeCell ref="D56:E56"/>
    <mergeCell ref="A57:C57"/>
    <mergeCell ref="D57:E57"/>
    <mergeCell ref="A58:C58"/>
    <mergeCell ref="D58:E58"/>
    <mergeCell ref="A59:C59"/>
    <mergeCell ref="D59:E59"/>
    <mergeCell ref="A60:C60"/>
    <mergeCell ref="D60:E60"/>
    <mergeCell ref="D66:E66"/>
    <mergeCell ref="A61:C61"/>
    <mergeCell ref="D61:E61"/>
    <mergeCell ref="A62:C62"/>
    <mergeCell ref="D62:E62"/>
    <mergeCell ref="A63:C63"/>
    <mergeCell ref="D63:E63"/>
    <mergeCell ref="D30:F30"/>
    <mergeCell ref="D31:F31"/>
    <mergeCell ref="A24:G24"/>
    <mergeCell ref="A67:C67"/>
    <mergeCell ref="D67:E67"/>
    <mergeCell ref="A64:C64"/>
    <mergeCell ref="D64:E64"/>
    <mergeCell ref="A65:C65"/>
    <mergeCell ref="D65:E65"/>
    <mergeCell ref="A66:C6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4">
      <selection activeCell="F17" sqref="F17:F22"/>
    </sheetView>
  </sheetViews>
  <sheetFormatPr defaultColWidth="9.140625" defaultRowHeight="12.75"/>
  <cols>
    <col min="1" max="1" width="9.28125" style="293" bestFit="1" customWidth="1"/>
    <col min="2" max="2" width="10.28125" style="293" customWidth="1"/>
    <col min="3" max="3" width="51.8515625" style="293" customWidth="1"/>
    <col min="4" max="4" width="9.28125" style="293" bestFit="1" customWidth="1"/>
    <col min="5" max="5" width="16.28125" style="293" customWidth="1"/>
    <col min="6" max="6" width="15.28125" style="293" bestFit="1" customWidth="1"/>
    <col min="7" max="7" width="14.28125" style="293" bestFit="1" customWidth="1"/>
    <col min="8" max="16384" width="9.140625" style="293" customWidth="1"/>
  </cols>
  <sheetData>
    <row r="1" spans="1:7" s="275" customFormat="1" ht="15" customHeight="1">
      <c r="A1" s="274"/>
      <c r="B1" s="1019"/>
      <c r="C1" s="1019"/>
      <c r="D1" s="1019"/>
      <c r="E1" s="1019"/>
      <c r="F1" s="1019"/>
      <c r="G1" s="1020"/>
    </row>
    <row r="2" spans="1:7" s="275" customFormat="1" ht="45.75" customHeight="1">
      <c r="A2" s="311"/>
      <c r="B2" s="703"/>
      <c r="C2" s="703"/>
      <c r="D2" s="703"/>
      <c r="E2" s="703"/>
      <c r="F2" s="703"/>
      <c r="G2" s="704"/>
    </row>
    <row r="3" spans="1:7" s="275" customFormat="1" ht="15" customHeight="1">
      <c r="A3" s="1021" t="s">
        <v>20</v>
      </c>
      <c r="B3" s="1022"/>
      <c r="C3" s="1022"/>
      <c r="D3" s="1022"/>
      <c r="E3" s="1022"/>
      <c r="F3" s="1022"/>
      <c r="G3" s="1023"/>
    </row>
    <row r="4" spans="1:7" s="275" customFormat="1" ht="15" customHeight="1">
      <c r="A4" s="1024" t="s">
        <v>194</v>
      </c>
      <c r="B4" s="1025"/>
      <c r="C4" s="1025"/>
      <c r="D4" s="1025"/>
      <c r="E4" s="1025"/>
      <c r="F4" s="1025"/>
      <c r="G4" s="1026"/>
    </row>
    <row r="5" spans="1:7" s="275" customFormat="1" ht="15" customHeight="1">
      <c r="A5" s="1024" t="s">
        <v>19</v>
      </c>
      <c r="B5" s="1025"/>
      <c r="C5" s="1025"/>
      <c r="D5" s="1025"/>
      <c r="E5" s="1025"/>
      <c r="F5" s="1025"/>
      <c r="G5" s="1026"/>
    </row>
    <row r="6" spans="1:7" s="275" customFormat="1" ht="15" customHeight="1">
      <c r="A6" s="705"/>
      <c r="B6" s="706"/>
      <c r="C6" s="706"/>
      <c r="D6" s="706"/>
      <c r="E6" s="706"/>
      <c r="F6" s="706"/>
      <c r="G6" s="707"/>
    </row>
    <row r="7" spans="1:7" s="277" customFormat="1" ht="40.5" customHeight="1">
      <c r="A7" s="658" t="s">
        <v>691</v>
      </c>
      <c r="B7" s="1039" t="str">
        <f>'ORÇAMENTO GERAL'!D9</f>
        <v>EXECUÇÃO DOS SERVIÇOS DE DRENAGEM URBANA E TERRAPLENAGEM NA NS. DO CARMO, PASS. KENEDY, PASS. UBIRATAN MACIEL E PASS. ALEGRE - BAIRRO COQUEIRO  - NO MUNICÍPIO DE ANANINDEUA - PA.</v>
      </c>
      <c r="C7" s="1040"/>
      <c r="D7" s="1040"/>
      <c r="E7" s="1040"/>
      <c r="F7" s="1040"/>
      <c r="G7" s="1041"/>
    </row>
    <row r="8" spans="1:7" s="275" customFormat="1" ht="15" customHeight="1" thickBot="1">
      <c r="A8" s="276"/>
      <c r="B8" s="1095"/>
      <c r="C8" s="1095"/>
      <c r="D8" s="1095"/>
      <c r="E8" s="1095"/>
      <c r="F8" s="1095"/>
      <c r="G8" s="1096"/>
    </row>
    <row r="9" spans="1:7" s="277" customFormat="1" ht="24" customHeight="1" thickTop="1">
      <c r="A9" s="1052" t="s">
        <v>656</v>
      </c>
      <c r="B9" s="1169" t="s">
        <v>718</v>
      </c>
      <c r="C9" s="1054" t="s">
        <v>717</v>
      </c>
      <c r="D9" s="1055"/>
      <c r="E9" s="1055"/>
      <c r="F9" s="1167"/>
      <c r="G9" s="481" t="s">
        <v>689</v>
      </c>
    </row>
    <row r="10" spans="1:7" s="277" customFormat="1" ht="15" thickBot="1">
      <c r="A10" s="1053"/>
      <c r="B10" s="1170"/>
      <c r="C10" s="1056"/>
      <c r="D10" s="1057"/>
      <c r="E10" s="1057"/>
      <c r="F10" s="1168"/>
      <c r="G10" s="183" t="s">
        <v>702</v>
      </c>
    </row>
    <row r="11" spans="1:7" s="277" customFormat="1" ht="12.75" customHeight="1" thickTop="1">
      <c r="A11" s="1158"/>
      <c r="B11" s="1159"/>
      <c r="C11" s="1159"/>
      <c r="D11" s="1159"/>
      <c r="E11" s="1159"/>
      <c r="F11" s="1159"/>
      <c r="G11" s="1160"/>
    </row>
    <row r="12" spans="1:8" s="208" customFormat="1" ht="19.5" customHeight="1">
      <c r="A12" s="353" t="s">
        <v>39</v>
      </c>
      <c r="B12" s="354" t="s">
        <v>282</v>
      </c>
      <c r="C12" s="355" t="s">
        <v>40</v>
      </c>
      <c r="D12" s="354" t="s">
        <v>41</v>
      </c>
      <c r="E12" s="355" t="s">
        <v>158</v>
      </c>
      <c r="F12" s="356" t="s">
        <v>42</v>
      </c>
      <c r="G12" s="357" t="s">
        <v>43</v>
      </c>
      <c r="H12" s="202"/>
    </row>
    <row r="13" spans="1:7" s="277" customFormat="1" ht="19.5" customHeight="1">
      <c r="A13" s="1161" t="s">
        <v>38</v>
      </c>
      <c r="B13" s="1162"/>
      <c r="C13" s="1162"/>
      <c r="D13" s="1162"/>
      <c r="E13" s="1162"/>
      <c r="F13" s="1162"/>
      <c r="G13" s="1163"/>
    </row>
    <row r="14" spans="1:7" s="277" customFormat="1" ht="19.5" customHeight="1">
      <c r="A14" s="317">
        <v>1</v>
      </c>
      <c r="B14" s="313">
        <v>88316</v>
      </c>
      <c r="C14" s="314" t="s">
        <v>196</v>
      </c>
      <c r="D14" s="313" t="s">
        <v>239</v>
      </c>
      <c r="E14" s="315">
        <v>0.0055</v>
      </c>
      <c r="F14" s="316">
        <v>19.21</v>
      </c>
      <c r="G14" s="323">
        <f>E14*F14</f>
        <v>0.11</v>
      </c>
    </row>
    <row r="15" spans="1:7" s="277" customFormat="1" ht="19.5" customHeight="1">
      <c r="A15" s="1154" t="s">
        <v>683</v>
      </c>
      <c r="B15" s="1155"/>
      <c r="C15" s="1155"/>
      <c r="D15" s="1155"/>
      <c r="E15" s="1155"/>
      <c r="F15" s="1155"/>
      <c r="G15" s="328">
        <f>SUM(G14:G14)</f>
        <v>0.11</v>
      </c>
    </row>
    <row r="16" spans="1:7" s="277" customFormat="1" ht="19.5" customHeight="1">
      <c r="A16" s="1151" t="s">
        <v>49</v>
      </c>
      <c r="B16" s="1152"/>
      <c r="C16" s="1152"/>
      <c r="D16" s="1152"/>
      <c r="E16" s="1152"/>
      <c r="F16" s="1152"/>
      <c r="G16" s="1153"/>
    </row>
    <row r="17" spans="1:7" s="277" customFormat="1" ht="19.5" customHeight="1">
      <c r="A17" s="317">
        <v>1</v>
      </c>
      <c r="B17" s="318">
        <v>5839</v>
      </c>
      <c r="C17" s="319" t="s">
        <v>274</v>
      </c>
      <c r="D17" s="320" t="s">
        <v>181</v>
      </c>
      <c r="E17" s="321">
        <v>0.002</v>
      </c>
      <c r="F17" s="322">
        <v>11.31</v>
      </c>
      <c r="G17" s="323">
        <f aca="true" t="shared" si="0" ref="G17:G22">E17*F17</f>
        <v>0.02</v>
      </c>
    </row>
    <row r="18" spans="1:7" s="277" customFormat="1" ht="19.5" customHeight="1">
      <c r="A18" s="317">
        <v>2</v>
      </c>
      <c r="B18" s="318">
        <v>5841</v>
      </c>
      <c r="C18" s="319" t="s">
        <v>275</v>
      </c>
      <c r="D18" s="320" t="s">
        <v>183</v>
      </c>
      <c r="E18" s="321">
        <v>0.004</v>
      </c>
      <c r="F18" s="322">
        <v>5.38</v>
      </c>
      <c r="G18" s="323">
        <f t="shared" si="0"/>
        <v>0.02</v>
      </c>
    </row>
    <row r="19" spans="1:7" s="277" customFormat="1" ht="19.5" customHeight="1">
      <c r="A19" s="317">
        <v>3</v>
      </c>
      <c r="B19" s="318">
        <v>83362</v>
      </c>
      <c r="C19" s="319" t="s">
        <v>719</v>
      </c>
      <c r="D19" s="320" t="s">
        <v>181</v>
      </c>
      <c r="E19" s="321">
        <v>0.0004</v>
      </c>
      <c r="F19" s="322">
        <v>262.25</v>
      </c>
      <c r="G19" s="323">
        <f t="shared" si="0"/>
        <v>0.1</v>
      </c>
    </row>
    <row r="20" spans="1:7" s="277" customFormat="1" ht="19.5" customHeight="1">
      <c r="A20" s="317">
        <v>4</v>
      </c>
      <c r="B20" s="318">
        <v>89035</v>
      </c>
      <c r="C20" s="319" t="s">
        <v>276</v>
      </c>
      <c r="D20" s="320" t="s">
        <v>181</v>
      </c>
      <c r="E20" s="321">
        <v>0.0017</v>
      </c>
      <c r="F20" s="322">
        <v>129.56</v>
      </c>
      <c r="G20" s="323">
        <f t="shared" si="0"/>
        <v>0.22</v>
      </c>
    </row>
    <row r="21" spans="1:7" s="277" customFormat="1" ht="19.5" customHeight="1">
      <c r="A21" s="317">
        <v>5</v>
      </c>
      <c r="B21" s="318">
        <v>89036</v>
      </c>
      <c r="C21" s="319" t="s">
        <v>277</v>
      </c>
      <c r="D21" s="320" t="s">
        <v>183</v>
      </c>
      <c r="E21" s="321">
        <v>0.0038</v>
      </c>
      <c r="F21" s="322">
        <v>38.02</v>
      </c>
      <c r="G21" s="323">
        <f t="shared" si="0"/>
        <v>0.14</v>
      </c>
    </row>
    <row r="22" spans="1:7" s="277" customFormat="1" ht="19.5" customHeight="1">
      <c r="A22" s="317">
        <v>6</v>
      </c>
      <c r="B22" s="318">
        <v>91486</v>
      </c>
      <c r="C22" s="319" t="s">
        <v>720</v>
      </c>
      <c r="D22" s="320" t="s">
        <v>183</v>
      </c>
      <c r="E22" s="321">
        <v>0.0051</v>
      </c>
      <c r="F22" s="322">
        <v>51.2</v>
      </c>
      <c r="G22" s="323">
        <f t="shared" si="0"/>
        <v>0.26</v>
      </c>
    </row>
    <row r="23" spans="1:7" s="277" customFormat="1" ht="19.5" customHeight="1">
      <c r="A23" s="1154" t="s">
        <v>684</v>
      </c>
      <c r="B23" s="1155"/>
      <c r="C23" s="1155"/>
      <c r="D23" s="1155"/>
      <c r="E23" s="1155"/>
      <c r="F23" s="1155"/>
      <c r="G23" s="328">
        <f>SUM(G17:G22)</f>
        <v>0.76</v>
      </c>
    </row>
    <row r="24" spans="1:7" s="277" customFormat="1" ht="19.5" customHeight="1">
      <c r="A24" s="1133" t="s">
        <v>51</v>
      </c>
      <c r="B24" s="1134"/>
      <c r="C24" s="1134"/>
      <c r="D24" s="1134"/>
      <c r="E24" s="1134"/>
      <c r="F24" s="1134"/>
      <c r="G24" s="1135"/>
    </row>
    <row r="25" spans="1:7" s="277" customFormat="1" ht="19.5" customHeight="1">
      <c r="A25" s="317">
        <v>1</v>
      </c>
      <c r="B25" s="318" t="s">
        <v>310</v>
      </c>
      <c r="C25" s="324" t="s">
        <v>721</v>
      </c>
      <c r="D25" s="320" t="s">
        <v>305</v>
      </c>
      <c r="E25" s="325">
        <v>0.45</v>
      </c>
      <c r="F25" s="322">
        <f>G41</f>
        <v>5.53</v>
      </c>
      <c r="G25" s="323">
        <f>E25*F25</f>
        <v>2.49</v>
      </c>
    </row>
    <row r="26" spans="1:7" s="277" customFormat="1" ht="19.5" customHeight="1">
      <c r="A26" s="1154" t="s">
        <v>685</v>
      </c>
      <c r="B26" s="1155"/>
      <c r="C26" s="1155"/>
      <c r="D26" s="1155"/>
      <c r="E26" s="1155"/>
      <c r="F26" s="1155"/>
      <c r="G26" s="328">
        <f>SUM(G25:G25)</f>
        <v>2.49</v>
      </c>
    </row>
    <row r="27" spans="1:8" s="208" customFormat="1" ht="19.5" customHeight="1">
      <c r="A27" s="1164" t="s">
        <v>53</v>
      </c>
      <c r="B27" s="1165"/>
      <c r="C27" s="1165"/>
      <c r="D27" s="1165"/>
      <c r="E27" s="1165"/>
      <c r="F27" s="1165"/>
      <c r="G27" s="1166"/>
      <c r="H27" s="202"/>
    </row>
    <row r="28" spans="1:8" s="208" customFormat="1" ht="19.5" customHeight="1">
      <c r="A28" s="184" t="s">
        <v>39</v>
      </c>
      <c r="B28" s="185"/>
      <c r="C28" s="185" t="s">
        <v>54</v>
      </c>
      <c r="D28" s="185" t="s">
        <v>43</v>
      </c>
      <c r="E28" s="185"/>
      <c r="F28" s="188"/>
      <c r="G28" s="186"/>
      <c r="H28" s="202"/>
    </row>
    <row r="29" spans="1:8" s="208" customFormat="1" ht="19.5" customHeight="1">
      <c r="A29" s="184" t="s">
        <v>55</v>
      </c>
      <c r="B29" s="185"/>
      <c r="C29" s="187" t="s">
        <v>56</v>
      </c>
      <c r="D29" s="1132" t="s">
        <v>57</v>
      </c>
      <c r="E29" s="1132"/>
      <c r="F29" s="1132"/>
      <c r="G29" s="186">
        <f>G15</f>
        <v>0.11</v>
      </c>
      <c r="H29" s="202"/>
    </row>
    <row r="30" spans="1:8" s="208" customFormat="1" ht="19.5" customHeight="1">
      <c r="A30" s="184" t="s">
        <v>58</v>
      </c>
      <c r="B30" s="185"/>
      <c r="C30" s="187" t="s">
        <v>59</v>
      </c>
      <c r="D30" s="1132" t="s">
        <v>60</v>
      </c>
      <c r="E30" s="1132"/>
      <c r="F30" s="1132"/>
      <c r="G30" s="186">
        <f>G23</f>
        <v>0.76</v>
      </c>
      <c r="H30" s="202"/>
    </row>
    <row r="31" spans="1:8" s="208" customFormat="1" ht="19.5" customHeight="1">
      <c r="A31" s="184" t="s">
        <v>16</v>
      </c>
      <c r="B31" s="185"/>
      <c r="C31" s="187" t="s">
        <v>61</v>
      </c>
      <c r="D31" s="1132" t="s">
        <v>62</v>
      </c>
      <c r="E31" s="1132"/>
      <c r="F31" s="1132"/>
      <c r="G31" s="186">
        <f>G26</f>
        <v>2.49</v>
      </c>
      <c r="H31" s="202"/>
    </row>
    <row r="32" spans="1:8" s="208" customFormat="1" ht="19.5" customHeight="1">
      <c r="A32" s="184" t="s">
        <v>8</v>
      </c>
      <c r="B32" s="185"/>
      <c r="C32" s="189" t="s">
        <v>63</v>
      </c>
      <c r="D32" s="1156" t="s">
        <v>64</v>
      </c>
      <c r="E32" s="1156"/>
      <c r="F32" s="1156"/>
      <c r="G32" s="190">
        <f>G29+G30+G31</f>
        <v>3.36</v>
      </c>
      <c r="H32" s="202"/>
    </row>
    <row r="33" spans="1:8" s="208" customFormat="1" ht="19.5" customHeight="1">
      <c r="A33" s="184"/>
      <c r="B33" s="185"/>
      <c r="C33" s="189"/>
      <c r="D33" s="191" t="s">
        <v>205</v>
      </c>
      <c r="E33" s="192"/>
      <c r="F33" s="193">
        <v>0.2746</v>
      </c>
      <c r="G33" s="194">
        <f>G32*F33</f>
        <v>0.92</v>
      </c>
      <c r="H33" s="202"/>
    </row>
    <row r="34" spans="1:8" s="208" customFormat="1" ht="19.5" customHeight="1" thickBot="1">
      <c r="A34" s="195"/>
      <c r="B34" s="196"/>
      <c r="C34" s="196"/>
      <c r="D34" s="1157" t="s">
        <v>66</v>
      </c>
      <c r="E34" s="1157"/>
      <c r="F34" s="1157"/>
      <c r="G34" s="197">
        <f>G32+G33</f>
        <v>4.28</v>
      </c>
      <c r="H34" s="202"/>
    </row>
    <row r="35" spans="1:7" s="277" customFormat="1" ht="19.5" customHeight="1">
      <c r="A35" s="289"/>
      <c r="B35" s="290"/>
      <c r="C35" s="290"/>
      <c r="D35" s="291"/>
      <c r="E35" s="290"/>
      <c r="F35" s="290"/>
      <c r="G35" s="292"/>
    </row>
    <row r="36" spans="1:7" ht="14.25">
      <c r="A36" s="1145" t="s">
        <v>723</v>
      </c>
      <c r="B36" s="1145"/>
      <c r="C36" s="1145"/>
      <c r="D36" s="1145"/>
      <c r="E36" s="1145"/>
      <c r="F36" s="1145"/>
      <c r="G36" s="1145"/>
    </row>
    <row r="37" spans="1:7" ht="14.25">
      <c r="A37" s="1146" t="s">
        <v>724</v>
      </c>
      <c r="B37" s="1147"/>
      <c r="C37" s="326" t="s">
        <v>190</v>
      </c>
      <c r="D37" s="327" t="s">
        <v>154</v>
      </c>
      <c r="E37" s="327" t="s">
        <v>536</v>
      </c>
      <c r="F37" s="327" t="s">
        <v>537</v>
      </c>
      <c r="G37" s="709" t="s">
        <v>325</v>
      </c>
    </row>
    <row r="38" spans="1:7" ht="14.25">
      <c r="A38" s="1148">
        <v>44944</v>
      </c>
      <c r="B38" s="1149"/>
      <c r="C38" s="710" t="s">
        <v>722</v>
      </c>
      <c r="D38" s="711">
        <v>1</v>
      </c>
      <c r="E38" s="711" t="s">
        <v>508</v>
      </c>
      <c r="F38" s="712">
        <v>5800</v>
      </c>
      <c r="G38" s="712">
        <f>F38/1000</f>
        <v>5.8</v>
      </c>
    </row>
    <row r="39" spans="1:7" ht="14.25">
      <c r="A39" s="1148">
        <v>44945</v>
      </c>
      <c r="B39" s="1149"/>
      <c r="C39" s="710" t="s">
        <v>726</v>
      </c>
      <c r="D39" s="711">
        <v>1</v>
      </c>
      <c r="E39" s="711" t="s">
        <v>508</v>
      </c>
      <c r="F39" s="712">
        <v>5700</v>
      </c>
      <c r="G39" s="712">
        <f>F39/1000</f>
        <v>5.7</v>
      </c>
    </row>
    <row r="40" spans="1:7" ht="14.25">
      <c r="A40" s="1148">
        <v>44949</v>
      </c>
      <c r="B40" s="1149"/>
      <c r="C40" s="710" t="s">
        <v>728</v>
      </c>
      <c r="D40" s="711">
        <v>1</v>
      </c>
      <c r="E40" s="711" t="s">
        <v>508</v>
      </c>
      <c r="F40" s="712">
        <v>5100</v>
      </c>
      <c r="G40" s="712">
        <f>F40/1000</f>
        <v>5.1</v>
      </c>
    </row>
    <row r="41" spans="1:7" ht="14.25">
      <c r="A41" s="1150" t="s">
        <v>538</v>
      </c>
      <c r="B41" s="1150"/>
      <c r="C41" s="1150"/>
      <c r="D41" s="1150"/>
      <c r="E41" s="1150"/>
      <c r="F41" s="1150"/>
      <c r="G41" s="713">
        <f>(G38+G39+G40)/3</f>
        <v>5.53</v>
      </c>
    </row>
    <row r="44" spans="1:7" ht="16.5">
      <c r="A44" s="1140" t="s">
        <v>310</v>
      </c>
      <c r="B44" s="1140"/>
      <c r="C44" s="1140"/>
      <c r="D44" s="1140"/>
      <c r="E44" s="1140"/>
      <c r="F44" s="1140"/>
      <c r="G44" s="1140"/>
    </row>
    <row r="45" spans="1:7" ht="16.5">
      <c r="A45" s="1141" t="s">
        <v>323</v>
      </c>
      <c r="B45" s="1142"/>
      <c r="C45" s="1143"/>
      <c r="D45" s="1144" t="s">
        <v>324</v>
      </c>
      <c r="E45" s="1144"/>
      <c r="F45" s="296"/>
      <c r="G45" s="297" t="s">
        <v>325</v>
      </c>
    </row>
    <row r="46" spans="1:7" ht="14.25">
      <c r="A46" s="1139" t="s">
        <v>326</v>
      </c>
      <c r="B46" s="1139"/>
      <c r="C46" s="1139"/>
      <c r="D46" s="1139"/>
      <c r="E46" s="1139"/>
      <c r="F46" s="299"/>
      <c r="G46" s="300"/>
    </row>
    <row r="47" spans="1:7" ht="14.25">
      <c r="A47" s="1136" t="s">
        <v>327</v>
      </c>
      <c r="B47" s="1136"/>
      <c r="C47" s="1136"/>
      <c r="D47" s="1136"/>
      <c r="E47" s="1136"/>
      <c r="F47" s="301"/>
      <c r="G47" s="301"/>
    </row>
    <row r="48" spans="1:7" ht="14.25">
      <c r="A48" s="1136" t="s">
        <v>328</v>
      </c>
      <c r="B48" s="1136"/>
      <c r="C48" s="1136"/>
      <c r="D48" s="1136"/>
      <c r="E48" s="1136"/>
      <c r="F48" s="301"/>
      <c r="G48" s="301"/>
    </row>
    <row r="49" spans="1:7" ht="16.5">
      <c r="A49" s="1138" t="s">
        <v>329</v>
      </c>
      <c r="B49" s="1138"/>
      <c r="C49" s="1138"/>
      <c r="D49" s="1138"/>
      <c r="E49" s="1138"/>
      <c r="F49" s="302"/>
      <c r="G49" s="302"/>
    </row>
    <row r="50" spans="1:7" ht="16.5">
      <c r="A50" s="1136" t="s">
        <v>330</v>
      </c>
      <c r="B50" s="1136"/>
      <c r="C50" s="1136"/>
      <c r="D50" s="1136"/>
      <c r="E50" s="1136"/>
      <c r="F50" s="303"/>
      <c r="G50" s="304"/>
    </row>
    <row r="51" spans="1:7" ht="16.5">
      <c r="A51" s="1136" t="s">
        <v>331</v>
      </c>
      <c r="B51" s="1136"/>
      <c r="C51" s="1136"/>
      <c r="D51" s="1136"/>
      <c r="E51" s="1136"/>
      <c r="F51" s="305"/>
      <c r="G51" s="304"/>
    </row>
    <row r="52" spans="1:7" ht="16.5">
      <c r="A52" s="1136" t="s">
        <v>332</v>
      </c>
      <c r="B52" s="1136"/>
      <c r="C52" s="1136"/>
      <c r="D52" s="1136"/>
      <c r="E52" s="1136"/>
      <c r="F52" s="305"/>
      <c r="G52" s="304"/>
    </row>
    <row r="53" spans="1:7" ht="16.5">
      <c r="A53" s="1136" t="s">
        <v>333</v>
      </c>
      <c r="B53" s="1136"/>
      <c r="C53" s="1136"/>
      <c r="D53" s="1136"/>
      <c r="E53" s="1136"/>
      <c r="F53" s="305"/>
      <c r="G53" s="304"/>
    </row>
    <row r="54" spans="1:7" ht="16.5">
      <c r="A54" s="1136" t="s">
        <v>334</v>
      </c>
      <c r="B54" s="1136"/>
      <c r="C54" s="1136"/>
      <c r="D54" s="1136"/>
      <c r="E54" s="1136"/>
      <c r="F54" s="305"/>
      <c r="G54" s="304"/>
    </row>
    <row r="55" spans="1:7" ht="16.5">
      <c r="A55" s="1137" t="s">
        <v>335</v>
      </c>
      <c r="B55" s="1137"/>
      <c r="C55" s="1137"/>
      <c r="D55" s="1137"/>
      <c r="E55" s="1137"/>
      <c r="F55" s="306"/>
      <c r="G55" s="307"/>
    </row>
    <row r="56" spans="1:7" ht="16.5">
      <c r="A56" s="1136" t="s">
        <v>336</v>
      </c>
      <c r="B56" s="1136"/>
      <c r="C56" s="1136"/>
      <c r="D56" s="1136"/>
      <c r="E56" s="1136"/>
      <c r="F56" s="305"/>
      <c r="G56" s="304"/>
    </row>
    <row r="57" spans="1:7" ht="16.5">
      <c r="A57" s="1136" t="s">
        <v>337</v>
      </c>
      <c r="B57" s="1136"/>
      <c r="C57" s="1136"/>
      <c r="D57" s="1136"/>
      <c r="E57" s="1136"/>
      <c r="F57" s="305"/>
      <c r="G57" s="304"/>
    </row>
    <row r="58" spans="1:7" ht="16.5">
      <c r="A58" s="1136" t="s">
        <v>338</v>
      </c>
      <c r="B58" s="1136"/>
      <c r="C58" s="1136"/>
      <c r="D58" s="1136" t="s">
        <v>339</v>
      </c>
      <c r="E58" s="1136"/>
      <c r="F58" s="305">
        <v>3680</v>
      </c>
      <c r="G58" s="304">
        <f>F58/1000</f>
        <v>3.68</v>
      </c>
    </row>
    <row r="59" spans="1:7" ht="16.5">
      <c r="A59" s="1136" t="s">
        <v>340</v>
      </c>
      <c r="B59" s="1136"/>
      <c r="C59" s="1136"/>
      <c r="D59" s="1136"/>
      <c r="E59" s="1136"/>
      <c r="F59" s="305"/>
      <c r="G59" s="304"/>
    </row>
    <row r="60" spans="1:7" ht="16.5">
      <c r="A60" s="1136" t="s">
        <v>341</v>
      </c>
      <c r="B60" s="1136"/>
      <c r="C60" s="1136"/>
      <c r="D60" s="1136"/>
      <c r="E60" s="1136"/>
      <c r="F60" s="305"/>
      <c r="G60" s="304"/>
    </row>
    <row r="61" spans="1:7" ht="16.5">
      <c r="A61" s="1136" t="s">
        <v>342</v>
      </c>
      <c r="B61" s="1136"/>
      <c r="C61" s="1136"/>
      <c r="D61" s="1136"/>
      <c r="E61" s="1136"/>
      <c r="F61" s="305"/>
      <c r="G61" s="304"/>
    </row>
    <row r="62" spans="1:7" ht="16.5">
      <c r="A62" s="1136" t="s">
        <v>343</v>
      </c>
      <c r="B62" s="1136"/>
      <c r="C62" s="1136"/>
      <c r="D62" s="1136"/>
      <c r="E62" s="1136"/>
      <c r="F62" s="305"/>
      <c r="G62" s="304"/>
    </row>
    <row r="63" spans="1:7" ht="16.5">
      <c r="A63" s="1136" t="s">
        <v>344</v>
      </c>
      <c r="B63" s="1136"/>
      <c r="C63" s="1136"/>
      <c r="D63" s="1136"/>
      <c r="E63" s="1136"/>
      <c r="F63" s="308"/>
      <c r="G63" s="309"/>
    </row>
    <row r="64" spans="1:7" ht="16.5">
      <c r="A64" s="1137" t="s">
        <v>345</v>
      </c>
      <c r="B64" s="1137"/>
      <c r="C64" s="1137"/>
      <c r="D64" s="1136"/>
      <c r="E64" s="1136"/>
      <c r="F64" s="305"/>
      <c r="G64" s="708"/>
    </row>
    <row r="65" spans="1:7" ht="16.5">
      <c r="A65" s="1136" t="s">
        <v>346</v>
      </c>
      <c r="B65" s="1136"/>
      <c r="C65" s="1136"/>
      <c r="D65" s="1136"/>
      <c r="E65" s="1136"/>
      <c r="F65" s="305"/>
      <c r="G65" s="304"/>
    </row>
    <row r="66" spans="1:7" ht="16.5">
      <c r="A66" s="1136" t="s">
        <v>347</v>
      </c>
      <c r="B66" s="1136"/>
      <c r="C66" s="1136"/>
      <c r="D66" s="1136"/>
      <c r="E66" s="1136"/>
      <c r="F66" s="305"/>
      <c r="G66" s="304"/>
    </row>
    <row r="67" spans="1:7" ht="16.5">
      <c r="A67" s="1136" t="s">
        <v>348</v>
      </c>
      <c r="B67" s="1136"/>
      <c r="C67" s="1136"/>
      <c r="D67" s="1136"/>
      <c r="E67" s="1136"/>
      <c r="F67" s="305"/>
      <c r="G67" s="304"/>
    </row>
  </sheetData>
  <sheetProtection/>
  <mergeCells count="75">
    <mergeCell ref="A67:C67"/>
    <mergeCell ref="D67:E67"/>
    <mergeCell ref="B9:B10"/>
    <mergeCell ref="A64:C64"/>
    <mergeCell ref="D64:E64"/>
    <mergeCell ref="A65:C65"/>
    <mergeCell ref="D65:E65"/>
    <mergeCell ref="A66:C66"/>
    <mergeCell ref="D66:E66"/>
    <mergeCell ref="A61:C61"/>
    <mergeCell ref="D61:E61"/>
    <mergeCell ref="A62:C62"/>
    <mergeCell ref="D62:E62"/>
    <mergeCell ref="A63:C63"/>
    <mergeCell ref="D63:E63"/>
    <mergeCell ref="A58:C58"/>
    <mergeCell ref="D58:E58"/>
    <mergeCell ref="A59:C59"/>
    <mergeCell ref="D59:E59"/>
    <mergeCell ref="A60:C60"/>
    <mergeCell ref="D60:E60"/>
    <mergeCell ref="A55:C55"/>
    <mergeCell ref="D55:E55"/>
    <mergeCell ref="A56:C56"/>
    <mergeCell ref="D56:E56"/>
    <mergeCell ref="A57:C57"/>
    <mergeCell ref="D57:E57"/>
    <mergeCell ref="A52:C52"/>
    <mergeCell ref="D52:E52"/>
    <mergeCell ref="A53:C53"/>
    <mergeCell ref="D53:E53"/>
    <mergeCell ref="A54:C54"/>
    <mergeCell ref="D54:E54"/>
    <mergeCell ref="A49:C49"/>
    <mergeCell ref="D49:E49"/>
    <mergeCell ref="A50:C50"/>
    <mergeCell ref="D50:E50"/>
    <mergeCell ref="A51:C51"/>
    <mergeCell ref="D51:E51"/>
    <mergeCell ref="A46:C46"/>
    <mergeCell ref="D46:E46"/>
    <mergeCell ref="A47:C47"/>
    <mergeCell ref="D47:E47"/>
    <mergeCell ref="A48:C48"/>
    <mergeCell ref="D48:E48"/>
    <mergeCell ref="A39:B39"/>
    <mergeCell ref="A40:B40"/>
    <mergeCell ref="A41:F41"/>
    <mergeCell ref="A44:G44"/>
    <mergeCell ref="A45:C45"/>
    <mergeCell ref="D45:E45"/>
    <mergeCell ref="D31:F31"/>
    <mergeCell ref="D32:F32"/>
    <mergeCell ref="D34:F34"/>
    <mergeCell ref="A36:G36"/>
    <mergeCell ref="A37:B37"/>
    <mergeCell ref="A38:B38"/>
    <mergeCell ref="A23:F23"/>
    <mergeCell ref="A24:G24"/>
    <mergeCell ref="A26:F26"/>
    <mergeCell ref="A27:G27"/>
    <mergeCell ref="D29:F29"/>
    <mergeCell ref="D30:F30"/>
    <mergeCell ref="A9:A10"/>
    <mergeCell ref="C9:F10"/>
    <mergeCell ref="A11:G11"/>
    <mergeCell ref="A13:G13"/>
    <mergeCell ref="A15:F15"/>
    <mergeCell ref="A16:G16"/>
    <mergeCell ref="B1:G1"/>
    <mergeCell ref="A3:G3"/>
    <mergeCell ref="A4:G4"/>
    <mergeCell ref="A5:G5"/>
    <mergeCell ref="B7:G7"/>
    <mergeCell ref="B8:G8"/>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3.xml><?xml version="1.0" encoding="utf-8"?>
<worksheet xmlns="http://schemas.openxmlformats.org/spreadsheetml/2006/main" xmlns:r="http://schemas.openxmlformats.org/officeDocument/2006/relationships">
  <sheetPr>
    <tabColor theme="7" tint="0.39998000860214233"/>
  </sheetPr>
  <dimension ref="A1:J47"/>
  <sheetViews>
    <sheetView view="pageBreakPreview" zoomScale="85" zoomScaleSheetLayoutView="85" zoomScalePageLayoutView="0" workbookViewId="0" topLeftCell="A1">
      <selection activeCell="G46" sqref="G46"/>
    </sheetView>
  </sheetViews>
  <sheetFormatPr defaultColWidth="9.140625" defaultRowHeight="12.75"/>
  <cols>
    <col min="1" max="1" width="10.28125" style="125" customWidth="1"/>
    <col min="2" max="2" width="10.7109375" style="125" customWidth="1"/>
    <col min="3" max="3" width="45.7109375" style="125" customWidth="1"/>
    <col min="4" max="7" width="14.7109375" style="125" customWidth="1"/>
    <col min="8" max="8" width="11.7109375" style="124" customWidth="1"/>
    <col min="9" max="9" width="9.140625" style="124" customWidth="1"/>
    <col min="10" max="16384" width="9.140625" style="125" customWidth="1"/>
  </cols>
  <sheetData>
    <row r="1" spans="1:8" ht="14.25">
      <c r="A1" s="120"/>
      <c r="B1" s="121"/>
      <c r="C1" s="121"/>
      <c r="D1" s="121"/>
      <c r="E1" s="121"/>
      <c r="F1" s="121"/>
      <c r="G1" s="122"/>
      <c r="H1" s="123"/>
    </row>
    <row r="2" spans="1:8" ht="50.25" customHeight="1">
      <c r="A2" s="959"/>
      <c r="B2" s="960"/>
      <c r="C2" s="960"/>
      <c r="D2" s="960"/>
      <c r="E2" s="960"/>
      <c r="F2" s="960"/>
      <c r="G2" s="1045"/>
      <c r="H2" s="123"/>
    </row>
    <row r="3" spans="1:8" ht="16.5">
      <c r="A3" s="1174" t="s">
        <v>20</v>
      </c>
      <c r="B3" s="1175"/>
      <c r="C3" s="1175"/>
      <c r="D3" s="1175"/>
      <c r="E3" s="1175"/>
      <c r="F3" s="1175"/>
      <c r="G3" s="1176"/>
      <c r="H3" s="126"/>
    </row>
    <row r="4" spans="1:8" ht="14.25">
      <c r="A4" s="959" t="s">
        <v>194</v>
      </c>
      <c r="B4" s="960"/>
      <c r="C4" s="960"/>
      <c r="D4" s="960"/>
      <c r="E4" s="960"/>
      <c r="F4" s="960"/>
      <c r="G4" s="1045"/>
      <c r="H4" s="126"/>
    </row>
    <row r="5" spans="1:8" ht="14.25">
      <c r="A5" s="1046" t="s">
        <v>19</v>
      </c>
      <c r="B5" s="1047"/>
      <c r="C5" s="1047"/>
      <c r="D5" s="1047"/>
      <c r="E5" s="1047"/>
      <c r="F5" s="1047"/>
      <c r="G5" s="1048"/>
      <c r="H5" s="126"/>
    </row>
    <row r="6" spans="1:8" ht="14.25">
      <c r="A6" s="628"/>
      <c r="B6" s="629"/>
      <c r="C6" s="629"/>
      <c r="D6" s="629"/>
      <c r="E6" s="629"/>
      <c r="F6" s="629"/>
      <c r="G6" s="630"/>
      <c r="H6" s="126"/>
    </row>
    <row r="7" spans="1:8" ht="41.25" customHeight="1">
      <c r="A7" s="678" t="s">
        <v>691</v>
      </c>
      <c r="B7" s="1058" t="str">
        <f>'ORÇAMENTO GERAL'!D9</f>
        <v>EXECUÇÃO DOS SERVIÇOS DE DRENAGEM URBANA E TERRAPLENAGEM NA NS. DO CARMO, PASS. KENEDY, PASS. UBIRATAN MACIEL E PASS. ALEGRE - BAIRRO COQUEIRO  - NO MUNICÍPIO DE ANANINDEUA - PA.</v>
      </c>
      <c r="C7" s="1059"/>
      <c r="D7" s="1059"/>
      <c r="E7" s="1059"/>
      <c r="F7" s="1059"/>
      <c r="G7" s="1060"/>
      <c r="H7" s="633"/>
    </row>
    <row r="8" spans="1:8" ht="15" thickBot="1">
      <c r="A8" s="1049"/>
      <c r="B8" s="1050"/>
      <c r="C8" s="1050"/>
      <c r="D8" s="1050"/>
      <c r="E8" s="1050"/>
      <c r="F8" s="1050"/>
      <c r="G8" s="1051"/>
      <c r="H8" s="126"/>
    </row>
    <row r="9" spans="1:8" ht="15" thickTop="1">
      <c r="A9" s="1177" t="s">
        <v>656</v>
      </c>
      <c r="B9" s="363" t="s">
        <v>193</v>
      </c>
      <c r="C9" s="1178" t="s">
        <v>681</v>
      </c>
      <c r="D9" s="1179"/>
      <c r="E9" s="1179"/>
      <c r="F9" s="1180"/>
      <c r="G9" s="485" t="s">
        <v>703</v>
      </c>
      <c r="H9" s="127"/>
    </row>
    <row r="10" spans="1:8" ht="15" thickBot="1">
      <c r="A10" s="1053"/>
      <c r="B10" s="359">
        <v>44866</v>
      </c>
      <c r="C10" s="1056"/>
      <c r="D10" s="1057"/>
      <c r="E10" s="1057"/>
      <c r="F10" s="1168"/>
      <c r="G10" s="486" t="s">
        <v>608</v>
      </c>
      <c r="H10" s="127"/>
    </row>
    <row r="11" spans="1:8" ht="15" thickTop="1">
      <c r="A11" s="1073"/>
      <c r="B11" s="1074"/>
      <c r="C11" s="1074"/>
      <c r="D11" s="1074"/>
      <c r="E11" s="1074"/>
      <c r="F11" s="1074"/>
      <c r="G11" s="1075"/>
      <c r="H11" s="127"/>
    </row>
    <row r="12" spans="1:9" s="130" customFormat="1" ht="19.5" customHeight="1">
      <c r="A12" s="263" t="s">
        <v>39</v>
      </c>
      <c r="B12" s="264" t="s">
        <v>282</v>
      </c>
      <c r="C12" s="265" t="s">
        <v>40</v>
      </c>
      <c r="D12" s="264" t="s">
        <v>41</v>
      </c>
      <c r="E12" s="265" t="s">
        <v>158</v>
      </c>
      <c r="F12" s="266" t="s">
        <v>42</v>
      </c>
      <c r="G12" s="267" t="s">
        <v>43</v>
      </c>
      <c r="H12" s="134"/>
      <c r="I12" s="124"/>
    </row>
    <row r="13" spans="1:10" s="130" customFormat="1" ht="19.5" customHeight="1">
      <c r="A13" s="1007" t="s">
        <v>38</v>
      </c>
      <c r="B13" s="1008"/>
      <c r="C13" s="1008"/>
      <c r="D13" s="1008"/>
      <c r="E13" s="1008"/>
      <c r="F13" s="1008"/>
      <c r="G13" s="1009"/>
      <c r="H13" s="128"/>
      <c r="I13" s="124">
        <v>1.28</v>
      </c>
      <c r="J13" s="129">
        <f>G44</f>
        <v>203.37</v>
      </c>
    </row>
    <row r="14" spans="1:9" s="130" customFormat="1" ht="30" customHeight="1">
      <c r="A14" s="135">
        <v>1</v>
      </c>
      <c r="B14" s="136" t="s">
        <v>514</v>
      </c>
      <c r="C14" s="137" t="s">
        <v>420</v>
      </c>
      <c r="D14" s="138" t="s">
        <v>46</v>
      </c>
      <c r="E14" s="139" t="str">
        <f>'[1]Composição ORSE'!$H$12</f>
        <v> 0,0059524</v>
      </c>
      <c r="F14" s="140">
        <v>20.63</v>
      </c>
      <c r="G14" s="141">
        <f>E14*F14</f>
        <v>0.12</v>
      </c>
      <c r="H14" s="142">
        <v>0.0134</v>
      </c>
      <c r="I14" s="124">
        <f>$I$13</f>
        <v>1.28</v>
      </c>
    </row>
    <row r="15" spans="1:9" s="130" customFormat="1" ht="30" customHeight="1">
      <c r="A15" s="174">
        <v>2</v>
      </c>
      <c r="B15" s="175" t="s">
        <v>47</v>
      </c>
      <c r="C15" s="176" t="s">
        <v>196</v>
      </c>
      <c r="D15" s="177" t="s">
        <v>46</v>
      </c>
      <c r="E15" s="178" t="str">
        <f>'[1]Composição ORSE'!$H$20</f>
        <v> 0,0178571</v>
      </c>
      <c r="F15" s="179">
        <v>19.06</v>
      </c>
      <c r="G15" s="141">
        <f>E15*F15</f>
        <v>0.34</v>
      </c>
      <c r="H15" s="142">
        <v>0.035</v>
      </c>
      <c r="I15" s="124">
        <f aca="true" t="shared" si="0" ref="I15:I29">$I$13</f>
        <v>1.28</v>
      </c>
    </row>
    <row r="16" spans="1:9" s="130" customFormat="1" ht="19.5" customHeight="1">
      <c r="A16" s="995" t="s">
        <v>48</v>
      </c>
      <c r="B16" s="996"/>
      <c r="C16" s="996"/>
      <c r="D16" s="996"/>
      <c r="E16" s="996"/>
      <c r="F16" s="996"/>
      <c r="G16" s="660">
        <f>SUM(G14:G15)</f>
        <v>0.46</v>
      </c>
      <c r="H16" s="143"/>
      <c r="I16" s="124"/>
    </row>
    <row r="17" spans="1:9" s="130" customFormat="1" ht="19.5" customHeight="1">
      <c r="A17" s="1007" t="s">
        <v>49</v>
      </c>
      <c r="B17" s="1008"/>
      <c r="C17" s="1008"/>
      <c r="D17" s="1008"/>
      <c r="E17" s="1008"/>
      <c r="F17" s="1008"/>
      <c r="G17" s="1009"/>
      <c r="H17" s="128"/>
      <c r="I17" s="124"/>
    </row>
    <row r="18" spans="1:10" s="130" customFormat="1" ht="30" customHeight="1">
      <c r="A18" s="135">
        <v>1</v>
      </c>
      <c r="B18" s="148">
        <v>5903</v>
      </c>
      <c r="C18" s="149" t="s">
        <v>287</v>
      </c>
      <c r="D18" s="138" t="s">
        <v>183</v>
      </c>
      <c r="E18" s="139">
        <v>0.078</v>
      </c>
      <c r="F18" s="140">
        <v>55.24</v>
      </c>
      <c r="G18" s="141">
        <f>E18*F18</f>
        <v>4.31</v>
      </c>
      <c r="H18" s="142">
        <v>0.035</v>
      </c>
      <c r="I18" s="124">
        <f t="shared" si="0"/>
        <v>1.28</v>
      </c>
      <c r="J18" s="130">
        <f>77.84/2</f>
        <v>38.92</v>
      </c>
    </row>
    <row r="19" spans="1:9" s="130" customFormat="1" ht="30" customHeight="1">
      <c r="A19" s="135">
        <v>2</v>
      </c>
      <c r="B19" s="148">
        <v>5901</v>
      </c>
      <c r="C19" s="149" t="s">
        <v>285</v>
      </c>
      <c r="D19" s="138" t="s">
        <v>181</v>
      </c>
      <c r="E19" s="139">
        <v>0.022</v>
      </c>
      <c r="F19" s="140">
        <v>316.79</v>
      </c>
      <c r="G19" s="141">
        <f>E19*F19</f>
        <v>6.97</v>
      </c>
      <c r="H19" s="142">
        <v>0.0134</v>
      </c>
      <c r="I19" s="124">
        <f t="shared" si="0"/>
        <v>1.28</v>
      </c>
    </row>
    <row r="20" spans="1:10" s="130" customFormat="1" ht="30" customHeight="1">
      <c r="A20" s="135">
        <v>3</v>
      </c>
      <c r="B20" s="148">
        <v>5689</v>
      </c>
      <c r="C20" s="149" t="s">
        <v>515</v>
      </c>
      <c r="D20" s="138" t="s">
        <v>181</v>
      </c>
      <c r="E20" s="139">
        <v>0.1385</v>
      </c>
      <c r="F20" s="140">
        <v>7.34</v>
      </c>
      <c r="G20" s="141">
        <f aca="true" t="shared" si="1" ref="G20:G29">E20*F20</f>
        <v>1.02</v>
      </c>
      <c r="H20" s="142">
        <v>0.0134</v>
      </c>
      <c r="I20" s="124">
        <f t="shared" si="0"/>
        <v>1.28</v>
      </c>
      <c r="J20" s="130">
        <f>15.35/2</f>
        <v>7.675</v>
      </c>
    </row>
    <row r="21" spans="1:9" s="130" customFormat="1" ht="30" customHeight="1">
      <c r="A21" s="135">
        <v>4</v>
      </c>
      <c r="B21" s="148">
        <v>5690</v>
      </c>
      <c r="C21" s="149" t="s">
        <v>516</v>
      </c>
      <c r="D21" s="138" t="s">
        <v>183</v>
      </c>
      <c r="E21" s="139">
        <v>0.1615</v>
      </c>
      <c r="F21" s="140">
        <v>4.56</v>
      </c>
      <c r="G21" s="141">
        <f t="shared" si="1"/>
        <v>0.74</v>
      </c>
      <c r="H21" s="142">
        <v>0.0134</v>
      </c>
      <c r="I21" s="124">
        <f t="shared" si="0"/>
        <v>1.28</v>
      </c>
    </row>
    <row r="22" spans="1:10" s="130" customFormat="1" ht="30" customHeight="1">
      <c r="A22" s="135">
        <v>5</v>
      </c>
      <c r="B22" s="148">
        <v>5934</v>
      </c>
      <c r="C22" s="149" t="s">
        <v>293</v>
      </c>
      <c r="D22" s="138" t="s">
        <v>183</v>
      </c>
      <c r="E22" s="139">
        <v>0.072</v>
      </c>
      <c r="F22" s="140">
        <v>80.22</v>
      </c>
      <c r="G22" s="141">
        <f t="shared" si="1"/>
        <v>5.78</v>
      </c>
      <c r="H22" s="142">
        <v>0.0464</v>
      </c>
      <c r="I22" s="124">
        <f t="shared" si="0"/>
        <v>1.28</v>
      </c>
      <c r="J22" s="130">
        <f>142.03/2</f>
        <v>71.015</v>
      </c>
    </row>
    <row r="23" spans="1:9" s="130" customFormat="1" ht="30" customHeight="1">
      <c r="A23" s="135">
        <v>6</v>
      </c>
      <c r="B23" s="148">
        <v>5932</v>
      </c>
      <c r="C23" s="149" t="s">
        <v>290</v>
      </c>
      <c r="D23" s="138" t="s">
        <v>181</v>
      </c>
      <c r="E23" s="139">
        <v>0.028</v>
      </c>
      <c r="F23" s="140">
        <v>247.49</v>
      </c>
      <c r="G23" s="141">
        <f t="shared" si="1"/>
        <v>6.93</v>
      </c>
      <c r="H23" s="142">
        <v>0.0949</v>
      </c>
      <c r="I23" s="124">
        <f t="shared" si="0"/>
        <v>1.28</v>
      </c>
    </row>
    <row r="24" spans="1:10" s="130" customFormat="1" ht="30" customHeight="1">
      <c r="A24" s="135">
        <v>7</v>
      </c>
      <c r="B24" s="148">
        <v>6880</v>
      </c>
      <c r="C24" s="149" t="s">
        <v>612</v>
      </c>
      <c r="D24" s="138" t="s">
        <v>183</v>
      </c>
      <c r="E24" s="139">
        <v>0.072</v>
      </c>
      <c r="F24" s="140">
        <v>77.74</v>
      </c>
      <c r="G24" s="141">
        <f t="shared" si="1"/>
        <v>5.6</v>
      </c>
      <c r="H24" s="142">
        <v>0.0464</v>
      </c>
      <c r="I24" s="124">
        <f t="shared" si="0"/>
        <v>1.28</v>
      </c>
      <c r="J24" s="130">
        <f>111.18/2</f>
        <v>55.59</v>
      </c>
    </row>
    <row r="25" spans="1:9" s="130" customFormat="1" ht="30" customHeight="1">
      <c r="A25" s="135">
        <v>8</v>
      </c>
      <c r="B25" s="148">
        <v>6879</v>
      </c>
      <c r="C25" s="149" t="s">
        <v>613</v>
      </c>
      <c r="D25" s="138" t="s">
        <v>181</v>
      </c>
      <c r="E25" s="139">
        <v>0.028</v>
      </c>
      <c r="F25" s="140">
        <v>212.35</v>
      </c>
      <c r="G25" s="141">
        <f t="shared" si="1"/>
        <v>5.95</v>
      </c>
      <c r="H25" s="142">
        <v>0.0805</v>
      </c>
      <c r="I25" s="124">
        <f t="shared" si="0"/>
        <v>1.28</v>
      </c>
    </row>
    <row r="26" spans="1:10" s="130" customFormat="1" ht="30" customHeight="1">
      <c r="A26" s="135">
        <v>9</v>
      </c>
      <c r="B26" s="148">
        <v>96021</v>
      </c>
      <c r="C26" s="149" t="s">
        <v>614</v>
      </c>
      <c r="D26" s="138" t="s">
        <v>183</v>
      </c>
      <c r="E26" s="139">
        <v>0.085</v>
      </c>
      <c r="F26" s="140">
        <v>47.58</v>
      </c>
      <c r="G26" s="141">
        <f t="shared" si="1"/>
        <v>4.04</v>
      </c>
      <c r="H26" s="142">
        <v>0.0607</v>
      </c>
      <c r="I26" s="124">
        <f t="shared" si="0"/>
        <v>1.28</v>
      </c>
      <c r="J26" s="130">
        <f>79.89/2</f>
        <v>39.945</v>
      </c>
    </row>
    <row r="27" spans="1:9" s="130" customFormat="1" ht="30" customHeight="1">
      <c r="A27" s="135">
        <v>10</v>
      </c>
      <c r="B27" s="148">
        <v>96020</v>
      </c>
      <c r="C27" s="149" t="s">
        <v>615</v>
      </c>
      <c r="D27" s="138" t="s">
        <v>181</v>
      </c>
      <c r="E27" s="139">
        <v>0.015</v>
      </c>
      <c r="F27" s="140">
        <v>181.71</v>
      </c>
      <c r="G27" s="141">
        <f t="shared" si="1"/>
        <v>2.73</v>
      </c>
      <c r="H27" s="142">
        <v>0.1071</v>
      </c>
      <c r="I27" s="124">
        <f t="shared" si="0"/>
        <v>1.28</v>
      </c>
    </row>
    <row r="28" spans="1:10" s="130" customFormat="1" ht="30" customHeight="1">
      <c r="A28" s="135">
        <v>11</v>
      </c>
      <c r="B28" s="148">
        <v>7050</v>
      </c>
      <c r="C28" s="149" t="s">
        <v>616</v>
      </c>
      <c r="D28" s="138" t="s">
        <v>183</v>
      </c>
      <c r="E28" s="139">
        <v>0.075</v>
      </c>
      <c r="F28" s="140">
        <v>71.36</v>
      </c>
      <c r="G28" s="141">
        <f t="shared" si="1"/>
        <v>5.35</v>
      </c>
      <c r="H28" s="142">
        <v>0.0341</v>
      </c>
      <c r="I28" s="124">
        <f t="shared" si="0"/>
        <v>1.28</v>
      </c>
      <c r="J28" s="130">
        <f>102.08/2</f>
        <v>51.04</v>
      </c>
    </row>
    <row r="29" spans="1:9" s="130" customFormat="1" ht="30" customHeight="1">
      <c r="A29" s="174">
        <v>12</v>
      </c>
      <c r="B29" s="180">
        <v>7049</v>
      </c>
      <c r="C29" s="181" t="s">
        <v>617</v>
      </c>
      <c r="D29" s="177" t="s">
        <v>181</v>
      </c>
      <c r="E29" s="178">
        <v>0.025</v>
      </c>
      <c r="F29" s="179">
        <v>226.94</v>
      </c>
      <c r="G29" s="141">
        <f t="shared" si="1"/>
        <v>5.67</v>
      </c>
      <c r="H29" s="142">
        <v>0.0419</v>
      </c>
      <c r="I29" s="124">
        <f t="shared" si="0"/>
        <v>1.28</v>
      </c>
    </row>
    <row r="30" spans="1:9" s="130" customFormat="1" ht="19.5" customHeight="1">
      <c r="A30" s="995" t="s">
        <v>50</v>
      </c>
      <c r="B30" s="996"/>
      <c r="C30" s="996"/>
      <c r="D30" s="996"/>
      <c r="E30" s="996"/>
      <c r="F30" s="996"/>
      <c r="G30" s="660">
        <f>SUM(G18:G29)</f>
        <v>55.09</v>
      </c>
      <c r="H30" s="143"/>
      <c r="I30" s="124"/>
    </row>
    <row r="31" spans="1:9" s="130" customFormat="1" ht="19.5" customHeight="1">
      <c r="A31" s="997" t="s">
        <v>51</v>
      </c>
      <c r="B31" s="998"/>
      <c r="C31" s="998"/>
      <c r="D31" s="998"/>
      <c r="E31" s="998"/>
      <c r="F31" s="998"/>
      <c r="G31" s="999"/>
      <c r="H31" s="128"/>
      <c r="I31" s="124"/>
    </row>
    <row r="32" spans="1:9" s="130" customFormat="1" ht="30" customHeight="1">
      <c r="A32" s="135">
        <v>1</v>
      </c>
      <c r="B32" s="136" t="s">
        <v>618</v>
      </c>
      <c r="C32" s="137" t="s">
        <v>619</v>
      </c>
      <c r="D32" s="138" t="s">
        <v>0</v>
      </c>
      <c r="E32" s="139">
        <v>1.15</v>
      </c>
      <c r="F32" s="140">
        <v>55.35</v>
      </c>
      <c r="G32" s="141">
        <f>E32*F32</f>
        <v>63.65</v>
      </c>
      <c r="H32" s="142">
        <v>0.1875</v>
      </c>
      <c r="I32" s="124">
        <f>$I$13</f>
        <v>1.28</v>
      </c>
    </row>
    <row r="33" spans="1:9" s="130" customFormat="1" ht="19.5" customHeight="1">
      <c r="A33" s="1068" t="s">
        <v>52</v>
      </c>
      <c r="B33" s="1069"/>
      <c r="C33" s="1069"/>
      <c r="D33" s="1069"/>
      <c r="E33" s="1069"/>
      <c r="F33" s="1070"/>
      <c r="G33" s="660">
        <f>SUM(G32:G32)</f>
        <v>63.65</v>
      </c>
      <c r="H33" s="143"/>
      <c r="I33" s="124"/>
    </row>
    <row r="34" spans="1:9" s="130" customFormat="1" ht="19.5" customHeight="1">
      <c r="A34" s="997" t="s">
        <v>620</v>
      </c>
      <c r="B34" s="998"/>
      <c r="C34" s="998"/>
      <c r="D34" s="998"/>
      <c r="E34" s="998"/>
      <c r="F34" s="998"/>
      <c r="G34" s="999"/>
      <c r="H34" s="128"/>
      <c r="I34" s="124"/>
    </row>
    <row r="35" spans="1:9" s="130" customFormat="1" ht="30" customHeight="1">
      <c r="A35" s="135">
        <v>1</v>
      </c>
      <c r="B35" s="136" t="s">
        <v>621</v>
      </c>
      <c r="C35" s="182" t="s">
        <v>352</v>
      </c>
      <c r="D35" s="138" t="s">
        <v>0</v>
      </c>
      <c r="E35" s="139">
        <v>1</v>
      </c>
      <c r="F35" s="140">
        <v>6.33</v>
      </c>
      <c r="G35" s="141">
        <f>E35*F35</f>
        <v>6.33</v>
      </c>
      <c r="H35" s="142"/>
      <c r="I35" s="124"/>
    </row>
    <row r="36" spans="1:9" s="130" customFormat="1" ht="30" customHeight="1">
      <c r="A36" s="135">
        <v>2</v>
      </c>
      <c r="B36" s="171">
        <v>93591</v>
      </c>
      <c r="C36" s="137" t="s">
        <v>350</v>
      </c>
      <c r="D36" s="138" t="s">
        <v>238</v>
      </c>
      <c r="E36" s="139">
        <v>28</v>
      </c>
      <c r="F36" s="140">
        <v>2.78</v>
      </c>
      <c r="G36" s="141">
        <f>E36*F36</f>
        <v>77.84</v>
      </c>
      <c r="H36" s="142"/>
      <c r="I36" s="150"/>
    </row>
    <row r="37" spans="1:9" s="130" customFormat="1" ht="19.5" customHeight="1">
      <c r="A37" s="995" t="s">
        <v>622</v>
      </c>
      <c r="B37" s="996"/>
      <c r="C37" s="996"/>
      <c r="D37" s="996"/>
      <c r="E37" s="996"/>
      <c r="F37" s="996"/>
      <c r="G37" s="660">
        <f>SUM(G35:G36)</f>
        <v>84.17</v>
      </c>
      <c r="H37" s="143"/>
      <c r="I37" s="124"/>
    </row>
    <row r="38" spans="1:9" s="130" customFormat="1" ht="19.5" customHeight="1">
      <c r="A38" s="1181" t="s">
        <v>53</v>
      </c>
      <c r="B38" s="1182"/>
      <c r="C38" s="1182"/>
      <c r="D38" s="1182"/>
      <c r="E38" s="1182"/>
      <c r="F38" s="1182"/>
      <c r="G38" s="1183"/>
      <c r="H38" s="151"/>
      <c r="I38" s="124"/>
    </row>
    <row r="39" spans="1:9" s="130" customFormat="1" ht="19.5" customHeight="1">
      <c r="A39" s="144" t="s">
        <v>39</v>
      </c>
      <c r="B39" s="138"/>
      <c r="C39" s="138" t="s">
        <v>54</v>
      </c>
      <c r="D39" s="1171" t="s">
        <v>43</v>
      </c>
      <c r="E39" s="1172"/>
      <c r="F39" s="1172"/>
      <c r="G39" s="1173"/>
      <c r="H39" s="134"/>
      <c r="I39" s="124"/>
    </row>
    <row r="40" spans="1:9" s="130" customFormat="1" ht="19.5" customHeight="1">
      <c r="A40" s="144" t="s">
        <v>55</v>
      </c>
      <c r="B40" s="138"/>
      <c r="C40" s="138" t="s">
        <v>56</v>
      </c>
      <c r="D40" s="1084" t="s">
        <v>57</v>
      </c>
      <c r="E40" s="1084"/>
      <c r="F40" s="1084"/>
      <c r="G40" s="147">
        <f>G16</f>
        <v>0.46</v>
      </c>
      <c r="H40" s="134"/>
      <c r="I40" s="124"/>
    </row>
    <row r="41" spans="1:9" s="130" customFormat="1" ht="19.5" customHeight="1">
      <c r="A41" s="144" t="s">
        <v>58</v>
      </c>
      <c r="B41" s="138"/>
      <c r="C41" s="138" t="s">
        <v>59</v>
      </c>
      <c r="D41" s="1084" t="s">
        <v>60</v>
      </c>
      <c r="E41" s="1084"/>
      <c r="F41" s="1084"/>
      <c r="G41" s="147">
        <f>G30</f>
        <v>55.09</v>
      </c>
      <c r="H41" s="134"/>
      <c r="I41" s="124"/>
    </row>
    <row r="42" spans="1:9" s="130" customFormat="1" ht="19.5" customHeight="1">
      <c r="A42" s="144" t="s">
        <v>16</v>
      </c>
      <c r="B42" s="138"/>
      <c r="C42" s="138" t="s">
        <v>61</v>
      </c>
      <c r="D42" s="1084" t="s">
        <v>62</v>
      </c>
      <c r="E42" s="1084"/>
      <c r="F42" s="1084"/>
      <c r="G42" s="147">
        <f>G33</f>
        <v>63.65</v>
      </c>
      <c r="H42" s="134"/>
      <c r="I42" s="124"/>
    </row>
    <row r="43" spans="1:9" s="130" customFormat="1" ht="19.5" customHeight="1">
      <c r="A43" s="144" t="s">
        <v>8</v>
      </c>
      <c r="B43" s="138"/>
      <c r="C43" s="138" t="s">
        <v>623</v>
      </c>
      <c r="D43" s="1084" t="s">
        <v>624</v>
      </c>
      <c r="E43" s="1084"/>
      <c r="F43" s="1084"/>
      <c r="G43" s="147">
        <f>G37</f>
        <v>84.17</v>
      </c>
      <c r="H43" s="134"/>
      <c r="I43" s="124"/>
    </row>
    <row r="44" spans="1:9" s="130" customFormat="1" ht="19.5" customHeight="1">
      <c r="A44" s="144" t="s">
        <v>65</v>
      </c>
      <c r="B44" s="138"/>
      <c r="C44" s="153" t="s">
        <v>625</v>
      </c>
      <c r="D44" s="1085" t="s">
        <v>64</v>
      </c>
      <c r="E44" s="1085"/>
      <c r="F44" s="1085"/>
      <c r="G44" s="154">
        <f>G40+G41+G42+G43</f>
        <v>203.37</v>
      </c>
      <c r="H44" s="155">
        <v>596</v>
      </c>
      <c r="I44" s="124"/>
    </row>
    <row r="45" spans="1:9" s="130" customFormat="1" ht="19.5" customHeight="1">
      <c r="A45" s="144"/>
      <c r="B45" s="138"/>
      <c r="C45" s="153"/>
      <c r="D45" s="156" t="s">
        <v>205</v>
      </c>
      <c r="E45" s="157"/>
      <c r="F45" s="158">
        <v>0.2746</v>
      </c>
      <c r="G45" s="173">
        <f>G44*F45</f>
        <v>55.85</v>
      </c>
      <c r="H45" s="160"/>
      <c r="I45" s="124"/>
    </row>
    <row r="46" spans="1:9" s="130" customFormat="1" ht="19.5" customHeight="1" thickBot="1">
      <c r="A46" s="161"/>
      <c r="B46" s="162"/>
      <c r="C46" s="162"/>
      <c r="D46" s="1017" t="s">
        <v>66</v>
      </c>
      <c r="E46" s="1017"/>
      <c r="F46" s="1017"/>
      <c r="G46" s="163">
        <f>G44+G45</f>
        <v>259.22</v>
      </c>
      <c r="H46" s="164"/>
      <c r="I46" s="124"/>
    </row>
    <row r="47" spans="1:8" ht="14.25">
      <c r="A47" s="165"/>
      <c r="B47" s="165"/>
      <c r="C47" s="165"/>
      <c r="D47" s="166"/>
      <c r="E47" s="166"/>
      <c r="F47" s="166"/>
      <c r="G47" s="167"/>
      <c r="H47" s="167"/>
    </row>
  </sheetData>
  <sheetProtection/>
  <mergeCells count="25">
    <mergeCell ref="D46:F46"/>
    <mergeCell ref="A38:G38"/>
    <mergeCell ref="D40:F40"/>
    <mergeCell ref="D41:F41"/>
    <mergeCell ref="D42:F42"/>
    <mergeCell ref="D43:F43"/>
    <mergeCell ref="D44:F44"/>
    <mergeCell ref="A11:G11"/>
    <mergeCell ref="A2:G2"/>
    <mergeCell ref="A16:F16"/>
    <mergeCell ref="A30:F30"/>
    <mergeCell ref="A33:F33"/>
    <mergeCell ref="B7:G7"/>
    <mergeCell ref="A13:G13"/>
    <mergeCell ref="A17:G17"/>
    <mergeCell ref="A37:F37"/>
    <mergeCell ref="D39:G39"/>
    <mergeCell ref="A3:G3"/>
    <mergeCell ref="A4:G4"/>
    <mergeCell ref="A5:G5"/>
    <mergeCell ref="A8:G8"/>
    <mergeCell ref="A31:G31"/>
    <mergeCell ref="A34:G34"/>
    <mergeCell ref="A9:A10"/>
    <mergeCell ref="C9:F10"/>
  </mergeCells>
  <printOptions horizontalCentered="1"/>
  <pageMargins left="0.5118110236220472" right="0.5118110236220472" top="0.7874015748031497" bottom="0.7874015748031497" header="0.31496062992125984" footer="0.31496062992125984"/>
  <pageSetup horizontalDpi="600" verticalDpi="600" orientation="portrait" paperSize="9" scale="70" r:id="rId2"/>
  <drawing r:id="rId1"/>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1:F55"/>
  <sheetViews>
    <sheetView view="pageBreakPreview" zoomScale="60" zoomScaleNormal="70" zoomScalePageLayoutView="0" workbookViewId="0" topLeftCell="A35">
      <selection activeCell="F52" sqref="A1:F52"/>
    </sheetView>
  </sheetViews>
  <sheetFormatPr defaultColWidth="9.140625" defaultRowHeight="12.75"/>
  <cols>
    <col min="1" max="1" width="13.421875" style="47" customWidth="1"/>
    <col min="2" max="2" width="77.57421875" style="47" customWidth="1"/>
    <col min="3" max="6" width="20.7109375" style="47" customWidth="1"/>
    <col min="7" max="16384" width="9.140625" style="47" customWidth="1"/>
  </cols>
  <sheetData>
    <row r="1" spans="1:6" s="45" customFormat="1" ht="19.5" customHeight="1">
      <c r="A1" s="1184"/>
      <c r="B1" s="1185"/>
      <c r="C1" s="1185"/>
      <c r="D1" s="1185"/>
      <c r="E1" s="1185"/>
      <c r="F1" s="1186"/>
    </row>
    <row r="2" spans="1:6" s="45" customFormat="1" ht="74.25" customHeight="1">
      <c r="A2" s="76"/>
      <c r="B2" s="77"/>
      <c r="C2" s="77"/>
      <c r="D2" s="77"/>
      <c r="E2" s="77"/>
      <c r="F2" s="78"/>
    </row>
    <row r="3" spans="1:6" s="46" customFormat="1" ht="19.5" customHeight="1">
      <c r="A3" s="1187" t="s">
        <v>20</v>
      </c>
      <c r="B3" s="1188"/>
      <c r="C3" s="1188"/>
      <c r="D3" s="1188"/>
      <c r="E3" s="1188"/>
      <c r="F3" s="1189"/>
    </row>
    <row r="4" spans="1:6" s="46" customFormat="1" ht="19.5" customHeight="1">
      <c r="A4" s="1190" t="s">
        <v>194</v>
      </c>
      <c r="B4" s="1191"/>
      <c r="C4" s="1191"/>
      <c r="D4" s="1191"/>
      <c r="E4" s="1191"/>
      <c r="F4" s="1192"/>
    </row>
    <row r="5" spans="1:6" s="46" customFormat="1" ht="19.5" customHeight="1">
      <c r="A5" s="1190" t="s">
        <v>19</v>
      </c>
      <c r="B5" s="1191"/>
      <c r="C5" s="1191"/>
      <c r="D5" s="1191"/>
      <c r="E5" s="1191"/>
      <c r="F5" s="1192"/>
    </row>
    <row r="6" spans="1:6" s="46" customFormat="1" ht="19.5" customHeight="1">
      <c r="A6" s="1199"/>
      <c r="B6" s="1200"/>
      <c r="C6" s="1200"/>
      <c r="D6" s="1200"/>
      <c r="E6" s="1200"/>
      <c r="F6" s="1201"/>
    </row>
    <row r="7" spans="1:6" ht="58.5" customHeight="1">
      <c r="A7" s="679" t="s">
        <v>691</v>
      </c>
      <c r="B7" s="1202" t="str">
        <f>'ORÇAMENTO GERAL'!D9</f>
        <v>EXECUÇÃO DOS SERVIÇOS DE DRENAGEM URBANA E TERRAPLENAGEM NA NS. DO CARMO, PASS. KENEDY, PASS. UBIRATAN MACIEL E PASS. ALEGRE - BAIRRO COQUEIRO  - NO MUNICÍPIO DE ANANINDEUA - PA.</v>
      </c>
      <c r="C7" s="1203"/>
      <c r="D7" s="1203"/>
      <c r="E7" s="1203"/>
      <c r="F7" s="1204"/>
    </row>
    <row r="8" spans="1:6" s="46" customFormat="1" ht="19.5" customHeight="1" thickBot="1">
      <c r="A8" s="1193"/>
      <c r="B8" s="1194"/>
      <c r="C8" s="1194"/>
      <c r="D8" s="1194"/>
      <c r="E8" s="1194"/>
      <c r="F8" s="1195"/>
    </row>
    <row r="9" spans="1:6" ht="34.5" customHeight="1" thickBot="1" thickTop="1">
      <c r="A9" s="1196" t="s">
        <v>660</v>
      </c>
      <c r="B9" s="1197"/>
      <c r="C9" s="1197"/>
      <c r="D9" s="1197"/>
      <c r="E9" s="1197"/>
      <c r="F9" s="1198"/>
    </row>
    <row r="10" spans="1:6" ht="18.75" customHeight="1" thickTop="1">
      <c r="A10" s="1205"/>
      <c r="B10" s="1206"/>
      <c r="C10" s="1206"/>
      <c r="D10" s="1206"/>
      <c r="E10" s="1206"/>
      <c r="F10" s="1207"/>
    </row>
    <row r="11" spans="1:6" ht="30" customHeight="1">
      <c r="A11" s="1220" t="s">
        <v>661</v>
      </c>
      <c r="B11" s="1221"/>
      <c r="C11" s="1221"/>
      <c r="D11" s="1221"/>
      <c r="E11" s="1221"/>
      <c r="F11" s="1222"/>
    </row>
    <row r="12" spans="1:6" ht="20.25">
      <c r="A12" s="1215" t="s">
        <v>72</v>
      </c>
      <c r="B12" s="1217" t="s">
        <v>73</v>
      </c>
      <c r="C12" s="1208" t="s">
        <v>278</v>
      </c>
      <c r="D12" s="1209"/>
      <c r="E12" s="1208" t="s">
        <v>279</v>
      </c>
      <c r="F12" s="1210"/>
    </row>
    <row r="13" spans="1:6" s="45" customFormat="1" ht="20.25">
      <c r="A13" s="1215"/>
      <c r="B13" s="1218"/>
      <c r="C13" s="631" t="s">
        <v>74</v>
      </c>
      <c r="D13" s="631" t="s">
        <v>75</v>
      </c>
      <c r="E13" s="631" t="s">
        <v>74</v>
      </c>
      <c r="F13" s="680" t="s">
        <v>75</v>
      </c>
    </row>
    <row r="14" spans="1:6" s="45" customFormat="1" ht="20.25">
      <c r="A14" s="1216"/>
      <c r="B14" s="1219"/>
      <c r="C14" s="632" t="s">
        <v>219</v>
      </c>
      <c r="D14" s="632" t="s">
        <v>219</v>
      </c>
      <c r="E14" s="632" t="s">
        <v>219</v>
      </c>
      <c r="F14" s="681" t="s">
        <v>219</v>
      </c>
    </row>
    <row r="15" spans="1:6" s="45" customFormat="1" ht="24.75" customHeight="1">
      <c r="A15" s="1211" t="s">
        <v>76</v>
      </c>
      <c r="B15" s="1212"/>
      <c r="C15" s="1213"/>
      <c r="D15" s="1214"/>
      <c r="E15" s="48"/>
      <c r="F15" s="49"/>
    </row>
    <row r="16" spans="1:6" s="45" customFormat="1" ht="24.75" customHeight="1">
      <c r="A16" s="50" t="s">
        <v>77</v>
      </c>
      <c r="B16" s="51" t="s">
        <v>78</v>
      </c>
      <c r="C16" s="52">
        <v>0</v>
      </c>
      <c r="D16" s="52">
        <v>0</v>
      </c>
      <c r="E16" s="52">
        <v>20</v>
      </c>
      <c r="F16" s="53">
        <v>20</v>
      </c>
    </row>
    <row r="17" spans="1:6" s="45" customFormat="1" ht="24.75" customHeight="1">
      <c r="A17" s="50" t="s">
        <v>79</v>
      </c>
      <c r="B17" s="51" t="s">
        <v>80</v>
      </c>
      <c r="C17" s="52">
        <v>1.5</v>
      </c>
      <c r="D17" s="52">
        <v>1.5</v>
      </c>
      <c r="E17" s="52">
        <v>1.5</v>
      </c>
      <c r="F17" s="53">
        <v>1.5</v>
      </c>
    </row>
    <row r="18" spans="1:6" s="45" customFormat="1" ht="24.75" customHeight="1">
      <c r="A18" s="50" t="s">
        <v>81</v>
      </c>
      <c r="B18" s="51" t="s">
        <v>82</v>
      </c>
      <c r="C18" s="52">
        <v>1</v>
      </c>
      <c r="D18" s="52">
        <v>1</v>
      </c>
      <c r="E18" s="52">
        <v>1</v>
      </c>
      <c r="F18" s="53">
        <v>1</v>
      </c>
    </row>
    <row r="19" spans="1:6" s="45" customFormat="1" ht="24.75" customHeight="1">
      <c r="A19" s="50" t="s">
        <v>83</v>
      </c>
      <c r="B19" s="51" t="s">
        <v>84</v>
      </c>
      <c r="C19" s="52">
        <v>0.2</v>
      </c>
      <c r="D19" s="52">
        <v>0.2</v>
      </c>
      <c r="E19" s="52">
        <v>0.2</v>
      </c>
      <c r="F19" s="53">
        <v>0.2</v>
      </c>
    </row>
    <row r="20" spans="1:6" s="45" customFormat="1" ht="24.75" customHeight="1">
      <c r="A20" s="50" t="s">
        <v>85</v>
      </c>
      <c r="B20" s="51" t="s">
        <v>86</v>
      </c>
      <c r="C20" s="52">
        <v>0.6</v>
      </c>
      <c r="D20" s="52">
        <v>0.6</v>
      </c>
      <c r="E20" s="52">
        <v>0.6</v>
      </c>
      <c r="F20" s="53">
        <v>0.6</v>
      </c>
    </row>
    <row r="21" spans="1:6" s="45" customFormat="1" ht="24.75" customHeight="1">
      <c r="A21" s="50" t="s">
        <v>87</v>
      </c>
      <c r="B21" s="51" t="s">
        <v>88</v>
      </c>
      <c r="C21" s="52">
        <v>2.5</v>
      </c>
      <c r="D21" s="52">
        <v>2.5</v>
      </c>
      <c r="E21" s="52">
        <v>2.5</v>
      </c>
      <c r="F21" s="53">
        <v>2.5</v>
      </c>
    </row>
    <row r="22" spans="1:6" s="45" customFormat="1" ht="24.75" customHeight="1">
      <c r="A22" s="50" t="s">
        <v>89</v>
      </c>
      <c r="B22" s="51" t="s">
        <v>90</v>
      </c>
      <c r="C22" s="52">
        <v>3</v>
      </c>
      <c r="D22" s="52">
        <v>3</v>
      </c>
      <c r="E22" s="52">
        <v>3</v>
      </c>
      <c r="F22" s="53">
        <v>3</v>
      </c>
    </row>
    <row r="23" spans="1:6" s="45" customFormat="1" ht="24.75" customHeight="1">
      <c r="A23" s="50" t="s">
        <v>91</v>
      </c>
      <c r="B23" s="51" t="s">
        <v>92</v>
      </c>
      <c r="C23" s="52">
        <v>8</v>
      </c>
      <c r="D23" s="52">
        <v>8</v>
      </c>
      <c r="E23" s="52">
        <v>8</v>
      </c>
      <c r="F23" s="53">
        <v>8</v>
      </c>
    </row>
    <row r="24" spans="1:6" s="45" customFormat="1" ht="24.75" customHeight="1">
      <c r="A24" s="50" t="s">
        <v>93</v>
      </c>
      <c r="B24" s="51" t="s">
        <v>94</v>
      </c>
      <c r="C24" s="52">
        <v>0</v>
      </c>
      <c r="D24" s="52">
        <v>0</v>
      </c>
      <c r="E24" s="52">
        <v>0</v>
      </c>
      <c r="F24" s="53">
        <v>0</v>
      </c>
    </row>
    <row r="25" spans="1:6" s="45" customFormat="1" ht="24.75" customHeight="1">
      <c r="A25" s="54" t="s">
        <v>55</v>
      </c>
      <c r="B25" s="55" t="s">
        <v>95</v>
      </c>
      <c r="C25" s="56">
        <f>SUM(C16:C24)</f>
        <v>16.8</v>
      </c>
      <c r="D25" s="56">
        <f>SUM(D16:D24)</f>
        <v>16.8</v>
      </c>
      <c r="E25" s="56">
        <f>SUM(E16:E24)</f>
        <v>36.8</v>
      </c>
      <c r="F25" s="57">
        <f>SUM(F16:F24)</f>
        <v>36.8</v>
      </c>
    </row>
    <row r="26" spans="1:6" s="45" customFormat="1" ht="24.75" customHeight="1">
      <c r="A26" s="1211" t="s">
        <v>96</v>
      </c>
      <c r="B26" s="1212"/>
      <c r="C26" s="1212"/>
      <c r="D26" s="1223"/>
      <c r="E26" s="48"/>
      <c r="F26" s="49"/>
    </row>
    <row r="27" spans="1:6" s="45" customFormat="1" ht="24.75" customHeight="1">
      <c r="A27" s="50" t="s">
        <v>97</v>
      </c>
      <c r="B27" s="51" t="s">
        <v>98</v>
      </c>
      <c r="C27" s="58">
        <v>18.11</v>
      </c>
      <c r="D27" s="58">
        <v>0</v>
      </c>
      <c r="E27" s="58">
        <v>18.11</v>
      </c>
      <c r="F27" s="61">
        <v>0</v>
      </c>
    </row>
    <row r="28" spans="1:6" s="45" customFormat="1" ht="24.75" customHeight="1">
      <c r="A28" s="50" t="s">
        <v>99</v>
      </c>
      <c r="B28" s="51" t="s">
        <v>100</v>
      </c>
      <c r="C28" s="58">
        <v>4.15</v>
      </c>
      <c r="D28" s="58">
        <v>0</v>
      </c>
      <c r="E28" s="58">
        <v>4.15</v>
      </c>
      <c r="F28" s="61">
        <v>0</v>
      </c>
    </row>
    <row r="29" spans="1:6" s="45" customFormat="1" ht="24.75" customHeight="1">
      <c r="A29" s="50" t="s">
        <v>101</v>
      </c>
      <c r="B29" s="51" t="s">
        <v>102</v>
      </c>
      <c r="C29" s="58">
        <v>0.89</v>
      </c>
      <c r="D29" s="58">
        <v>0.67</v>
      </c>
      <c r="E29" s="58">
        <v>0.89</v>
      </c>
      <c r="F29" s="61">
        <v>0.67</v>
      </c>
    </row>
    <row r="30" spans="1:6" s="45" customFormat="1" ht="24.75" customHeight="1">
      <c r="A30" s="50" t="s">
        <v>103</v>
      </c>
      <c r="B30" s="51" t="s">
        <v>104</v>
      </c>
      <c r="C30" s="58">
        <v>10.98</v>
      </c>
      <c r="D30" s="58">
        <v>8.33</v>
      </c>
      <c r="E30" s="58">
        <v>10.98</v>
      </c>
      <c r="F30" s="61">
        <v>8.33</v>
      </c>
    </row>
    <row r="31" spans="1:6" s="45" customFormat="1" ht="24.75" customHeight="1">
      <c r="A31" s="50" t="s">
        <v>105</v>
      </c>
      <c r="B31" s="51" t="s">
        <v>106</v>
      </c>
      <c r="C31" s="58">
        <v>0.07</v>
      </c>
      <c r="D31" s="58">
        <v>0.06</v>
      </c>
      <c r="E31" s="58">
        <v>0.07</v>
      </c>
      <c r="F31" s="61">
        <v>0.06</v>
      </c>
    </row>
    <row r="32" spans="1:6" s="45" customFormat="1" ht="24.75" customHeight="1">
      <c r="A32" s="50" t="s">
        <v>107</v>
      </c>
      <c r="B32" s="51" t="s">
        <v>108</v>
      </c>
      <c r="C32" s="58">
        <v>0.73</v>
      </c>
      <c r="D32" s="58">
        <v>0.56</v>
      </c>
      <c r="E32" s="58">
        <v>0.73</v>
      </c>
      <c r="F32" s="61">
        <v>0.56</v>
      </c>
    </row>
    <row r="33" spans="1:6" s="45" customFormat="1" ht="24.75" customHeight="1">
      <c r="A33" s="50" t="s">
        <v>109</v>
      </c>
      <c r="B33" s="51" t="s">
        <v>110</v>
      </c>
      <c r="C33" s="58">
        <v>2.68</v>
      </c>
      <c r="D33" s="58">
        <v>0</v>
      </c>
      <c r="E33" s="58">
        <v>2.68</v>
      </c>
      <c r="F33" s="61">
        <v>0</v>
      </c>
    </row>
    <row r="34" spans="1:6" s="45" customFormat="1" ht="24.75" customHeight="1">
      <c r="A34" s="50" t="s">
        <v>111</v>
      </c>
      <c r="B34" s="51" t="s">
        <v>112</v>
      </c>
      <c r="C34" s="58">
        <v>0.11</v>
      </c>
      <c r="D34" s="58">
        <v>0.08</v>
      </c>
      <c r="E34" s="58">
        <v>0.11</v>
      </c>
      <c r="F34" s="61">
        <v>0.08</v>
      </c>
    </row>
    <row r="35" spans="1:6" s="45" customFormat="1" ht="24.75" customHeight="1">
      <c r="A35" s="50" t="s">
        <v>113</v>
      </c>
      <c r="B35" s="51" t="s">
        <v>114</v>
      </c>
      <c r="C35" s="58">
        <v>9.27</v>
      </c>
      <c r="D35" s="58">
        <v>7.03</v>
      </c>
      <c r="E35" s="58">
        <v>9.27</v>
      </c>
      <c r="F35" s="61">
        <v>7.03</v>
      </c>
    </row>
    <row r="36" spans="1:6" s="45" customFormat="1" ht="24.75" customHeight="1">
      <c r="A36" s="50" t="s">
        <v>115</v>
      </c>
      <c r="B36" s="51" t="s">
        <v>116</v>
      </c>
      <c r="C36" s="58">
        <v>0.03</v>
      </c>
      <c r="D36" s="58">
        <v>0.03</v>
      </c>
      <c r="E36" s="58">
        <v>0.03</v>
      </c>
      <c r="F36" s="61">
        <v>0.03</v>
      </c>
    </row>
    <row r="37" spans="1:6" s="45" customFormat="1" ht="24.75" customHeight="1">
      <c r="A37" s="54" t="s">
        <v>58</v>
      </c>
      <c r="B37" s="55" t="s">
        <v>117</v>
      </c>
      <c r="C37" s="59">
        <f>SUM(C27:C36)</f>
        <v>47.02</v>
      </c>
      <c r="D37" s="59">
        <f>SUM(D27:D36)</f>
        <v>16.76</v>
      </c>
      <c r="E37" s="59">
        <f>SUM(E27:E36)</f>
        <v>47.02</v>
      </c>
      <c r="F37" s="60">
        <f>SUM(F27:F36)</f>
        <v>16.76</v>
      </c>
    </row>
    <row r="38" spans="1:6" s="45" customFormat="1" ht="24.75" customHeight="1">
      <c r="A38" s="1211" t="s">
        <v>118</v>
      </c>
      <c r="B38" s="1212"/>
      <c r="C38" s="1212"/>
      <c r="D38" s="1223"/>
      <c r="E38" s="48"/>
      <c r="F38" s="49"/>
    </row>
    <row r="39" spans="1:6" s="45" customFormat="1" ht="24.75" customHeight="1">
      <c r="A39" s="50" t="s">
        <v>119</v>
      </c>
      <c r="B39" s="51" t="s">
        <v>120</v>
      </c>
      <c r="C39" s="58">
        <v>5.69</v>
      </c>
      <c r="D39" s="58">
        <v>4.32</v>
      </c>
      <c r="E39" s="58">
        <v>5.69</v>
      </c>
      <c r="F39" s="61">
        <v>4.32</v>
      </c>
    </row>
    <row r="40" spans="1:6" s="45" customFormat="1" ht="24.75" customHeight="1">
      <c r="A40" s="50" t="s">
        <v>121</v>
      </c>
      <c r="B40" s="51" t="s">
        <v>122</v>
      </c>
      <c r="C40" s="58">
        <v>0.13</v>
      </c>
      <c r="D40" s="58">
        <v>0.1</v>
      </c>
      <c r="E40" s="58">
        <v>0.13</v>
      </c>
      <c r="F40" s="61">
        <v>0.1</v>
      </c>
    </row>
    <row r="41" spans="1:6" s="45" customFormat="1" ht="24.75" customHeight="1">
      <c r="A41" s="50" t="s">
        <v>123</v>
      </c>
      <c r="B41" s="51" t="s">
        <v>124</v>
      </c>
      <c r="C41" s="58">
        <v>4.47</v>
      </c>
      <c r="D41" s="58">
        <v>3.39</v>
      </c>
      <c r="E41" s="58">
        <v>4.47</v>
      </c>
      <c r="F41" s="61">
        <v>3.39</v>
      </c>
    </row>
    <row r="42" spans="1:6" s="45" customFormat="1" ht="24.75" customHeight="1">
      <c r="A42" s="50" t="s">
        <v>125</v>
      </c>
      <c r="B42" s="51" t="s">
        <v>126</v>
      </c>
      <c r="C42" s="58">
        <v>3.93</v>
      </c>
      <c r="D42" s="58">
        <v>2.98</v>
      </c>
      <c r="E42" s="58">
        <v>3.93</v>
      </c>
      <c r="F42" s="61">
        <v>2.98</v>
      </c>
    </row>
    <row r="43" spans="1:6" s="45" customFormat="1" ht="24.75" customHeight="1">
      <c r="A43" s="50" t="s">
        <v>127</v>
      </c>
      <c r="B43" s="51" t="s">
        <v>128</v>
      </c>
      <c r="C43" s="58">
        <v>0.48</v>
      </c>
      <c r="D43" s="58">
        <v>0.36</v>
      </c>
      <c r="E43" s="58">
        <v>0.48</v>
      </c>
      <c r="F43" s="61">
        <v>0.36</v>
      </c>
    </row>
    <row r="44" spans="1:6" s="45" customFormat="1" ht="24.75" customHeight="1">
      <c r="A44" s="54" t="s">
        <v>16</v>
      </c>
      <c r="B44" s="55" t="s">
        <v>129</v>
      </c>
      <c r="C44" s="59">
        <f>SUM(C39:C43)</f>
        <v>14.7</v>
      </c>
      <c r="D44" s="59">
        <f>SUM(D39:D43)</f>
        <v>11.15</v>
      </c>
      <c r="E44" s="59">
        <f>SUM(E39:E43)</f>
        <v>14.7</v>
      </c>
      <c r="F44" s="60">
        <f>SUM(F39:F43)</f>
        <v>11.15</v>
      </c>
    </row>
    <row r="45" spans="1:6" s="45" customFormat="1" ht="24.75" customHeight="1">
      <c r="A45" s="1211" t="s">
        <v>130</v>
      </c>
      <c r="B45" s="1212"/>
      <c r="C45" s="1212"/>
      <c r="D45" s="1223"/>
      <c r="E45" s="48"/>
      <c r="F45" s="49"/>
    </row>
    <row r="46" spans="1:6" s="45" customFormat="1" ht="24.75" customHeight="1">
      <c r="A46" s="50" t="s">
        <v>131</v>
      </c>
      <c r="B46" s="51" t="s">
        <v>132</v>
      </c>
      <c r="C46" s="58">
        <v>7.9</v>
      </c>
      <c r="D46" s="58">
        <v>2.82</v>
      </c>
      <c r="E46" s="58">
        <v>17.3</v>
      </c>
      <c r="F46" s="61">
        <v>6.17</v>
      </c>
    </row>
    <row r="47" spans="1:6" s="45" customFormat="1" ht="40.5">
      <c r="A47" s="50" t="s">
        <v>133</v>
      </c>
      <c r="B47" s="75" t="s">
        <v>662</v>
      </c>
      <c r="C47" s="62">
        <v>0.48</v>
      </c>
      <c r="D47" s="62">
        <v>0.36</v>
      </c>
      <c r="E47" s="62">
        <v>0.5</v>
      </c>
      <c r="F47" s="63">
        <v>0.38</v>
      </c>
    </row>
    <row r="48" spans="1:6" s="45" customFormat="1" ht="24.75" customHeight="1" thickBot="1">
      <c r="A48" s="64" t="s">
        <v>8</v>
      </c>
      <c r="B48" s="65" t="s">
        <v>134</v>
      </c>
      <c r="C48" s="66">
        <f>SUM(C46:C47)</f>
        <v>8.38</v>
      </c>
      <c r="D48" s="66">
        <f>SUM(D46:D47)</f>
        <v>3.18</v>
      </c>
      <c r="E48" s="66">
        <f>SUM(E46:E47)</f>
        <v>17.8</v>
      </c>
      <c r="F48" s="67">
        <f>SUM(F46:F47)</f>
        <v>6.55</v>
      </c>
    </row>
    <row r="49" spans="1:6" s="45" customFormat="1" ht="24.75" customHeight="1" hidden="1">
      <c r="A49" s="1224" t="s">
        <v>135</v>
      </c>
      <c r="B49" s="1213"/>
      <c r="C49" s="1213"/>
      <c r="D49" s="1214"/>
      <c r="E49" s="48"/>
      <c r="F49" s="49"/>
    </row>
    <row r="50" spans="1:6" s="45" customFormat="1" ht="20.25" hidden="1">
      <c r="A50" s="50" t="s">
        <v>136</v>
      </c>
      <c r="B50" s="51"/>
      <c r="C50" s="51"/>
      <c r="D50" s="51"/>
      <c r="E50" s="51"/>
      <c r="F50" s="68"/>
    </row>
    <row r="51" spans="1:6" s="45" customFormat="1" ht="18.75" customHeight="1" hidden="1">
      <c r="A51" s="69" t="s">
        <v>65</v>
      </c>
      <c r="B51" s="70" t="s">
        <v>137</v>
      </c>
      <c r="C51" s="71">
        <v>0</v>
      </c>
      <c r="D51" s="71">
        <v>0</v>
      </c>
      <c r="E51" s="71">
        <v>0</v>
      </c>
      <c r="F51" s="72">
        <v>0</v>
      </c>
    </row>
    <row r="52" spans="1:6" s="45" customFormat="1" ht="34.5" customHeight="1" thickBot="1">
      <c r="A52" s="1225" t="s">
        <v>280</v>
      </c>
      <c r="B52" s="1226"/>
      <c r="C52" s="73">
        <f>(C25+C37+C44+C48)</f>
        <v>86.9</v>
      </c>
      <c r="D52" s="73">
        <f>D25+D37+D44+D48</f>
        <v>47.89</v>
      </c>
      <c r="E52" s="73">
        <f>(E25+E37+E44+E48)</f>
        <v>116.32</v>
      </c>
      <c r="F52" s="74">
        <f>F25+F37+F44+F48</f>
        <v>71.26</v>
      </c>
    </row>
    <row r="53" spans="1:4" s="45" customFormat="1" ht="18.75" customHeight="1">
      <c r="A53" s="1227" t="s">
        <v>509</v>
      </c>
      <c r="B53" s="1227"/>
      <c r="C53" s="1227"/>
      <c r="D53" s="1227"/>
    </row>
    <row r="54" s="45" customFormat="1" ht="20.25"/>
    <row r="55" s="45" customFormat="1" ht="21" customHeight="1">
      <c r="A55" s="45" t="s">
        <v>138</v>
      </c>
    </row>
  </sheetData>
  <sheetProtection/>
  <mergeCells count="21">
    <mergeCell ref="A26:D26"/>
    <mergeCell ref="A38:D38"/>
    <mergeCell ref="A45:D45"/>
    <mergeCell ref="A49:D49"/>
    <mergeCell ref="A52:B52"/>
    <mergeCell ref="A53:D53"/>
    <mergeCell ref="A10:F10"/>
    <mergeCell ref="C12:D12"/>
    <mergeCell ref="E12:F12"/>
    <mergeCell ref="A15:D15"/>
    <mergeCell ref="A12:A14"/>
    <mergeCell ref="B12:B14"/>
    <mergeCell ref="A11:F11"/>
    <mergeCell ref="A1:F1"/>
    <mergeCell ref="A3:F3"/>
    <mergeCell ref="A4:F4"/>
    <mergeCell ref="A5:F5"/>
    <mergeCell ref="A8:F8"/>
    <mergeCell ref="A9:F9"/>
    <mergeCell ref="A6:F6"/>
    <mergeCell ref="B7:F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54" r:id="rId2"/>
  <drawing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I53"/>
  <sheetViews>
    <sheetView view="pageBreakPreview" zoomScale="60" zoomScalePageLayoutView="0" workbookViewId="0" topLeftCell="A1">
      <selection activeCell="L9" sqref="L9"/>
    </sheetView>
  </sheetViews>
  <sheetFormatPr defaultColWidth="9.140625" defaultRowHeight="12.75"/>
  <cols>
    <col min="1" max="1" width="21.57421875" style="80" customWidth="1"/>
    <col min="2" max="7" width="15.7109375" style="80" customWidth="1"/>
    <col min="8" max="8" width="34.00390625" style="80" customWidth="1"/>
    <col min="9" max="16384" width="9.140625" style="80" customWidth="1"/>
  </cols>
  <sheetData>
    <row r="1" spans="1:9" ht="13.5" customHeight="1">
      <c r="A1" s="1264"/>
      <c r="B1" s="1265"/>
      <c r="C1" s="1265"/>
      <c r="D1" s="1265"/>
      <c r="E1" s="1265"/>
      <c r="F1" s="1265"/>
      <c r="G1" s="1265"/>
      <c r="H1" s="1266"/>
      <c r="I1" s="79"/>
    </row>
    <row r="2" spans="1:9" ht="69" customHeight="1">
      <c r="A2" s="81"/>
      <c r="B2" s="682"/>
      <c r="C2" s="682"/>
      <c r="D2" s="682"/>
      <c r="E2" s="682"/>
      <c r="F2" s="682"/>
      <c r="G2" s="682"/>
      <c r="H2" s="82"/>
      <c r="I2" s="83"/>
    </row>
    <row r="3" spans="1:9" ht="19.5" customHeight="1">
      <c r="A3" s="1267" t="s">
        <v>20</v>
      </c>
      <c r="B3" s="1268"/>
      <c r="C3" s="1268"/>
      <c r="D3" s="1268"/>
      <c r="E3" s="1268"/>
      <c r="F3" s="1268"/>
      <c r="G3" s="1268"/>
      <c r="H3" s="1269"/>
      <c r="I3" s="84"/>
    </row>
    <row r="4" spans="1:9" ht="19.5" customHeight="1">
      <c r="A4" s="1270" t="s">
        <v>281</v>
      </c>
      <c r="B4" s="1271"/>
      <c r="C4" s="1271"/>
      <c r="D4" s="1271"/>
      <c r="E4" s="1271"/>
      <c r="F4" s="1271"/>
      <c r="G4" s="1271"/>
      <c r="H4" s="1272"/>
      <c r="I4" s="85"/>
    </row>
    <row r="5" spans="1:9" ht="19.5" customHeight="1">
      <c r="A5" s="1270" t="s">
        <v>19</v>
      </c>
      <c r="B5" s="1271"/>
      <c r="C5" s="1271"/>
      <c r="D5" s="1271"/>
      <c r="E5" s="1271"/>
      <c r="F5" s="1271"/>
      <c r="G5" s="1271"/>
      <c r="H5" s="1272"/>
      <c r="I5" s="86"/>
    </row>
    <row r="6" spans="1:8" ht="21" customHeight="1">
      <c r="A6" s="1276"/>
      <c r="B6" s="1277"/>
      <c r="C6" s="1277"/>
      <c r="D6" s="1277"/>
      <c r="E6" s="1277"/>
      <c r="F6" s="1277"/>
      <c r="G6" s="1277"/>
      <c r="H6" s="1278"/>
    </row>
    <row r="7" spans="1:8" ht="54.75" customHeight="1">
      <c r="A7" s="683" t="s">
        <v>691</v>
      </c>
      <c r="B7" s="1279" t="str">
        <f>'ORÇAMENTO GERAL'!D9</f>
        <v>EXECUÇÃO DOS SERVIÇOS DE DRENAGEM URBANA E TERRAPLENAGEM NA NS. DO CARMO, PASS. KENEDY, PASS. UBIRATAN MACIEL E PASS. ALEGRE - BAIRRO COQUEIRO  - NO MUNICÍPIO DE ANANINDEUA - PA.</v>
      </c>
      <c r="C7" s="1280"/>
      <c r="D7" s="1280"/>
      <c r="E7" s="1280"/>
      <c r="F7" s="1280"/>
      <c r="G7" s="1280"/>
      <c r="H7" s="1281"/>
    </row>
    <row r="8" spans="1:9" s="89" customFormat="1" ht="13.5" customHeight="1" thickBot="1">
      <c r="A8" s="87"/>
      <c r="B8" s="1273"/>
      <c r="C8" s="1273"/>
      <c r="D8" s="1273"/>
      <c r="E8" s="1274"/>
      <c r="F8" s="1274"/>
      <c r="G8" s="1274"/>
      <c r="H8" s="1275"/>
      <c r="I8" s="88"/>
    </row>
    <row r="9" spans="1:8" ht="34.5" customHeight="1" thickBot="1" thickTop="1">
      <c r="A9" s="1248" t="s">
        <v>663</v>
      </c>
      <c r="B9" s="1249"/>
      <c r="C9" s="1249"/>
      <c r="D9" s="1249"/>
      <c r="E9" s="1249"/>
      <c r="F9" s="1249"/>
      <c r="G9" s="1249"/>
      <c r="H9" s="1250"/>
    </row>
    <row r="10" spans="1:8" ht="13.5" customHeight="1" thickTop="1">
      <c r="A10" s="1251"/>
      <c r="B10" s="1252"/>
      <c r="C10" s="1252"/>
      <c r="D10" s="1252"/>
      <c r="E10" s="1252"/>
      <c r="F10" s="1252"/>
      <c r="G10" s="1252"/>
      <c r="H10" s="1253"/>
    </row>
    <row r="11" spans="1:8" ht="60.75">
      <c r="A11" s="1258"/>
      <c r="B11" s="1259"/>
      <c r="C11" s="1259"/>
      <c r="D11" s="1259"/>
      <c r="E11" s="1259"/>
      <c r="F11" s="1259"/>
      <c r="G11" s="1260"/>
      <c r="H11" s="109" t="s">
        <v>257</v>
      </c>
    </row>
    <row r="12" spans="1:8" s="90" customFormat="1" ht="24.75" customHeight="1">
      <c r="A12" s="684">
        <v>1</v>
      </c>
      <c r="B12" s="1239" t="s">
        <v>664</v>
      </c>
      <c r="C12" s="1240"/>
      <c r="D12" s="1240"/>
      <c r="E12" s="1240"/>
      <c r="F12" s="1240"/>
      <c r="G12" s="1241"/>
      <c r="H12" s="685">
        <v>4.01</v>
      </c>
    </row>
    <row r="13" spans="1:8" s="90" customFormat="1" ht="24.75" customHeight="1">
      <c r="A13" s="684">
        <v>2</v>
      </c>
      <c r="B13" s="1239" t="s">
        <v>666</v>
      </c>
      <c r="C13" s="1240"/>
      <c r="D13" s="1240"/>
      <c r="E13" s="1240"/>
      <c r="F13" s="1240"/>
      <c r="G13" s="1241"/>
      <c r="H13" s="685">
        <v>1.11</v>
      </c>
    </row>
    <row r="14" spans="1:8" s="90" customFormat="1" ht="24.75" customHeight="1">
      <c r="A14" s="1242" t="s">
        <v>667</v>
      </c>
      <c r="B14" s="1243"/>
      <c r="C14" s="1243"/>
      <c r="D14" s="1243"/>
      <c r="E14" s="1243"/>
      <c r="F14" s="1243"/>
      <c r="G14" s="1244"/>
      <c r="H14" s="686">
        <f>H12+H13</f>
        <v>5.12</v>
      </c>
    </row>
    <row r="15" spans="1:8" s="90" customFormat="1" ht="24.75" customHeight="1">
      <c r="A15" s="1261" t="s">
        <v>141</v>
      </c>
      <c r="B15" s="1262"/>
      <c r="C15" s="1262"/>
      <c r="D15" s="1262"/>
      <c r="E15" s="1262"/>
      <c r="F15" s="1262"/>
      <c r="G15" s="1262"/>
      <c r="H15" s="1263"/>
    </row>
    <row r="16" spans="1:8" s="90" customFormat="1" ht="24.75" customHeight="1">
      <c r="A16" s="687">
        <v>3</v>
      </c>
      <c r="B16" s="1239" t="s">
        <v>665</v>
      </c>
      <c r="C16" s="1240"/>
      <c r="D16" s="1240"/>
      <c r="E16" s="1240"/>
      <c r="F16" s="1240"/>
      <c r="G16" s="1241"/>
      <c r="H16" s="685">
        <v>0.56</v>
      </c>
    </row>
    <row r="17" spans="1:8" s="90" customFormat="1" ht="24.75" customHeight="1">
      <c r="A17" s="687">
        <v>4</v>
      </c>
      <c r="B17" s="1239" t="s">
        <v>668</v>
      </c>
      <c r="C17" s="1240"/>
      <c r="D17" s="1240"/>
      <c r="E17" s="1240"/>
      <c r="F17" s="1240"/>
      <c r="G17" s="1241"/>
      <c r="H17" s="685">
        <v>0.4</v>
      </c>
    </row>
    <row r="18" spans="1:8" s="90" customFormat="1" ht="24.75" customHeight="1">
      <c r="A18" s="1242" t="s">
        <v>667</v>
      </c>
      <c r="B18" s="1243"/>
      <c r="C18" s="1243"/>
      <c r="D18" s="1243"/>
      <c r="E18" s="1243"/>
      <c r="F18" s="1243"/>
      <c r="G18" s="1244"/>
      <c r="H18" s="686">
        <f>H16+H17</f>
        <v>0.96</v>
      </c>
    </row>
    <row r="19" spans="1:8" s="90" customFormat="1" ht="40.5">
      <c r="A19" s="1245" t="s">
        <v>139</v>
      </c>
      <c r="B19" s="1246"/>
      <c r="C19" s="1246"/>
      <c r="D19" s="1246"/>
      <c r="E19" s="1246"/>
      <c r="F19" s="1246"/>
      <c r="G19" s="1247"/>
      <c r="H19" s="688" t="s">
        <v>140</v>
      </c>
    </row>
    <row r="20" spans="1:8" s="90" customFormat="1" ht="24.75" customHeight="1">
      <c r="A20" s="684">
        <v>5</v>
      </c>
      <c r="B20" s="1239" t="s">
        <v>142</v>
      </c>
      <c r="C20" s="1240"/>
      <c r="D20" s="1240"/>
      <c r="E20" s="1240"/>
      <c r="F20" s="1240"/>
      <c r="G20" s="1241"/>
      <c r="H20" s="689"/>
    </row>
    <row r="21" spans="1:8" s="90" customFormat="1" ht="24.75" customHeight="1">
      <c r="A21" s="684" t="s">
        <v>15</v>
      </c>
      <c r="B21" s="1239" t="s">
        <v>671</v>
      </c>
      <c r="C21" s="1240"/>
      <c r="D21" s="1240"/>
      <c r="E21" s="1240"/>
      <c r="F21" s="1240"/>
      <c r="G21" s="1241"/>
      <c r="H21" s="685">
        <f>H27</f>
        <v>8.15</v>
      </c>
    </row>
    <row r="22" spans="1:8" s="90" customFormat="1" ht="24.75" customHeight="1">
      <c r="A22" s="684" t="s">
        <v>150</v>
      </c>
      <c r="B22" s="1239" t="s">
        <v>673</v>
      </c>
      <c r="C22" s="1240"/>
      <c r="D22" s="1240"/>
      <c r="E22" s="1240"/>
      <c r="F22" s="1240"/>
      <c r="G22" s="1241"/>
      <c r="H22" s="685">
        <v>2.5</v>
      </c>
    </row>
    <row r="23" spans="1:8" s="90" customFormat="1" ht="24.75" customHeight="1">
      <c r="A23" s="1242" t="s">
        <v>667</v>
      </c>
      <c r="B23" s="1243"/>
      <c r="C23" s="1243"/>
      <c r="D23" s="1243"/>
      <c r="E23" s="1243"/>
      <c r="F23" s="1243"/>
      <c r="G23" s="1244"/>
      <c r="H23" s="686">
        <f>H21+H22</f>
        <v>10.65</v>
      </c>
    </row>
    <row r="24" spans="1:8" s="90" customFormat="1" ht="24.75" customHeight="1" thickBot="1">
      <c r="A24" s="690">
        <v>6</v>
      </c>
      <c r="B24" s="1231" t="s">
        <v>669</v>
      </c>
      <c r="C24" s="1232"/>
      <c r="D24" s="1232"/>
      <c r="E24" s="1232"/>
      <c r="F24" s="1232"/>
      <c r="G24" s="1233"/>
      <c r="H24" s="691">
        <v>7.3</v>
      </c>
    </row>
    <row r="25" spans="1:8" s="90" customFormat="1" ht="24.75" customHeight="1">
      <c r="A25" s="113"/>
      <c r="B25" s="113"/>
      <c r="C25" s="113"/>
      <c r="D25" s="113"/>
      <c r="E25" s="113"/>
      <c r="F25" s="113"/>
      <c r="G25" s="113"/>
      <c r="H25" s="114"/>
    </row>
    <row r="26" spans="1:8" s="90" customFormat="1" ht="24.75" customHeight="1">
      <c r="A26" s="1234" t="s">
        <v>670</v>
      </c>
      <c r="B26" s="1234"/>
      <c r="C26" s="1234"/>
      <c r="D26" s="1234"/>
      <c r="E26" s="1234"/>
      <c r="F26" s="1234"/>
      <c r="G26" s="1234"/>
      <c r="H26" s="1234"/>
    </row>
    <row r="27" spans="1:8" s="90" customFormat="1" ht="24.75" customHeight="1">
      <c r="A27" s="110" t="s">
        <v>672</v>
      </c>
      <c r="B27" s="1235" t="s">
        <v>143</v>
      </c>
      <c r="C27" s="1235"/>
      <c r="D27" s="1235"/>
      <c r="E27" s="1235"/>
      <c r="F27" s="1235"/>
      <c r="G27" s="1235"/>
      <c r="H27" s="115">
        <f>H28+H29+H30</f>
        <v>8.15</v>
      </c>
    </row>
    <row r="28" spans="1:8" s="90" customFormat="1" ht="24.75" customHeight="1">
      <c r="A28" s="112" t="s">
        <v>144</v>
      </c>
      <c r="B28" s="1238" t="s">
        <v>145</v>
      </c>
      <c r="C28" s="1238"/>
      <c r="D28" s="1238"/>
      <c r="E28" s="1238"/>
      <c r="F28" s="1238"/>
      <c r="G28" s="1238"/>
      <c r="H28" s="116">
        <v>0.65</v>
      </c>
    </row>
    <row r="29" spans="1:8" s="90" customFormat="1" ht="24.75" customHeight="1">
      <c r="A29" s="112" t="s">
        <v>146</v>
      </c>
      <c r="B29" s="1238" t="s">
        <v>147</v>
      </c>
      <c r="C29" s="1238"/>
      <c r="D29" s="1238"/>
      <c r="E29" s="1238"/>
      <c r="F29" s="1238"/>
      <c r="G29" s="1238"/>
      <c r="H29" s="116">
        <v>3</v>
      </c>
    </row>
    <row r="30" spans="1:8" s="90" customFormat="1" ht="24.75" customHeight="1">
      <c r="A30" s="112" t="s">
        <v>258</v>
      </c>
      <c r="B30" s="1238" t="s">
        <v>259</v>
      </c>
      <c r="C30" s="1238"/>
      <c r="D30" s="1238"/>
      <c r="E30" s="1238"/>
      <c r="F30" s="1238"/>
      <c r="G30" s="1238"/>
      <c r="H30" s="116">
        <v>4.5</v>
      </c>
    </row>
    <row r="31" spans="1:8" s="90" customFormat="1" ht="24.75" customHeight="1">
      <c r="A31" s="1234" t="s">
        <v>260</v>
      </c>
      <c r="B31" s="1234"/>
      <c r="C31" s="1234"/>
      <c r="D31" s="1234"/>
      <c r="E31" s="1234"/>
      <c r="F31" s="1234"/>
      <c r="G31" s="1234"/>
      <c r="H31" s="1234"/>
    </row>
    <row r="32" spans="1:8" s="90" customFormat="1" ht="24.75" customHeight="1">
      <c r="A32" s="110" t="s">
        <v>674</v>
      </c>
      <c r="B32" s="1235" t="s">
        <v>148</v>
      </c>
      <c r="C32" s="1235"/>
      <c r="D32" s="1235"/>
      <c r="E32" s="1235"/>
      <c r="F32" s="1235"/>
      <c r="G32" s="1235"/>
      <c r="H32" s="115">
        <f>H33</f>
        <v>2.5</v>
      </c>
    </row>
    <row r="33" spans="1:8" s="90" customFormat="1" ht="24.75" customHeight="1">
      <c r="A33" s="112" t="s">
        <v>149</v>
      </c>
      <c r="B33" s="1238" t="s">
        <v>145</v>
      </c>
      <c r="C33" s="1238"/>
      <c r="D33" s="1238"/>
      <c r="E33" s="1238"/>
      <c r="F33" s="1238"/>
      <c r="G33" s="1238"/>
      <c r="H33" s="111">
        <v>2.5</v>
      </c>
    </row>
    <row r="34" spans="1:8" ht="24.75" customHeight="1">
      <c r="A34" s="93"/>
      <c r="B34" s="94"/>
      <c r="C34" s="94"/>
      <c r="D34" s="94"/>
      <c r="E34" s="94"/>
      <c r="F34" s="94"/>
      <c r="G34" s="94"/>
      <c r="H34" s="95"/>
    </row>
    <row r="35" spans="1:8" ht="24.75" customHeight="1">
      <c r="A35" s="1228" t="s">
        <v>659</v>
      </c>
      <c r="B35" s="1229"/>
      <c r="C35" s="1229"/>
      <c r="D35" s="1229"/>
      <c r="E35" s="1229"/>
      <c r="F35" s="1229"/>
      <c r="G35" s="1229"/>
      <c r="H35" s="1230"/>
    </row>
    <row r="36" spans="1:8" ht="21.75" customHeight="1">
      <c r="A36" s="93" t="s">
        <v>261</v>
      </c>
      <c r="B36" s="94"/>
      <c r="C36" s="96">
        <f>H12/100</f>
        <v>0.0401</v>
      </c>
      <c r="D36" s="94"/>
      <c r="E36" s="94"/>
      <c r="F36" s="94" t="s">
        <v>261</v>
      </c>
      <c r="G36" s="94"/>
      <c r="H36" s="97">
        <f>C36</f>
        <v>0.0401</v>
      </c>
    </row>
    <row r="37" spans="1:8" ht="21.75" customHeight="1">
      <c r="A37" s="93" t="s">
        <v>262</v>
      </c>
      <c r="B37" s="94"/>
      <c r="C37" s="96">
        <f>H17/100</f>
        <v>0.004</v>
      </c>
      <c r="D37" s="94"/>
      <c r="E37" s="94"/>
      <c r="F37" s="94" t="s">
        <v>262</v>
      </c>
      <c r="G37" s="94"/>
      <c r="H37" s="97">
        <f>C37</f>
        <v>0.004</v>
      </c>
    </row>
    <row r="38" spans="1:8" ht="21.75" customHeight="1">
      <c r="A38" s="93" t="s">
        <v>263</v>
      </c>
      <c r="B38" s="94"/>
      <c r="C38" s="96">
        <f>H16/100</f>
        <v>0.0056</v>
      </c>
      <c r="D38" s="94"/>
      <c r="E38" s="94"/>
      <c r="F38" s="94" t="s">
        <v>263</v>
      </c>
      <c r="G38" s="94"/>
      <c r="H38" s="97">
        <f>C38</f>
        <v>0.0056</v>
      </c>
    </row>
    <row r="39" spans="1:8" ht="21.75" customHeight="1">
      <c r="A39" s="93" t="s">
        <v>264</v>
      </c>
      <c r="B39" s="94"/>
      <c r="C39" s="98">
        <f>1+C36+C37+C38</f>
        <v>1.0497</v>
      </c>
      <c r="D39" s="94" t="s">
        <v>675</v>
      </c>
      <c r="E39" s="118" t="s">
        <v>675</v>
      </c>
      <c r="F39" s="94" t="s">
        <v>264</v>
      </c>
      <c r="G39" s="94"/>
      <c r="H39" s="99">
        <f>1+H36+H37+H38</f>
        <v>1.0497</v>
      </c>
    </row>
    <row r="40" spans="1:8" ht="21.75" customHeight="1">
      <c r="A40" s="93" t="s">
        <v>265</v>
      </c>
      <c r="B40" s="94"/>
      <c r="C40" s="96">
        <f>H13/100</f>
        <v>0.0111</v>
      </c>
      <c r="D40" s="94"/>
      <c r="E40" s="118"/>
      <c r="F40" s="94" t="s">
        <v>265</v>
      </c>
      <c r="G40" s="94"/>
      <c r="H40" s="97">
        <f>C40</f>
        <v>0.0111</v>
      </c>
    </row>
    <row r="41" spans="1:8" ht="21.75" customHeight="1">
      <c r="A41" s="93" t="s">
        <v>266</v>
      </c>
      <c r="B41" s="94"/>
      <c r="C41" s="98">
        <f>1+C40</f>
        <v>1.0111</v>
      </c>
      <c r="D41" s="94" t="s">
        <v>676</v>
      </c>
      <c r="E41" s="118" t="s">
        <v>676</v>
      </c>
      <c r="F41" s="94" t="s">
        <v>266</v>
      </c>
      <c r="G41" s="94"/>
      <c r="H41" s="99">
        <f>1+H40</f>
        <v>1.0111</v>
      </c>
    </row>
    <row r="42" spans="1:8" ht="21.75" customHeight="1">
      <c r="A42" s="93" t="s">
        <v>233</v>
      </c>
      <c r="B42" s="94"/>
      <c r="C42" s="96">
        <f>H24/100</f>
        <v>0.073</v>
      </c>
      <c r="D42" s="94"/>
      <c r="E42" s="118"/>
      <c r="F42" s="94" t="s">
        <v>233</v>
      </c>
      <c r="G42" s="94"/>
      <c r="H42" s="97">
        <f>C42</f>
        <v>0.073</v>
      </c>
    </row>
    <row r="43" spans="1:8" ht="21.75" customHeight="1">
      <c r="A43" s="93" t="s">
        <v>267</v>
      </c>
      <c r="B43" s="94"/>
      <c r="C43" s="98">
        <f>1+C42</f>
        <v>1.073</v>
      </c>
      <c r="D43" s="117" t="s">
        <v>677</v>
      </c>
      <c r="E43" s="119" t="s">
        <v>677</v>
      </c>
      <c r="F43" s="94" t="s">
        <v>267</v>
      </c>
      <c r="G43" s="94"/>
      <c r="H43" s="99">
        <f>1+H42</f>
        <v>1.073</v>
      </c>
    </row>
    <row r="44" spans="1:8" ht="21.75" customHeight="1">
      <c r="A44" s="93"/>
      <c r="B44" s="94"/>
      <c r="C44" s="94"/>
      <c r="D44" s="94"/>
      <c r="E44" s="118"/>
      <c r="F44" s="94"/>
      <c r="G44" s="94"/>
      <c r="H44" s="95"/>
    </row>
    <row r="45" spans="1:8" ht="21.75" customHeight="1">
      <c r="A45" s="93" t="s">
        <v>268</v>
      </c>
      <c r="B45" s="94"/>
      <c r="C45" s="96">
        <f>H23/100</f>
        <v>0.1065</v>
      </c>
      <c r="D45" s="94"/>
      <c r="E45" s="118"/>
      <c r="F45" s="94" t="s">
        <v>679</v>
      </c>
      <c r="G45" s="94"/>
      <c r="H45" s="97">
        <f>C45-(H30/100)</f>
        <v>0.0615</v>
      </c>
    </row>
    <row r="46" spans="1:8" ht="21.75" customHeight="1">
      <c r="A46" s="93" t="s">
        <v>269</v>
      </c>
      <c r="B46" s="94"/>
      <c r="C46" s="98">
        <f>1-C45</f>
        <v>0.8935</v>
      </c>
      <c r="D46" s="94" t="s">
        <v>678</v>
      </c>
      <c r="E46" s="118" t="s">
        <v>678</v>
      </c>
      <c r="F46" s="94" t="s">
        <v>269</v>
      </c>
      <c r="G46" s="94"/>
      <c r="H46" s="99">
        <f>1-H45</f>
        <v>0.9385</v>
      </c>
    </row>
    <row r="47" spans="1:8" ht="21.75" customHeight="1">
      <c r="A47" s="93"/>
      <c r="B47" s="94"/>
      <c r="C47" s="94"/>
      <c r="D47" s="94"/>
      <c r="E47" s="94"/>
      <c r="F47" s="94"/>
      <c r="G47" s="94"/>
      <c r="H47" s="95"/>
    </row>
    <row r="48" spans="1:8" ht="21.75" customHeight="1">
      <c r="A48" s="1236"/>
      <c r="B48" s="1237"/>
      <c r="C48" s="1237"/>
      <c r="D48" s="94"/>
      <c r="E48" s="94"/>
      <c r="F48" s="94"/>
      <c r="G48" s="94"/>
      <c r="H48" s="95"/>
    </row>
    <row r="49" spans="1:8" ht="21.75" customHeight="1">
      <c r="A49" s="93"/>
      <c r="B49" s="94"/>
      <c r="C49" s="94"/>
      <c r="D49" s="94"/>
      <c r="E49" s="94"/>
      <c r="F49" s="94"/>
      <c r="G49" s="94"/>
      <c r="H49" s="95"/>
    </row>
    <row r="50" spans="1:8" s="90" customFormat="1" ht="21.75" customHeight="1">
      <c r="A50" s="100" t="s">
        <v>270</v>
      </c>
      <c r="B50" s="101"/>
      <c r="C50" s="102">
        <f>(C39*C41*C43)/C46-1</f>
        <v>0.2746</v>
      </c>
      <c r="D50" s="92"/>
      <c r="E50" s="92"/>
      <c r="F50" s="103"/>
      <c r="G50" s="104"/>
      <c r="H50" s="105">
        <f>(H39*H41*H43)/H46-1</f>
        <v>0.2135</v>
      </c>
    </row>
    <row r="51" spans="1:8" s="90" customFormat="1" ht="21.75" customHeight="1">
      <c r="A51" s="91"/>
      <c r="B51" s="92"/>
      <c r="C51" s="92"/>
      <c r="D51" s="92"/>
      <c r="E51" s="92"/>
      <c r="F51" s="92"/>
      <c r="G51" s="92"/>
      <c r="H51" s="106" t="s">
        <v>271</v>
      </c>
    </row>
    <row r="52" spans="1:8" ht="15" customHeight="1">
      <c r="A52" s="93"/>
      <c r="B52" s="94"/>
      <c r="C52" s="94"/>
      <c r="D52" s="94"/>
      <c r="E52" s="94"/>
      <c r="F52" s="1254" t="s">
        <v>272</v>
      </c>
      <c r="G52" s="1254"/>
      <c r="H52" s="1255"/>
    </row>
    <row r="53" spans="1:8" ht="21" thickBot="1">
      <c r="A53" s="107"/>
      <c r="B53" s="108"/>
      <c r="C53" s="108"/>
      <c r="D53" s="108"/>
      <c r="E53" s="108"/>
      <c r="F53" s="1256"/>
      <c r="G53" s="1256"/>
      <c r="H53" s="1257"/>
    </row>
  </sheetData>
  <sheetProtection/>
  <mergeCells count="35">
    <mergeCell ref="A1:H1"/>
    <mergeCell ref="A3:H3"/>
    <mergeCell ref="A4:H4"/>
    <mergeCell ref="A5:H5"/>
    <mergeCell ref="B8:D8"/>
    <mergeCell ref="E8:H8"/>
    <mergeCell ref="A6:H6"/>
    <mergeCell ref="B7:H7"/>
    <mergeCell ref="B12:G12"/>
    <mergeCell ref="B13:G13"/>
    <mergeCell ref="A9:H9"/>
    <mergeCell ref="A10:H10"/>
    <mergeCell ref="F52:H53"/>
    <mergeCell ref="B21:G21"/>
    <mergeCell ref="A11:G11"/>
    <mergeCell ref="A14:G14"/>
    <mergeCell ref="A15:H15"/>
    <mergeCell ref="B33:G33"/>
    <mergeCell ref="B16:G16"/>
    <mergeCell ref="B17:G17"/>
    <mergeCell ref="A18:G18"/>
    <mergeCell ref="B22:G22"/>
    <mergeCell ref="B20:G20"/>
    <mergeCell ref="A23:G23"/>
    <mergeCell ref="A19:G19"/>
    <mergeCell ref="A35:H35"/>
    <mergeCell ref="B24:G24"/>
    <mergeCell ref="A26:H26"/>
    <mergeCell ref="B27:G27"/>
    <mergeCell ref="A48:C48"/>
    <mergeCell ref="B28:G28"/>
    <mergeCell ref="B29:G29"/>
    <mergeCell ref="B30:G30"/>
    <mergeCell ref="A31:H31"/>
    <mergeCell ref="B32:G32"/>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55" r:id="rId2"/>
  <drawing r:id="rId1"/>
</worksheet>
</file>

<file path=xl/worksheets/sheet16.xml><?xml version="1.0" encoding="utf-8"?>
<worksheet xmlns="http://schemas.openxmlformats.org/spreadsheetml/2006/main" xmlns:r="http://schemas.openxmlformats.org/officeDocument/2006/relationships">
  <sheetPr>
    <tabColor theme="7" tint="0.39998000860214233"/>
    <pageSetUpPr fitToPage="1"/>
  </sheetPr>
  <dimension ref="A1:J47"/>
  <sheetViews>
    <sheetView view="pageBreakPreview" zoomScale="115" zoomScaleNormal="115" zoomScaleSheetLayoutView="115" zoomScalePageLayoutView="0" workbookViewId="0" topLeftCell="A28">
      <selection activeCell="A9" sqref="A9:G9"/>
    </sheetView>
  </sheetViews>
  <sheetFormatPr defaultColWidth="9.140625" defaultRowHeight="12.75"/>
  <cols>
    <col min="1" max="1" width="7.7109375" style="203" customWidth="1"/>
    <col min="2" max="2" width="10.7109375" style="203" customWidth="1"/>
    <col min="3" max="3" width="42.7109375" style="203" customWidth="1"/>
    <col min="4" max="7" width="11.7109375" style="203" customWidth="1"/>
    <col min="8" max="8" width="11.7109375" style="202" customWidth="1"/>
    <col min="9" max="9" width="9.140625" style="202" customWidth="1"/>
    <col min="10" max="16384" width="9.140625" style="203" customWidth="1"/>
  </cols>
  <sheetData>
    <row r="1" spans="1:8" ht="10.5">
      <c r="A1" s="198"/>
      <c r="B1" s="199"/>
      <c r="C1" s="199"/>
      <c r="D1" s="199"/>
      <c r="E1" s="199"/>
      <c r="F1" s="199"/>
      <c r="G1" s="200"/>
      <c r="H1" s="201"/>
    </row>
    <row r="2" spans="1:8" ht="45.75" customHeight="1">
      <c r="A2" s="260"/>
      <c r="B2" s="261"/>
      <c r="C2" s="261"/>
      <c r="D2" s="261"/>
      <c r="E2" s="261"/>
      <c r="F2" s="261"/>
      <c r="G2" s="262"/>
      <c r="H2" s="201"/>
    </row>
    <row r="3" spans="1:9" s="208" customFormat="1" ht="13.5" customHeight="1">
      <c r="A3" s="1282" t="s">
        <v>20</v>
      </c>
      <c r="B3" s="1283"/>
      <c r="C3" s="1283"/>
      <c r="D3" s="1283"/>
      <c r="E3" s="1283"/>
      <c r="F3" s="1283"/>
      <c r="G3" s="1284"/>
      <c r="H3" s="204"/>
      <c r="I3" s="202"/>
    </row>
    <row r="4" spans="1:9" s="208" customFormat="1" ht="13.5" customHeight="1">
      <c r="A4" s="1285" t="s">
        <v>194</v>
      </c>
      <c r="B4" s="1286"/>
      <c r="C4" s="1286"/>
      <c r="D4" s="1286"/>
      <c r="E4" s="1286"/>
      <c r="F4" s="1286"/>
      <c r="G4" s="1287"/>
      <c r="H4" s="204"/>
      <c r="I4" s="202"/>
    </row>
    <row r="5" spans="1:9" s="208" customFormat="1" ht="13.5" customHeight="1">
      <c r="A5" s="1285" t="s">
        <v>19</v>
      </c>
      <c r="B5" s="1286"/>
      <c r="C5" s="1286"/>
      <c r="D5" s="1286"/>
      <c r="E5" s="1286"/>
      <c r="F5" s="1286"/>
      <c r="G5" s="1287"/>
      <c r="H5" s="204"/>
      <c r="I5" s="202"/>
    </row>
    <row r="6" spans="1:8" ht="11.25" thickBot="1">
      <c r="A6" s="1288"/>
      <c r="B6" s="1289"/>
      <c r="C6" s="1289"/>
      <c r="D6" s="1289"/>
      <c r="E6" s="1289"/>
      <c r="F6" s="1289"/>
      <c r="G6" s="1290"/>
      <c r="H6" s="204"/>
    </row>
    <row r="7" spans="1:8" ht="11.25" thickTop="1">
      <c r="A7" s="1303" t="s">
        <v>656</v>
      </c>
      <c r="B7" s="483" t="s">
        <v>704</v>
      </c>
      <c r="C7" s="1305" t="s">
        <v>680</v>
      </c>
      <c r="D7" s="1306"/>
      <c r="E7" s="1306"/>
      <c r="F7" s="1306"/>
      <c r="G7" s="484" t="s">
        <v>703</v>
      </c>
      <c r="H7" s="205"/>
    </row>
    <row r="8" spans="1:8" ht="11.25" thickBot="1">
      <c r="A8" s="1304"/>
      <c r="B8" s="482">
        <v>44896</v>
      </c>
      <c r="C8" s="1307"/>
      <c r="D8" s="1308"/>
      <c r="E8" s="1308"/>
      <c r="F8" s="1308"/>
      <c r="G8" s="259" t="s">
        <v>31</v>
      </c>
      <c r="H8" s="205"/>
    </row>
    <row r="9" spans="1:8" ht="27" customHeight="1" thickTop="1">
      <c r="A9" s="1300" t="str">
        <f>'ORÇAMENTO GERAL'!D9</f>
        <v>EXECUÇÃO DOS SERVIÇOS DE DRENAGEM URBANA E TERRAPLENAGEM NA NS. DO CARMO, PASS. KENEDY, PASS. UBIRATAN MACIEL E PASS. ALEGRE - BAIRRO COQUEIRO  - NO MUNICÍPIO DE ANANINDEUA - PA.</v>
      </c>
      <c r="B9" s="1301"/>
      <c r="C9" s="1301"/>
      <c r="D9" s="1301"/>
      <c r="E9" s="1301"/>
      <c r="F9" s="1301"/>
      <c r="G9" s="1302"/>
      <c r="H9" s="205"/>
    </row>
    <row r="10" spans="1:9" s="208" customFormat="1" ht="19.5" customHeight="1">
      <c r="A10" s="268" t="s">
        <v>39</v>
      </c>
      <c r="B10" s="269" t="s">
        <v>282</v>
      </c>
      <c r="C10" s="270" t="s">
        <v>40</v>
      </c>
      <c r="D10" s="269" t="s">
        <v>41</v>
      </c>
      <c r="E10" s="270" t="s">
        <v>158</v>
      </c>
      <c r="F10" s="271" t="s">
        <v>42</v>
      </c>
      <c r="G10" s="272" t="s">
        <v>43</v>
      </c>
      <c r="H10" s="228"/>
      <c r="I10" s="202"/>
    </row>
    <row r="11" spans="1:10" s="208" customFormat="1" ht="15.75" customHeight="1">
      <c r="A11" s="1297" t="s">
        <v>38</v>
      </c>
      <c r="B11" s="1298"/>
      <c r="C11" s="1298"/>
      <c r="D11" s="1298"/>
      <c r="E11" s="1298"/>
      <c r="F11" s="1298"/>
      <c r="G11" s="1299"/>
      <c r="H11" s="206"/>
      <c r="I11" s="202">
        <v>1.28</v>
      </c>
      <c r="J11" s="207">
        <f>G44</f>
        <v>865.82</v>
      </c>
    </row>
    <row r="12" spans="1:9" s="208" customFormat="1" ht="19.5" customHeight="1">
      <c r="A12" s="213">
        <v>1</v>
      </c>
      <c r="B12" s="214" t="s">
        <v>186</v>
      </c>
      <c r="C12" s="215" t="s">
        <v>168</v>
      </c>
      <c r="D12" s="216" t="s">
        <v>46</v>
      </c>
      <c r="E12" s="217">
        <v>0.0134</v>
      </c>
      <c r="F12" s="218">
        <v>21.09</v>
      </c>
      <c r="G12" s="219">
        <f>ROUND(E12*F12,2)</f>
        <v>0.28</v>
      </c>
      <c r="H12" s="220">
        <v>0.0134</v>
      </c>
      <c r="I12" s="202">
        <f>$I$11</f>
        <v>1.28</v>
      </c>
    </row>
    <row r="13" spans="1:9" s="208" customFormat="1" ht="19.5" customHeight="1">
      <c r="A13" s="213">
        <v>2</v>
      </c>
      <c r="B13" s="214" t="s">
        <v>185</v>
      </c>
      <c r="C13" s="215" t="s">
        <v>169</v>
      </c>
      <c r="D13" s="216" t="s">
        <v>46</v>
      </c>
      <c r="E13" s="217">
        <v>0.035</v>
      </c>
      <c r="F13" s="218">
        <v>21.76</v>
      </c>
      <c r="G13" s="219">
        <f>ROUND(E13*F13,2)</f>
        <v>0.76</v>
      </c>
      <c r="H13" s="220">
        <v>0.035</v>
      </c>
      <c r="I13" s="202">
        <f aca="true" t="shared" si="0" ref="I13:I37">$I$11</f>
        <v>1.28</v>
      </c>
    </row>
    <row r="14" spans="1:9" s="208" customFormat="1" ht="19.5" customHeight="1">
      <c r="A14" s="213">
        <v>3</v>
      </c>
      <c r="B14" s="214" t="s">
        <v>47</v>
      </c>
      <c r="C14" s="215" t="s">
        <v>170</v>
      </c>
      <c r="D14" s="216" t="s">
        <v>46</v>
      </c>
      <c r="E14" s="217">
        <v>0.1067</v>
      </c>
      <c r="F14" s="218">
        <v>19.21</v>
      </c>
      <c r="G14" s="219">
        <f>ROUND(E14*F14,2)</f>
        <v>2.05</v>
      </c>
      <c r="H14" s="220">
        <v>0.1067</v>
      </c>
      <c r="I14" s="202">
        <f t="shared" si="0"/>
        <v>1.28</v>
      </c>
    </row>
    <row r="15" spans="1:9" s="208" customFormat="1" ht="19.5" customHeight="1">
      <c r="A15" s="221">
        <v>4</v>
      </c>
      <c r="B15" s="222">
        <v>88314</v>
      </c>
      <c r="C15" s="223" t="s">
        <v>173</v>
      </c>
      <c r="D15" s="224" t="s">
        <v>46</v>
      </c>
      <c r="E15" s="225">
        <v>1.1301</v>
      </c>
      <c r="F15" s="226">
        <v>17.91</v>
      </c>
      <c r="G15" s="219">
        <f>ROUND(E15*F15,2)</f>
        <v>20.24</v>
      </c>
      <c r="H15" s="220">
        <v>1.1301</v>
      </c>
      <c r="I15" s="202">
        <f t="shared" si="0"/>
        <v>1.28</v>
      </c>
    </row>
    <row r="16" spans="1:9" s="208" customFormat="1" ht="15.75" customHeight="1">
      <c r="A16" s="1309" t="s">
        <v>48</v>
      </c>
      <c r="B16" s="1309"/>
      <c r="C16" s="1309"/>
      <c r="D16" s="1309"/>
      <c r="E16" s="1309"/>
      <c r="F16" s="1309"/>
      <c r="G16" s="273">
        <f>SUM(G12:G15)</f>
        <v>23.33</v>
      </c>
      <c r="H16" s="227"/>
      <c r="I16" s="202"/>
    </row>
    <row r="17" spans="1:9" s="208" customFormat="1" ht="15.75" customHeight="1">
      <c r="A17" s="1297" t="s">
        <v>49</v>
      </c>
      <c r="B17" s="1298"/>
      <c r="C17" s="1298"/>
      <c r="D17" s="1298"/>
      <c r="E17" s="1298"/>
      <c r="F17" s="1298"/>
      <c r="G17" s="1299"/>
      <c r="H17" s="206"/>
      <c r="I17" s="202"/>
    </row>
    <row r="18" spans="1:9" s="208" customFormat="1" ht="19.5" customHeight="1">
      <c r="A18" s="213">
        <v>1</v>
      </c>
      <c r="B18" s="229">
        <v>5944</v>
      </c>
      <c r="C18" s="230" t="s">
        <v>161</v>
      </c>
      <c r="D18" s="216" t="s">
        <v>181</v>
      </c>
      <c r="E18" s="217">
        <v>0.035</v>
      </c>
      <c r="F18" s="218">
        <v>254.53</v>
      </c>
      <c r="G18" s="219">
        <f>ROUND(E18*F18,2)</f>
        <v>8.91</v>
      </c>
      <c r="H18" s="220">
        <v>0.035</v>
      </c>
      <c r="I18" s="202">
        <f t="shared" si="0"/>
        <v>1.28</v>
      </c>
    </row>
    <row r="19" spans="1:9" s="208" customFormat="1" ht="19.5" customHeight="1">
      <c r="A19" s="213">
        <v>2</v>
      </c>
      <c r="B19" s="229">
        <v>7030</v>
      </c>
      <c r="C19" s="230" t="s">
        <v>162</v>
      </c>
      <c r="D19" s="216" t="s">
        <v>181</v>
      </c>
      <c r="E19" s="217">
        <v>0.0134</v>
      </c>
      <c r="F19" s="218">
        <v>299.09</v>
      </c>
      <c r="G19" s="219">
        <f aca="true" t="shared" si="1" ref="G19:G30">ROUND(E19*F19,2)</f>
        <v>4.01</v>
      </c>
      <c r="H19" s="220">
        <v>0.0134</v>
      </c>
      <c r="I19" s="202">
        <f t="shared" si="0"/>
        <v>1.28</v>
      </c>
    </row>
    <row r="20" spans="1:9" s="208" customFormat="1" ht="19.5" customHeight="1">
      <c r="A20" s="213">
        <v>3</v>
      </c>
      <c r="B20" s="229">
        <v>93433</v>
      </c>
      <c r="C20" s="230" t="s">
        <v>164</v>
      </c>
      <c r="D20" s="216" t="s">
        <v>181</v>
      </c>
      <c r="E20" s="217">
        <v>0.0134</v>
      </c>
      <c r="F20" s="218">
        <v>2820.43</v>
      </c>
      <c r="G20" s="219">
        <f t="shared" si="1"/>
        <v>37.79</v>
      </c>
      <c r="H20" s="220">
        <v>0.0134</v>
      </c>
      <c r="I20" s="202">
        <f t="shared" si="0"/>
        <v>1.28</v>
      </c>
    </row>
    <row r="21" spans="1:9" s="208" customFormat="1" ht="19.5" customHeight="1">
      <c r="A21" s="213">
        <v>4</v>
      </c>
      <c r="B21" s="229">
        <v>95872</v>
      </c>
      <c r="C21" s="230" t="s">
        <v>165</v>
      </c>
      <c r="D21" s="216" t="s">
        <v>181</v>
      </c>
      <c r="E21" s="217">
        <v>0.0134</v>
      </c>
      <c r="F21" s="218">
        <v>327.23</v>
      </c>
      <c r="G21" s="219">
        <f t="shared" si="1"/>
        <v>4.38</v>
      </c>
      <c r="H21" s="220">
        <v>0.0134</v>
      </c>
      <c r="I21" s="202">
        <f t="shared" si="0"/>
        <v>1.28</v>
      </c>
    </row>
    <row r="22" spans="1:9" s="208" customFormat="1" ht="19.5" customHeight="1">
      <c r="A22" s="213">
        <v>5</v>
      </c>
      <c r="B22" s="229">
        <v>5835</v>
      </c>
      <c r="C22" s="230" t="s">
        <v>171</v>
      </c>
      <c r="D22" s="216" t="s">
        <v>181</v>
      </c>
      <c r="E22" s="217">
        <v>0.0464</v>
      </c>
      <c r="F22" s="218">
        <v>393.41</v>
      </c>
      <c r="G22" s="219">
        <f t="shared" si="1"/>
        <v>18.25</v>
      </c>
      <c r="H22" s="220">
        <v>0.0464</v>
      </c>
      <c r="I22" s="202">
        <f t="shared" si="0"/>
        <v>1.28</v>
      </c>
    </row>
    <row r="23" spans="1:9" s="208" customFormat="1" ht="19.5" customHeight="1">
      <c r="A23" s="213">
        <v>6</v>
      </c>
      <c r="B23" s="229">
        <v>5837</v>
      </c>
      <c r="C23" s="230" t="s">
        <v>172</v>
      </c>
      <c r="D23" s="216" t="s">
        <v>183</v>
      </c>
      <c r="E23" s="217">
        <v>0.0949</v>
      </c>
      <c r="F23" s="218">
        <v>137.78</v>
      </c>
      <c r="G23" s="219">
        <f t="shared" si="1"/>
        <v>13.08</v>
      </c>
      <c r="H23" s="220">
        <v>0.0949</v>
      </c>
      <c r="I23" s="202">
        <f t="shared" si="0"/>
        <v>1.28</v>
      </c>
    </row>
    <row r="24" spans="1:9" s="208" customFormat="1" ht="19.5" customHeight="1">
      <c r="A24" s="213">
        <v>7</v>
      </c>
      <c r="B24" s="229">
        <v>91386</v>
      </c>
      <c r="C24" s="230" t="s">
        <v>174</v>
      </c>
      <c r="D24" s="216" t="s">
        <v>181</v>
      </c>
      <c r="E24" s="217">
        <v>0.0464</v>
      </c>
      <c r="F24" s="218">
        <v>258.65</v>
      </c>
      <c r="G24" s="219">
        <f t="shared" si="1"/>
        <v>12</v>
      </c>
      <c r="H24" s="220">
        <v>0.0464</v>
      </c>
      <c r="I24" s="202">
        <f t="shared" si="0"/>
        <v>1.28</v>
      </c>
    </row>
    <row r="25" spans="1:9" s="208" customFormat="1" ht="19.5" customHeight="1">
      <c r="A25" s="213">
        <v>8</v>
      </c>
      <c r="B25" s="229">
        <v>95631</v>
      </c>
      <c r="C25" s="230" t="s">
        <v>175</v>
      </c>
      <c r="D25" s="216" t="s">
        <v>181</v>
      </c>
      <c r="E25" s="217">
        <v>0.0805</v>
      </c>
      <c r="F25" s="218">
        <v>238.14</v>
      </c>
      <c r="G25" s="219">
        <f t="shared" si="1"/>
        <v>19.17</v>
      </c>
      <c r="H25" s="220">
        <v>0.0805</v>
      </c>
      <c r="I25" s="202">
        <f t="shared" si="0"/>
        <v>1.28</v>
      </c>
    </row>
    <row r="26" spans="1:9" s="208" customFormat="1" ht="19.5" customHeight="1">
      <c r="A26" s="213">
        <v>9</v>
      </c>
      <c r="B26" s="229">
        <v>95632</v>
      </c>
      <c r="C26" s="230" t="s">
        <v>176</v>
      </c>
      <c r="D26" s="216" t="s">
        <v>183</v>
      </c>
      <c r="E26" s="217">
        <v>0.0607</v>
      </c>
      <c r="F26" s="218">
        <v>76.92</v>
      </c>
      <c r="G26" s="219">
        <f t="shared" si="1"/>
        <v>4.67</v>
      </c>
      <c r="H26" s="220">
        <v>0.0607</v>
      </c>
      <c r="I26" s="202">
        <f t="shared" si="0"/>
        <v>1.28</v>
      </c>
    </row>
    <row r="27" spans="1:9" s="208" customFormat="1" ht="19.5" customHeight="1">
      <c r="A27" s="213">
        <v>10</v>
      </c>
      <c r="B27" s="229">
        <v>96155</v>
      </c>
      <c r="C27" s="230" t="s">
        <v>177</v>
      </c>
      <c r="D27" s="216" t="s">
        <v>183</v>
      </c>
      <c r="E27" s="217">
        <v>0.1071</v>
      </c>
      <c r="F27" s="218">
        <v>43.15</v>
      </c>
      <c r="G27" s="219">
        <f t="shared" si="1"/>
        <v>4.62</v>
      </c>
      <c r="H27" s="220">
        <v>0.1071</v>
      </c>
      <c r="I27" s="202">
        <f t="shared" si="0"/>
        <v>1.28</v>
      </c>
    </row>
    <row r="28" spans="1:9" s="208" customFormat="1" ht="19.5" customHeight="1">
      <c r="A28" s="213">
        <v>11</v>
      </c>
      <c r="B28" s="229">
        <v>96157</v>
      </c>
      <c r="C28" s="230" t="s">
        <v>178</v>
      </c>
      <c r="D28" s="216" t="s">
        <v>181</v>
      </c>
      <c r="E28" s="217">
        <v>0.0341</v>
      </c>
      <c r="F28" s="218">
        <v>139.63</v>
      </c>
      <c r="G28" s="219">
        <f t="shared" si="1"/>
        <v>4.76</v>
      </c>
      <c r="H28" s="220">
        <v>0.0341</v>
      </c>
      <c r="I28" s="202">
        <f t="shared" si="0"/>
        <v>1.28</v>
      </c>
    </row>
    <row r="29" spans="1:9" s="208" customFormat="1" ht="19.5" customHeight="1">
      <c r="A29" s="213">
        <v>12</v>
      </c>
      <c r="B29" s="229">
        <v>96463</v>
      </c>
      <c r="C29" s="230" t="s">
        <v>179</v>
      </c>
      <c r="D29" s="216" t="s">
        <v>181</v>
      </c>
      <c r="E29" s="217">
        <v>0.0419</v>
      </c>
      <c r="F29" s="218">
        <v>222.28</v>
      </c>
      <c r="G29" s="219">
        <f t="shared" si="1"/>
        <v>9.31</v>
      </c>
      <c r="H29" s="220">
        <v>0.0419</v>
      </c>
      <c r="I29" s="202">
        <f t="shared" si="0"/>
        <v>1.28</v>
      </c>
    </row>
    <row r="30" spans="1:9" s="208" customFormat="1" ht="19.5" customHeight="1">
      <c r="A30" s="221">
        <v>13</v>
      </c>
      <c r="B30" s="222">
        <v>96464</v>
      </c>
      <c r="C30" s="231" t="s">
        <v>180</v>
      </c>
      <c r="D30" s="224" t="s">
        <v>183</v>
      </c>
      <c r="E30" s="225">
        <v>0.099</v>
      </c>
      <c r="F30" s="226">
        <v>82.97</v>
      </c>
      <c r="G30" s="219">
        <f t="shared" si="1"/>
        <v>8.21</v>
      </c>
      <c r="H30" s="220">
        <v>0.099</v>
      </c>
      <c r="I30" s="202">
        <f t="shared" si="0"/>
        <v>1.28</v>
      </c>
    </row>
    <row r="31" spans="1:9" s="208" customFormat="1" ht="15.75" customHeight="1">
      <c r="A31" s="1309" t="s">
        <v>50</v>
      </c>
      <c r="B31" s="1309"/>
      <c r="C31" s="1309"/>
      <c r="D31" s="1309"/>
      <c r="E31" s="1309"/>
      <c r="F31" s="1309"/>
      <c r="G31" s="273">
        <f>SUM(G18:G30)</f>
        <v>149.16</v>
      </c>
      <c r="H31" s="227"/>
      <c r="I31" s="202"/>
    </row>
    <row r="32" spans="1:9" s="208" customFormat="1" ht="15.75" customHeight="1">
      <c r="A32" s="1310" t="s">
        <v>51</v>
      </c>
      <c r="B32" s="1310"/>
      <c r="C32" s="1310"/>
      <c r="D32" s="1310"/>
      <c r="E32" s="1310"/>
      <c r="F32" s="1310"/>
      <c r="G32" s="1310"/>
      <c r="H32" s="206"/>
      <c r="I32" s="202"/>
    </row>
    <row r="33" spans="1:9" s="208" customFormat="1" ht="19.5" customHeight="1">
      <c r="A33" s="232">
        <v>1</v>
      </c>
      <c r="B33" s="233">
        <v>370</v>
      </c>
      <c r="C33" s="234" t="s">
        <v>159</v>
      </c>
      <c r="D33" s="210" t="s">
        <v>0</v>
      </c>
      <c r="E33" s="217">
        <v>0.1875</v>
      </c>
      <c r="F33" s="235">
        <v>90</v>
      </c>
      <c r="G33" s="219">
        <f>ROUND(E33*F33,2)</f>
        <v>16.88</v>
      </c>
      <c r="H33" s="220">
        <v>0.1875</v>
      </c>
      <c r="I33" s="202">
        <f t="shared" si="0"/>
        <v>1.28</v>
      </c>
    </row>
    <row r="34" spans="1:9" s="208" customFormat="1" ht="19.5" customHeight="1">
      <c r="A34" s="232">
        <v>2</v>
      </c>
      <c r="B34" s="233">
        <v>4734</v>
      </c>
      <c r="C34" s="234" t="s">
        <v>160</v>
      </c>
      <c r="D34" s="210" t="s">
        <v>0</v>
      </c>
      <c r="E34" s="217">
        <v>0.252</v>
      </c>
      <c r="F34" s="235">
        <v>621.31</v>
      </c>
      <c r="G34" s="219">
        <f>ROUND(E34*F34,2)</f>
        <v>156.57</v>
      </c>
      <c r="H34" s="220">
        <v>0.252</v>
      </c>
      <c r="I34" s="202">
        <f t="shared" si="0"/>
        <v>1.28</v>
      </c>
    </row>
    <row r="35" spans="1:9" s="208" customFormat="1" ht="19.5" customHeight="1">
      <c r="A35" s="232">
        <v>3</v>
      </c>
      <c r="B35" s="233">
        <v>41899</v>
      </c>
      <c r="C35" s="236" t="s">
        <v>163</v>
      </c>
      <c r="D35" s="210" t="s">
        <v>31</v>
      </c>
      <c r="E35" s="217">
        <v>0.06</v>
      </c>
      <c r="F35" s="235">
        <v>6664.59</v>
      </c>
      <c r="G35" s="219">
        <f>ROUND(E35*F35,2)</f>
        <v>399.88</v>
      </c>
      <c r="H35" s="220">
        <v>0.06</v>
      </c>
      <c r="I35" s="202">
        <f t="shared" si="0"/>
        <v>1.28</v>
      </c>
    </row>
    <row r="36" spans="1:9" s="208" customFormat="1" ht="19.5" customHeight="1">
      <c r="A36" s="232">
        <v>4</v>
      </c>
      <c r="B36" s="233">
        <v>4221</v>
      </c>
      <c r="C36" s="234" t="s">
        <v>166</v>
      </c>
      <c r="D36" s="210" t="s">
        <v>182</v>
      </c>
      <c r="E36" s="217">
        <v>5</v>
      </c>
      <c r="F36" s="235">
        <v>6.72</v>
      </c>
      <c r="G36" s="219">
        <f>ROUND(E36*F36,2)</f>
        <v>33.6</v>
      </c>
      <c r="H36" s="220">
        <v>5</v>
      </c>
      <c r="I36" s="202">
        <f t="shared" si="0"/>
        <v>1.28</v>
      </c>
    </row>
    <row r="37" spans="1:9" s="208" customFormat="1" ht="19.5" customHeight="1">
      <c r="A37" s="237">
        <v>5</v>
      </c>
      <c r="B37" s="238">
        <v>11138</v>
      </c>
      <c r="C37" s="239" t="s">
        <v>167</v>
      </c>
      <c r="D37" s="240" t="s">
        <v>182</v>
      </c>
      <c r="E37" s="225">
        <v>20</v>
      </c>
      <c r="F37" s="241">
        <v>4.32</v>
      </c>
      <c r="G37" s="219">
        <f>ROUND(E37*F37,2)</f>
        <v>86.4</v>
      </c>
      <c r="H37" s="220">
        <v>20</v>
      </c>
      <c r="I37" s="202">
        <f t="shared" si="0"/>
        <v>1.28</v>
      </c>
    </row>
    <row r="38" spans="1:9" s="208" customFormat="1" ht="15.75" customHeight="1">
      <c r="A38" s="1309" t="s">
        <v>52</v>
      </c>
      <c r="B38" s="1309"/>
      <c r="C38" s="1309"/>
      <c r="D38" s="1309"/>
      <c r="E38" s="1309"/>
      <c r="F38" s="1309"/>
      <c r="G38" s="273">
        <f>SUM(G33:G37)</f>
        <v>693.33</v>
      </c>
      <c r="H38" s="227"/>
      <c r="I38" s="202"/>
    </row>
    <row r="39" spans="1:9" s="208" customFormat="1" ht="15.75" customHeight="1">
      <c r="A39" s="1293" t="s">
        <v>53</v>
      </c>
      <c r="B39" s="1294"/>
      <c r="C39" s="1294"/>
      <c r="D39" s="1294"/>
      <c r="E39" s="1294"/>
      <c r="F39" s="1294"/>
      <c r="G39" s="1295"/>
      <c r="H39" s="242"/>
      <c r="I39" s="202"/>
    </row>
    <row r="40" spans="1:9" s="208" customFormat="1" ht="15.75" customHeight="1">
      <c r="A40" s="209" t="s">
        <v>39</v>
      </c>
      <c r="B40" s="210"/>
      <c r="C40" s="210" t="s">
        <v>54</v>
      </c>
      <c r="D40" s="210" t="s">
        <v>43</v>
      </c>
      <c r="E40" s="210"/>
      <c r="F40" s="243"/>
      <c r="G40" s="211"/>
      <c r="H40" s="212"/>
      <c r="I40" s="202"/>
    </row>
    <row r="41" spans="1:9" s="208" customFormat="1" ht="15.75" customHeight="1">
      <c r="A41" s="209" t="s">
        <v>55</v>
      </c>
      <c r="B41" s="210"/>
      <c r="C41" s="216" t="s">
        <v>56</v>
      </c>
      <c r="D41" s="1296" t="s">
        <v>57</v>
      </c>
      <c r="E41" s="1296"/>
      <c r="F41" s="1296"/>
      <c r="G41" s="211">
        <f>G16</f>
        <v>23.33</v>
      </c>
      <c r="H41" s="212"/>
      <c r="I41" s="202"/>
    </row>
    <row r="42" spans="1:9" s="208" customFormat="1" ht="15.75" customHeight="1">
      <c r="A42" s="209" t="s">
        <v>58</v>
      </c>
      <c r="B42" s="210"/>
      <c r="C42" s="216" t="s">
        <v>59</v>
      </c>
      <c r="D42" s="1296" t="s">
        <v>60</v>
      </c>
      <c r="E42" s="1296"/>
      <c r="F42" s="1296"/>
      <c r="G42" s="211">
        <f>G31</f>
        <v>149.16</v>
      </c>
      <c r="H42" s="212"/>
      <c r="I42" s="202"/>
    </row>
    <row r="43" spans="1:9" s="208" customFormat="1" ht="15.75" customHeight="1">
      <c r="A43" s="209" t="s">
        <v>16</v>
      </c>
      <c r="B43" s="210"/>
      <c r="C43" s="216" t="s">
        <v>61</v>
      </c>
      <c r="D43" s="1296" t="s">
        <v>62</v>
      </c>
      <c r="E43" s="1296"/>
      <c r="F43" s="1296"/>
      <c r="G43" s="211">
        <f>G38</f>
        <v>693.33</v>
      </c>
      <c r="H43" s="212"/>
      <c r="I43" s="202"/>
    </row>
    <row r="44" spans="1:9" s="208" customFormat="1" ht="15.75" customHeight="1">
      <c r="A44" s="209" t="s">
        <v>8</v>
      </c>
      <c r="B44" s="210"/>
      <c r="C44" s="244" t="s">
        <v>63</v>
      </c>
      <c r="D44" s="1291" t="s">
        <v>64</v>
      </c>
      <c r="E44" s="1291"/>
      <c r="F44" s="1291"/>
      <c r="G44" s="245">
        <f>G41+G42+G43</f>
        <v>865.82</v>
      </c>
      <c r="H44" s="246">
        <v>596</v>
      </c>
      <c r="I44" s="202"/>
    </row>
    <row r="45" spans="1:9" s="208" customFormat="1" ht="15.75" customHeight="1">
      <c r="A45" s="209"/>
      <c r="B45" s="210"/>
      <c r="C45" s="244"/>
      <c r="D45" s="247" t="s">
        <v>205</v>
      </c>
      <c r="E45" s="248"/>
      <c r="F45" s="249">
        <v>0.2746</v>
      </c>
      <c r="G45" s="250">
        <f>G44*F45</f>
        <v>237.75</v>
      </c>
      <c r="H45" s="251"/>
      <c r="I45" s="202"/>
    </row>
    <row r="46" spans="1:9" s="208" customFormat="1" ht="15.75" customHeight="1" thickBot="1">
      <c r="A46" s="252"/>
      <c r="B46" s="253"/>
      <c r="C46" s="253"/>
      <c r="D46" s="1292" t="s">
        <v>66</v>
      </c>
      <c r="E46" s="1292"/>
      <c r="F46" s="1292"/>
      <c r="G46" s="254">
        <f>G44+G45</f>
        <v>1103.57</v>
      </c>
      <c r="H46" s="255"/>
      <c r="I46" s="202"/>
    </row>
    <row r="47" spans="1:8" ht="10.5">
      <c r="A47" s="256"/>
      <c r="B47" s="256"/>
      <c r="C47" s="256"/>
      <c r="D47" s="257"/>
      <c r="E47" s="257"/>
      <c r="F47" s="257"/>
      <c r="G47" s="258"/>
      <c r="H47" s="258"/>
    </row>
  </sheetData>
  <sheetProtection/>
  <mergeCells count="19">
    <mergeCell ref="A11:G11"/>
    <mergeCell ref="A9:G9"/>
    <mergeCell ref="A7:A8"/>
    <mergeCell ref="C7:F8"/>
    <mergeCell ref="A38:F38"/>
    <mergeCell ref="A17:G17"/>
    <mergeCell ref="A32:G32"/>
    <mergeCell ref="A16:F16"/>
    <mergeCell ref="A31:F31"/>
    <mergeCell ref="A3:G3"/>
    <mergeCell ref="A4:G4"/>
    <mergeCell ref="A5:G5"/>
    <mergeCell ref="A6:G6"/>
    <mergeCell ref="D44:F44"/>
    <mergeCell ref="D46:F46"/>
    <mergeCell ref="A39:G39"/>
    <mergeCell ref="D41:F41"/>
    <mergeCell ref="D42:F42"/>
    <mergeCell ref="D43:F43"/>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7"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H28"/>
  <sheetViews>
    <sheetView view="pageBreakPreview" zoomScale="85" zoomScaleSheetLayoutView="85" zoomScalePageLayoutView="0" workbookViewId="0" topLeftCell="A1">
      <selection activeCell="L18" sqref="L18"/>
    </sheetView>
  </sheetViews>
  <sheetFormatPr defaultColWidth="9.140625" defaultRowHeight="12.75"/>
  <cols>
    <col min="1" max="1" width="9.140625" style="1" customWidth="1"/>
    <col min="2" max="2" width="9.28125" style="1" bestFit="1" customWidth="1"/>
    <col min="3" max="3" width="51.8515625" style="1" customWidth="1"/>
    <col min="4" max="4" width="9.140625" style="1" customWidth="1"/>
    <col min="5" max="5" width="16.28125" style="1" customWidth="1"/>
    <col min="6" max="6" width="11.421875" style="1" bestFit="1" customWidth="1"/>
    <col min="7" max="7" width="9.140625" style="1" customWidth="1"/>
    <col min="8" max="8" width="11.57421875" style="1" bestFit="1" customWidth="1"/>
    <col min="9" max="16384" width="9.140625" style="1" customWidth="1"/>
  </cols>
  <sheetData>
    <row r="1" spans="1:8" s="2" customFormat="1" ht="15" customHeight="1">
      <c r="A1" s="37"/>
      <c r="B1" s="1311"/>
      <c r="C1" s="1311"/>
      <c r="D1" s="1311"/>
      <c r="E1" s="1311"/>
      <c r="F1" s="1311"/>
      <c r="G1" s="1311"/>
      <c r="H1" s="1312"/>
    </row>
    <row r="2" spans="1:8" s="2" customFormat="1" ht="15" customHeight="1">
      <c r="A2" s="1313" t="s">
        <v>20</v>
      </c>
      <c r="B2" s="1314"/>
      <c r="C2" s="1314"/>
      <c r="D2" s="1314"/>
      <c r="E2" s="1314"/>
      <c r="F2" s="1314"/>
      <c r="G2" s="1314"/>
      <c r="H2" s="1315"/>
    </row>
    <row r="3" spans="1:8" s="2" customFormat="1" ht="15" customHeight="1">
      <c r="A3" s="1316" t="s">
        <v>194</v>
      </c>
      <c r="B3" s="1317"/>
      <c r="C3" s="1317"/>
      <c r="D3" s="1317"/>
      <c r="E3" s="1317"/>
      <c r="F3" s="1317"/>
      <c r="G3" s="1317"/>
      <c r="H3" s="1318"/>
    </row>
    <row r="4" spans="1:8" s="2" customFormat="1" ht="15" customHeight="1">
      <c r="A4" s="1316" t="s">
        <v>19</v>
      </c>
      <c r="B4" s="1317"/>
      <c r="C4" s="1317"/>
      <c r="D4" s="1317"/>
      <c r="E4" s="1317"/>
      <c r="F4" s="1317"/>
      <c r="G4" s="1317"/>
      <c r="H4" s="1318"/>
    </row>
    <row r="5" spans="1:8" s="2" customFormat="1" ht="15" customHeight="1" thickBot="1">
      <c r="A5" s="38"/>
      <c r="B5" s="1319"/>
      <c r="C5" s="1319"/>
      <c r="D5" s="1319"/>
      <c r="E5" s="1319"/>
      <c r="F5" s="1319"/>
      <c r="G5" s="1319"/>
      <c r="H5" s="1320"/>
    </row>
    <row r="6" spans="1:8" s="3" customFormat="1" ht="24.75" customHeight="1" thickBot="1" thickTop="1">
      <c r="A6" s="42" t="s">
        <v>283</v>
      </c>
      <c r="B6" s="43" t="s">
        <v>416</v>
      </c>
      <c r="C6" s="1321" t="str">
        <f>PROPER(" POçO DE VISITA PARA DRENAGEM PLUVIAL, EM CONCRETO ESTRUTURAL, DIMENSOES INTERNAS DE 90X150X80CM (LARGXCOMPXALT), PARA REDE DE 600 MM, EXCLUSOS TAMPAO E CHAMINE")</f>
        <v> Poço De Visita Para Drenagem Pluvial, Em Concreto Estrutural, Dimensoes Internas De 90X150X80Cm (Largxcompxalt), Para Rede De 600 Mm, Exclusos Tampao E Chamine</v>
      </c>
      <c r="D6" s="1321"/>
      <c r="E6" s="1321"/>
      <c r="F6" s="1321"/>
      <c r="G6" s="1322" t="s">
        <v>308</v>
      </c>
      <c r="H6" s="1323"/>
    </row>
    <row r="7" spans="1:8" s="3" customFormat="1" ht="40.5" customHeight="1" thickTop="1">
      <c r="A7" s="1329" t="e">
        <f>'ORÇAMENTO GERAL'!#REF!</f>
        <v>#REF!</v>
      </c>
      <c r="B7" s="1330"/>
      <c r="C7" s="1330"/>
      <c r="D7" s="1330"/>
      <c r="E7" s="1330"/>
      <c r="F7" s="1330"/>
      <c r="G7" s="1330"/>
      <c r="H7" s="1331"/>
    </row>
    <row r="8" spans="1:8" s="3" customFormat="1" ht="19.5" customHeight="1">
      <c r="A8" s="1332" t="s">
        <v>195</v>
      </c>
      <c r="B8" s="1333"/>
      <c r="C8" s="1333"/>
      <c r="D8" s="1333"/>
      <c r="E8" s="1333"/>
      <c r="F8" s="1333"/>
      <c r="G8" s="1333"/>
      <c r="H8" s="1334"/>
    </row>
    <row r="9" spans="1:8" s="3" customFormat="1" ht="19.5" customHeight="1">
      <c r="A9" s="25" t="s">
        <v>39</v>
      </c>
      <c r="B9" s="26" t="s">
        <v>282</v>
      </c>
      <c r="C9" s="27" t="s">
        <v>40</v>
      </c>
      <c r="D9" s="26" t="s">
        <v>41</v>
      </c>
      <c r="E9" s="27" t="s">
        <v>158</v>
      </c>
      <c r="F9" s="28" t="s">
        <v>42</v>
      </c>
      <c r="G9" s="1335" t="s">
        <v>43</v>
      </c>
      <c r="H9" s="1336"/>
    </row>
    <row r="10" spans="1:8" s="3" customFormat="1" ht="19.5" customHeight="1">
      <c r="A10" s="39">
        <v>1</v>
      </c>
      <c r="B10" s="29">
        <v>88309</v>
      </c>
      <c r="C10" s="18" t="s">
        <v>298</v>
      </c>
      <c r="D10" s="4" t="s">
        <v>239</v>
      </c>
      <c r="E10" s="22">
        <v>0.2128</v>
      </c>
      <c r="F10" s="5">
        <v>21.31</v>
      </c>
      <c r="G10" s="6"/>
      <c r="H10" s="7">
        <f>ROUND(E10*F10,2)</f>
        <v>4.53</v>
      </c>
    </row>
    <row r="11" spans="1:8" s="3" customFormat="1" ht="19.5" customHeight="1" thickBot="1">
      <c r="A11" s="39">
        <v>2</v>
      </c>
      <c r="B11" s="29">
        <v>88316</v>
      </c>
      <c r="C11" s="18" t="s">
        <v>196</v>
      </c>
      <c r="D11" s="4" t="s">
        <v>239</v>
      </c>
      <c r="E11" s="22">
        <v>0.4255</v>
      </c>
      <c r="F11" s="5">
        <v>17.09</v>
      </c>
      <c r="G11" s="6"/>
      <c r="H11" s="7">
        <f>ROUND(E11*F11,2)</f>
        <v>7.27</v>
      </c>
    </row>
    <row r="12" spans="1:8" s="3" customFormat="1" ht="19.5" customHeight="1" thickBot="1">
      <c r="A12" s="40"/>
      <c r="B12" s="8"/>
      <c r="C12" s="6"/>
      <c r="D12" s="8"/>
      <c r="E12" s="9" t="s">
        <v>197</v>
      </c>
      <c r="F12" s="10"/>
      <c r="G12" s="11"/>
      <c r="H12" s="12">
        <f>SUM(H10:H11)</f>
        <v>11.8</v>
      </c>
    </row>
    <row r="13" spans="1:8" s="3" customFormat="1" ht="19.5" customHeight="1">
      <c r="A13" s="1337" t="s">
        <v>198</v>
      </c>
      <c r="B13" s="1338"/>
      <c r="C13" s="1338"/>
      <c r="D13" s="1338"/>
      <c r="E13" s="1338"/>
      <c r="F13" s="1338"/>
      <c r="G13" s="1338"/>
      <c r="H13" s="1339"/>
    </row>
    <row r="14" spans="1:8" s="3" customFormat="1" ht="19.5" customHeight="1">
      <c r="A14" s="25" t="s">
        <v>39</v>
      </c>
      <c r="B14" s="26" t="s">
        <v>282</v>
      </c>
      <c r="C14" s="27" t="s">
        <v>40</v>
      </c>
      <c r="D14" s="26" t="s">
        <v>41</v>
      </c>
      <c r="E14" s="27" t="s">
        <v>158</v>
      </c>
      <c r="F14" s="28" t="s">
        <v>42</v>
      </c>
      <c r="G14" s="1324" t="s">
        <v>43</v>
      </c>
      <c r="H14" s="1325"/>
    </row>
    <row r="15" spans="1:8" s="3" customFormat="1" ht="19.5" customHeight="1">
      <c r="A15" s="39">
        <v>1</v>
      </c>
      <c r="B15" s="30">
        <v>87313</v>
      </c>
      <c r="C15" s="23" t="s">
        <v>301</v>
      </c>
      <c r="D15" s="14" t="s">
        <v>202</v>
      </c>
      <c r="E15" s="19">
        <v>0.02</v>
      </c>
      <c r="F15" s="20">
        <v>527.24</v>
      </c>
      <c r="G15" s="13"/>
      <c r="H15" s="7">
        <f>ROUND(E15*F15,2)</f>
        <v>10.54</v>
      </c>
    </row>
    <row r="16" spans="1:8" s="3" customFormat="1" ht="19.5" customHeight="1">
      <c r="A16" s="39">
        <v>2</v>
      </c>
      <c r="B16" s="30">
        <v>94969</v>
      </c>
      <c r="C16" s="23" t="s">
        <v>306</v>
      </c>
      <c r="D16" s="14" t="s">
        <v>202</v>
      </c>
      <c r="E16" s="19">
        <v>1.62</v>
      </c>
      <c r="F16" s="20">
        <v>424.22</v>
      </c>
      <c r="G16" s="13"/>
      <c r="H16" s="7">
        <f>ROUND(E16*F16,2)</f>
        <v>687.24</v>
      </c>
    </row>
    <row r="17" spans="1:8" s="3" customFormat="1" ht="19.5" customHeight="1" thickBot="1">
      <c r="A17" s="39">
        <v>3</v>
      </c>
      <c r="B17" s="30">
        <v>101616</v>
      </c>
      <c r="C17" s="23" t="s">
        <v>307</v>
      </c>
      <c r="D17" s="14" t="s">
        <v>303</v>
      </c>
      <c r="E17" s="19">
        <v>2.28</v>
      </c>
      <c r="F17" s="20">
        <v>4.95</v>
      </c>
      <c r="G17" s="13"/>
      <c r="H17" s="7">
        <f>ROUND(E17*F17,2)</f>
        <v>11.29</v>
      </c>
    </row>
    <row r="18" spans="1:8" s="3" customFormat="1" ht="19.5" customHeight="1" thickBot="1">
      <c r="A18" s="40"/>
      <c r="B18" s="8" t="s">
        <v>199</v>
      </c>
      <c r="C18" s="6"/>
      <c r="D18" s="8"/>
      <c r="E18" s="9" t="s">
        <v>200</v>
      </c>
      <c r="F18" s="15"/>
      <c r="G18" s="16"/>
      <c r="H18" s="12">
        <f>SUM(H15:H17)</f>
        <v>709.07</v>
      </c>
    </row>
    <row r="19" spans="1:8" s="3" customFormat="1" ht="19.5" customHeight="1">
      <c r="A19" s="1340" t="s">
        <v>201</v>
      </c>
      <c r="B19" s="1341"/>
      <c r="C19" s="1341"/>
      <c r="D19" s="1341"/>
      <c r="E19" s="1341"/>
      <c r="F19" s="1341"/>
      <c r="G19" s="1341"/>
      <c r="H19" s="1342"/>
    </row>
    <row r="20" spans="1:8" s="3" customFormat="1" ht="19.5" customHeight="1">
      <c r="A20" s="25" t="s">
        <v>39</v>
      </c>
      <c r="B20" s="26" t="s">
        <v>282</v>
      </c>
      <c r="C20" s="27" t="s">
        <v>40</v>
      </c>
      <c r="D20" s="26" t="s">
        <v>41</v>
      </c>
      <c r="E20" s="27" t="s">
        <v>158</v>
      </c>
      <c r="F20" s="28" t="s">
        <v>42</v>
      </c>
      <c r="G20" s="1324" t="s">
        <v>43</v>
      </c>
      <c r="H20" s="1325"/>
    </row>
    <row r="21" spans="1:8" s="3" customFormat="1" ht="19.5" customHeight="1">
      <c r="A21" s="39">
        <v>1</v>
      </c>
      <c r="B21" s="30">
        <v>5875</v>
      </c>
      <c r="C21" s="21" t="s">
        <v>299</v>
      </c>
      <c r="D21" s="14" t="s">
        <v>181</v>
      </c>
      <c r="E21" s="24">
        <v>0.1702</v>
      </c>
      <c r="F21" s="20">
        <v>106.6</v>
      </c>
      <c r="G21" s="13"/>
      <c r="H21" s="7">
        <f>ROUND(E21*F21,2)</f>
        <v>18.14</v>
      </c>
    </row>
    <row r="22" spans="1:8" s="3" customFormat="1" ht="19.5" customHeight="1">
      <c r="A22" s="39">
        <v>2</v>
      </c>
      <c r="B22" s="30">
        <v>5877</v>
      </c>
      <c r="C22" s="21" t="s">
        <v>300</v>
      </c>
      <c r="D22" s="14" t="s">
        <v>183</v>
      </c>
      <c r="E22" s="24">
        <v>0.0426</v>
      </c>
      <c r="F22" s="20">
        <v>42.95</v>
      </c>
      <c r="G22" s="13"/>
      <c r="H22" s="7">
        <f>ROUND(E22*F22,2)</f>
        <v>1.83</v>
      </c>
    </row>
    <row r="23" spans="1:8" s="3" customFormat="1" ht="19.5" customHeight="1">
      <c r="A23" s="39">
        <v>3</v>
      </c>
      <c r="B23" s="30">
        <v>92419</v>
      </c>
      <c r="C23" s="21" t="s">
        <v>302</v>
      </c>
      <c r="D23" s="14" t="s">
        <v>303</v>
      </c>
      <c r="E23" s="24">
        <v>12.68</v>
      </c>
      <c r="F23" s="20">
        <v>72.41</v>
      </c>
      <c r="G23" s="13"/>
      <c r="H23" s="7">
        <f>ROUND(E23*F23,2)</f>
        <v>918.16</v>
      </c>
    </row>
    <row r="24" spans="1:8" s="3" customFormat="1" ht="19.5" customHeight="1" thickBot="1">
      <c r="A24" s="39">
        <v>4</v>
      </c>
      <c r="B24" s="30">
        <v>92915</v>
      </c>
      <c r="C24" s="21" t="s">
        <v>304</v>
      </c>
      <c r="D24" s="14" t="s">
        <v>305</v>
      </c>
      <c r="E24" s="24">
        <v>16.4</v>
      </c>
      <c r="F24" s="20">
        <v>16.48</v>
      </c>
      <c r="G24" s="13"/>
      <c r="H24" s="7">
        <f>ROUND(E24*F24,2)</f>
        <v>270.27</v>
      </c>
    </row>
    <row r="25" spans="1:8" s="3" customFormat="1" ht="19.5" customHeight="1" thickBot="1">
      <c r="A25" s="40"/>
      <c r="B25" s="6" t="s">
        <v>199</v>
      </c>
      <c r="C25" s="6"/>
      <c r="D25" s="8"/>
      <c r="E25" s="9" t="s">
        <v>203</v>
      </c>
      <c r="F25" s="15"/>
      <c r="G25" s="16"/>
      <c r="H25" s="12">
        <f>SUM(H21:H24)</f>
        <v>1208.4</v>
      </c>
    </row>
    <row r="26" spans="1:8" s="3" customFormat="1" ht="19.5" customHeight="1">
      <c r="A26" s="40"/>
      <c r="B26" s="1326" t="s">
        <v>204</v>
      </c>
      <c r="C26" s="1326"/>
      <c r="D26" s="1326"/>
      <c r="E26" s="1326"/>
      <c r="F26" s="1326"/>
      <c r="G26" s="1327"/>
      <c r="H26" s="17">
        <f>SUM(H12+H18+H25)</f>
        <v>1929.27</v>
      </c>
    </row>
    <row r="27" spans="1:8" s="3" customFormat="1" ht="19.5" customHeight="1" thickBot="1">
      <c r="A27" s="41"/>
      <c r="B27" s="1328" t="s">
        <v>205</v>
      </c>
      <c r="C27" s="1328"/>
      <c r="D27" s="1328"/>
      <c r="E27" s="1328"/>
      <c r="F27" s="1328"/>
      <c r="G27" s="31">
        <v>0.2746</v>
      </c>
      <c r="H27" s="32">
        <f>H26*G27</f>
        <v>529.78</v>
      </c>
    </row>
    <row r="28" spans="1:8" s="3" customFormat="1" ht="19.5" customHeight="1" thickBot="1">
      <c r="A28" s="44"/>
      <c r="B28" s="33" t="s">
        <v>206</v>
      </c>
      <c r="C28" s="33"/>
      <c r="D28" s="34"/>
      <c r="E28" s="33"/>
      <c r="F28" s="33"/>
      <c r="G28" s="35"/>
      <c r="H28" s="36">
        <f>SUM(H26:H27)</f>
        <v>2459.05</v>
      </c>
    </row>
  </sheetData>
  <sheetProtection/>
  <mergeCells count="16">
    <mergeCell ref="G20:H20"/>
    <mergeCell ref="B26:G26"/>
    <mergeCell ref="B27:F27"/>
    <mergeCell ref="A7:H7"/>
    <mergeCell ref="A8:H8"/>
    <mergeCell ref="G9:H9"/>
    <mergeCell ref="A13:H13"/>
    <mergeCell ref="G14:H14"/>
    <mergeCell ref="A19:H19"/>
    <mergeCell ref="B1:H1"/>
    <mergeCell ref="A2:H2"/>
    <mergeCell ref="A3:H3"/>
    <mergeCell ref="A4:H4"/>
    <mergeCell ref="B5:H5"/>
    <mergeCell ref="C6:F6"/>
    <mergeCell ref="G6:H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3" r:id="rId4"/>
  <drawing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P157"/>
  <sheetViews>
    <sheetView tabSelected="1" view="pageBreakPreview" zoomScale="55" zoomScaleNormal="60" zoomScaleSheetLayoutView="55" zoomScalePageLayoutView="0" workbookViewId="0" topLeftCell="A1">
      <selection activeCell="C13" sqref="C13:K13"/>
    </sheetView>
  </sheetViews>
  <sheetFormatPr defaultColWidth="9.140625" defaultRowHeight="12.75"/>
  <cols>
    <col min="1" max="2" width="4.421875" style="413" customWidth="1"/>
    <col min="3" max="4" width="16.7109375" style="413" customWidth="1"/>
    <col min="5" max="5" width="22.7109375" style="413" customWidth="1"/>
    <col min="6" max="6" width="100.7109375" style="413" customWidth="1"/>
    <col min="7" max="10" width="20.7109375" style="413" customWidth="1"/>
    <col min="11" max="11" width="28.421875" style="413" bestFit="1" customWidth="1"/>
    <col min="12" max="12" width="140.8515625" style="413" bestFit="1" customWidth="1"/>
    <col min="13" max="13" width="38.421875" style="413" customWidth="1"/>
    <col min="14" max="14" width="14.8515625" style="413" bestFit="1" customWidth="1"/>
    <col min="15" max="15" width="15.8515625" style="413" customWidth="1"/>
    <col min="16" max="16" width="16.28125" style="413" customWidth="1"/>
    <col min="17" max="16384" width="9.140625" style="413" customWidth="1"/>
  </cols>
  <sheetData>
    <row r="1" spans="1:11" ht="25.5">
      <c r="A1" s="693"/>
      <c r="B1" s="694"/>
      <c r="C1" s="414"/>
      <c r="D1" s="415"/>
      <c r="E1" s="415"/>
      <c r="F1" s="415"/>
      <c r="G1" s="415"/>
      <c r="H1" s="415"/>
      <c r="I1" s="415"/>
      <c r="J1" s="415"/>
      <c r="K1" s="416"/>
    </row>
    <row r="2" spans="1:11" ht="24.75" customHeight="1">
      <c r="A2" s="695"/>
      <c r="B2" s="438"/>
      <c r="C2" s="841"/>
      <c r="D2" s="842"/>
      <c r="E2" s="842"/>
      <c r="F2" s="842"/>
      <c r="G2" s="842"/>
      <c r="H2" s="842"/>
      <c r="I2" s="842"/>
      <c r="J2" s="842"/>
      <c r="K2" s="843"/>
    </row>
    <row r="3" spans="1:11" ht="24.75" customHeight="1">
      <c r="A3" s="695"/>
      <c r="B3" s="438"/>
      <c r="C3" s="824"/>
      <c r="D3" s="825"/>
      <c r="E3" s="825"/>
      <c r="F3" s="825"/>
      <c r="G3" s="825"/>
      <c r="H3" s="825"/>
      <c r="I3" s="825"/>
      <c r="J3" s="825"/>
      <c r="K3" s="826"/>
    </row>
    <row r="4" spans="1:11" ht="24.75" customHeight="1">
      <c r="A4" s="695"/>
      <c r="B4" s="438"/>
      <c r="C4" s="824"/>
      <c r="D4" s="825"/>
      <c r="E4" s="825"/>
      <c r="F4" s="825"/>
      <c r="G4" s="825"/>
      <c r="H4" s="825"/>
      <c r="I4" s="825"/>
      <c r="J4" s="825"/>
      <c r="K4" s="826"/>
    </row>
    <row r="5" spans="1:11" ht="24.75" customHeight="1">
      <c r="A5" s="695"/>
      <c r="B5" s="438"/>
      <c r="C5" s="841" t="s">
        <v>20</v>
      </c>
      <c r="D5" s="842"/>
      <c r="E5" s="842"/>
      <c r="F5" s="842"/>
      <c r="G5" s="842"/>
      <c r="H5" s="842"/>
      <c r="I5" s="842"/>
      <c r="J5" s="842"/>
      <c r="K5" s="843"/>
    </row>
    <row r="6" spans="1:11" ht="24.75" customHeight="1">
      <c r="A6" s="695"/>
      <c r="B6" s="438"/>
      <c r="C6" s="824" t="s">
        <v>194</v>
      </c>
      <c r="D6" s="825"/>
      <c r="E6" s="825"/>
      <c r="F6" s="825"/>
      <c r="G6" s="825"/>
      <c r="H6" s="825"/>
      <c r="I6" s="825"/>
      <c r="J6" s="825"/>
      <c r="K6" s="826"/>
    </row>
    <row r="7" spans="1:11" ht="24.75" customHeight="1">
      <c r="A7" s="695"/>
      <c r="B7" s="438"/>
      <c r="C7" s="824" t="s">
        <v>19</v>
      </c>
      <c r="D7" s="825"/>
      <c r="E7" s="825"/>
      <c r="F7" s="825"/>
      <c r="G7" s="825"/>
      <c r="H7" s="825"/>
      <c r="I7" s="825"/>
      <c r="J7" s="825"/>
      <c r="K7" s="826"/>
    </row>
    <row r="8" spans="1:11" ht="24.75" customHeight="1">
      <c r="A8" s="695"/>
      <c r="B8" s="438"/>
      <c r="C8" s="612"/>
      <c r="D8" s="613"/>
      <c r="E8" s="613"/>
      <c r="F8" s="613"/>
      <c r="G8" s="613"/>
      <c r="H8" s="613"/>
      <c r="I8" s="613"/>
      <c r="J8" s="613"/>
      <c r="K8" s="614"/>
    </row>
    <row r="9" spans="1:11" ht="57" customHeight="1">
      <c r="A9" s="695"/>
      <c r="B9" s="438"/>
      <c r="C9" s="476" t="s">
        <v>691</v>
      </c>
      <c r="D9" s="827" t="s">
        <v>775</v>
      </c>
      <c r="E9" s="827"/>
      <c r="F9" s="827"/>
      <c r="G9" s="827"/>
      <c r="H9" s="827"/>
      <c r="I9" s="827"/>
      <c r="J9" s="827"/>
      <c r="K9" s="828"/>
    </row>
    <row r="10" spans="1:11" ht="24.75" customHeight="1">
      <c r="A10" s="695"/>
      <c r="B10" s="438"/>
      <c r="C10" s="829" t="s">
        <v>692</v>
      </c>
      <c r="D10" s="827"/>
      <c r="E10" s="830" t="str">
        <f>L143</f>
        <v>UM MILHÃO, NOVECENTOS E VINTE MIL, SETECENTOS E DEZESSEIS REAIS E CINQUENTA E DOIS CENTAVOS</v>
      </c>
      <c r="F10" s="830"/>
      <c r="G10" s="830"/>
      <c r="H10" s="830"/>
      <c r="I10" s="830"/>
      <c r="J10" s="830"/>
      <c r="K10" s="831"/>
    </row>
    <row r="11" spans="1:11" ht="24.75" customHeight="1">
      <c r="A11" s="695"/>
      <c r="B11" s="438"/>
      <c r="C11" s="838" t="s">
        <v>772</v>
      </c>
      <c r="D11" s="830"/>
      <c r="E11" s="830"/>
      <c r="F11" s="830"/>
      <c r="G11" s="830"/>
      <c r="H11" s="830"/>
      <c r="I11" s="830"/>
      <c r="J11" s="830"/>
      <c r="K11" s="831"/>
    </row>
    <row r="12" spans="1:11" ht="24.75" customHeight="1" thickBot="1">
      <c r="A12" s="695"/>
      <c r="B12" s="438"/>
      <c r="C12" s="834"/>
      <c r="D12" s="835"/>
      <c r="E12" s="835"/>
      <c r="F12" s="835"/>
      <c r="G12" s="835"/>
      <c r="H12" s="835"/>
      <c r="I12" s="835"/>
      <c r="J12" s="835"/>
      <c r="K12" s="836"/>
    </row>
    <row r="13" spans="1:11" ht="36.75" customHeight="1" thickBot="1" thickTop="1">
      <c r="A13" s="695"/>
      <c r="B13" s="438"/>
      <c r="C13" s="821" t="s">
        <v>25</v>
      </c>
      <c r="D13" s="822"/>
      <c r="E13" s="822"/>
      <c r="F13" s="822"/>
      <c r="G13" s="822"/>
      <c r="H13" s="822"/>
      <c r="I13" s="822"/>
      <c r="J13" s="822"/>
      <c r="K13" s="823"/>
    </row>
    <row r="14" spans="1:16" ht="48.75" thickTop="1">
      <c r="A14" s="695"/>
      <c r="B14" s="438"/>
      <c r="C14" s="832" t="s">
        <v>7</v>
      </c>
      <c r="D14" s="818" t="s">
        <v>190</v>
      </c>
      <c r="E14" s="818" t="s">
        <v>603</v>
      </c>
      <c r="F14" s="818" t="s">
        <v>6</v>
      </c>
      <c r="G14" s="819" t="s">
        <v>154</v>
      </c>
      <c r="H14" s="819" t="s">
        <v>23</v>
      </c>
      <c r="I14" s="819" t="s">
        <v>26</v>
      </c>
      <c r="J14" s="611" t="s">
        <v>256</v>
      </c>
      <c r="K14" s="839" t="s">
        <v>435</v>
      </c>
      <c r="M14" s="417"/>
      <c r="N14" s="418"/>
      <c r="O14" s="418"/>
      <c r="P14" s="418"/>
    </row>
    <row r="15" spans="1:16" ht="25.5">
      <c r="A15" s="695"/>
      <c r="B15" s="438"/>
      <c r="C15" s="833"/>
      <c r="D15" s="819"/>
      <c r="E15" s="819"/>
      <c r="F15" s="819"/>
      <c r="G15" s="820"/>
      <c r="H15" s="820"/>
      <c r="I15" s="820"/>
      <c r="J15" s="477">
        <v>0.2746</v>
      </c>
      <c r="K15" s="840"/>
      <c r="M15" s="417"/>
      <c r="N15" s="418"/>
      <c r="O15" s="418"/>
      <c r="P15" s="418"/>
    </row>
    <row r="16" spans="1:16" ht="27.75" customHeight="1">
      <c r="A16" s="695"/>
      <c r="B16" s="438"/>
      <c r="C16" s="419">
        <v>1</v>
      </c>
      <c r="D16" s="809" t="s">
        <v>1</v>
      </c>
      <c r="E16" s="810"/>
      <c r="F16" s="810"/>
      <c r="G16" s="810"/>
      <c r="H16" s="810"/>
      <c r="I16" s="810"/>
      <c r="J16" s="810"/>
      <c r="K16" s="812"/>
      <c r="M16" s="817"/>
      <c r="N16" s="811"/>
      <c r="O16" s="811"/>
      <c r="P16" s="811"/>
    </row>
    <row r="17" spans="1:16" ht="45" customHeight="1">
      <c r="A17" s="695"/>
      <c r="B17" s="438"/>
      <c r="C17" s="420" t="s">
        <v>21</v>
      </c>
      <c r="D17" s="421" t="s">
        <v>191</v>
      </c>
      <c r="E17" s="422">
        <v>11340</v>
      </c>
      <c r="F17" s="423" t="s">
        <v>273</v>
      </c>
      <c r="G17" s="424">
        <v>6</v>
      </c>
      <c r="H17" s="425" t="s">
        <v>2</v>
      </c>
      <c r="I17" s="426">
        <v>159.52</v>
      </c>
      <c r="J17" s="427">
        <f>I17*(1+$J$15)</f>
        <v>203.32</v>
      </c>
      <c r="K17" s="428">
        <f>G17*J17</f>
        <v>1219.92</v>
      </c>
      <c r="M17" s="817"/>
      <c r="N17" s="811"/>
      <c r="O17" s="811"/>
      <c r="P17" s="811"/>
    </row>
    <row r="18" spans="1:16" ht="45" customHeight="1" hidden="1">
      <c r="A18" s="695"/>
      <c r="B18" s="438"/>
      <c r="C18" s="420" t="s">
        <v>22</v>
      </c>
      <c r="D18" s="421" t="s">
        <v>191</v>
      </c>
      <c r="E18" s="422">
        <v>10005</v>
      </c>
      <c r="F18" s="423" t="s">
        <v>518</v>
      </c>
      <c r="G18" s="424">
        <v>0</v>
      </c>
      <c r="H18" s="425" t="s">
        <v>2</v>
      </c>
      <c r="I18" s="426">
        <v>402.55</v>
      </c>
      <c r="J18" s="427">
        <f>I18*(1+$J$15)</f>
        <v>513.09</v>
      </c>
      <c r="K18" s="428">
        <f>G18*J18</f>
        <v>0</v>
      </c>
      <c r="M18" s="417"/>
      <c r="N18" s="418"/>
      <c r="O18" s="418"/>
      <c r="P18" s="418"/>
    </row>
    <row r="19" spans="1:16" ht="45" customHeight="1" hidden="1">
      <c r="A19" s="695"/>
      <c r="B19" s="438"/>
      <c r="C19" s="420" t="s">
        <v>417</v>
      </c>
      <c r="D19" s="421" t="s">
        <v>193</v>
      </c>
      <c r="E19" s="422">
        <v>99064</v>
      </c>
      <c r="F19" s="423" t="s">
        <v>604</v>
      </c>
      <c r="G19" s="424">
        <v>0</v>
      </c>
      <c r="H19" s="425" t="s">
        <v>3</v>
      </c>
      <c r="I19" s="426">
        <v>0.38</v>
      </c>
      <c r="J19" s="427">
        <f>I19*(1+$J$15)</f>
        <v>0.48</v>
      </c>
      <c r="K19" s="428">
        <f>G19*J19</f>
        <v>0</v>
      </c>
      <c r="M19" s="417"/>
      <c r="N19" s="418"/>
      <c r="O19" s="418"/>
      <c r="P19" s="418"/>
    </row>
    <row r="20" spans="1:16" ht="45" customHeight="1" hidden="1">
      <c r="A20" s="695"/>
      <c r="B20" s="438"/>
      <c r="C20" s="420" t="s">
        <v>517</v>
      </c>
      <c r="D20" s="421" t="s">
        <v>192</v>
      </c>
      <c r="E20" s="422" t="s">
        <v>418</v>
      </c>
      <c r="F20" s="423" t="s">
        <v>425</v>
      </c>
      <c r="G20" s="424">
        <v>0</v>
      </c>
      <c r="H20" s="429" t="s">
        <v>309</v>
      </c>
      <c r="I20" s="426">
        <f>'CPU-I'!G29</f>
        <v>21065.4</v>
      </c>
      <c r="J20" s="427">
        <f>I20*(1+$J$15)</f>
        <v>26849.96</v>
      </c>
      <c r="K20" s="428">
        <f>G20*J20</f>
        <v>0</v>
      </c>
      <c r="M20" s="417"/>
      <c r="N20" s="418"/>
      <c r="O20" s="418"/>
      <c r="P20" s="418"/>
    </row>
    <row r="21" spans="1:16" ht="45" customHeight="1">
      <c r="A21" s="695"/>
      <c r="B21" s="438"/>
      <c r="C21" s="420" t="s">
        <v>22</v>
      </c>
      <c r="D21" s="421" t="s">
        <v>192</v>
      </c>
      <c r="E21" s="430" t="s">
        <v>418</v>
      </c>
      <c r="F21" s="431" t="s">
        <v>434</v>
      </c>
      <c r="G21" s="424">
        <v>1</v>
      </c>
      <c r="H21" s="429" t="s">
        <v>309</v>
      </c>
      <c r="I21" s="426">
        <f>'CPU-II'!H32</f>
        <v>8076</v>
      </c>
      <c r="J21" s="427">
        <f>I21*(1+$J$15)</f>
        <v>10293.67</v>
      </c>
      <c r="K21" s="428">
        <f>G21*J21</f>
        <v>10293.67</v>
      </c>
      <c r="M21" s="817"/>
      <c r="N21" s="811"/>
      <c r="O21" s="811"/>
      <c r="P21" s="811"/>
    </row>
    <row r="22" spans="1:16" ht="27.75" customHeight="1">
      <c r="A22" s="695"/>
      <c r="B22" s="438"/>
      <c r="C22" s="806" t="s">
        <v>9</v>
      </c>
      <c r="D22" s="807"/>
      <c r="E22" s="807"/>
      <c r="F22" s="807"/>
      <c r="G22" s="807"/>
      <c r="H22" s="807"/>
      <c r="I22" s="807"/>
      <c r="J22" s="808"/>
      <c r="K22" s="432">
        <f>SUM(K17:K21)</f>
        <v>11513.59</v>
      </c>
      <c r="M22" s="817"/>
      <c r="N22" s="811"/>
      <c r="O22" s="811"/>
      <c r="P22" s="811"/>
    </row>
    <row r="23" spans="1:16" ht="27.75" customHeight="1">
      <c r="A23" s="695"/>
      <c r="B23" s="438"/>
      <c r="C23" s="419">
        <v>2</v>
      </c>
      <c r="D23" s="809" t="s">
        <v>436</v>
      </c>
      <c r="E23" s="810"/>
      <c r="F23" s="810"/>
      <c r="G23" s="810"/>
      <c r="H23" s="810"/>
      <c r="I23" s="810"/>
      <c r="J23" s="810"/>
      <c r="K23" s="812"/>
      <c r="M23" s="817"/>
      <c r="N23" s="811"/>
      <c r="O23" s="811"/>
      <c r="P23" s="811"/>
    </row>
    <row r="24" spans="1:16" ht="45" customHeight="1" hidden="1">
      <c r="A24" s="695"/>
      <c r="B24" s="438"/>
      <c r="C24" s="420" t="s">
        <v>4</v>
      </c>
      <c r="D24" s="433" t="s">
        <v>191</v>
      </c>
      <c r="E24" s="430" t="s">
        <v>229</v>
      </c>
      <c r="F24" s="434" t="s">
        <v>230</v>
      </c>
      <c r="G24" s="435">
        <f>'MC-PAV'!F38</f>
        <v>0</v>
      </c>
      <c r="H24" s="425" t="s">
        <v>0</v>
      </c>
      <c r="I24" s="436">
        <v>262.78</v>
      </c>
      <c r="J24" s="427">
        <f>I24*(1+$J$15)</f>
        <v>334.94</v>
      </c>
      <c r="K24" s="428">
        <f>G24*J24</f>
        <v>0</v>
      </c>
      <c r="M24" s="817"/>
      <c r="N24" s="811"/>
      <c r="O24" s="811"/>
      <c r="P24" s="811"/>
    </row>
    <row r="25" spans="1:16" ht="45" customHeight="1">
      <c r="A25" s="695"/>
      <c r="B25" s="438"/>
      <c r="C25" s="420" t="s">
        <v>4</v>
      </c>
      <c r="D25" s="437" t="s">
        <v>191</v>
      </c>
      <c r="E25" s="430" t="s">
        <v>437</v>
      </c>
      <c r="F25" s="434" t="s">
        <v>438</v>
      </c>
      <c r="G25" s="435">
        <f>'MC-PAV'!L38</f>
        <v>118.08</v>
      </c>
      <c r="H25" s="425" t="s">
        <v>0</v>
      </c>
      <c r="I25" s="436">
        <v>92.93</v>
      </c>
      <c r="J25" s="427">
        <f>I25*(1+$J$15)</f>
        <v>118.45</v>
      </c>
      <c r="K25" s="428">
        <f>G25*J25</f>
        <v>13986.58</v>
      </c>
      <c r="M25" s="817"/>
      <c r="N25" s="811"/>
      <c r="O25" s="811"/>
      <c r="P25" s="811"/>
    </row>
    <row r="26" spans="1:16" ht="27.75" customHeight="1">
      <c r="A26" s="695"/>
      <c r="B26" s="438"/>
      <c r="C26" s="806" t="s">
        <v>439</v>
      </c>
      <c r="D26" s="807"/>
      <c r="E26" s="807"/>
      <c r="F26" s="807"/>
      <c r="G26" s="807"/>
      <c r="H26" s="807"/>
      <c r="I26" s="807"/>
      <c r="J26" s="808"/>
      <c r="K26" s="432">
        <f>SUM(K24:K25)</f>
        <v>13986.58</v>
      </c>
      <c r="M26" s="817"/>
      <c r="N26" s="811"/>
      <c r="O26" s="811"/>
      <c r="P26" s="811"/>
    </row>
    <row r="27" spans="1:16" ht="27.75" customHeight="1">
      <c r="A27" s="695"/>
      <c r="B27" s="438"/>
      <c r="C27" s="419">
        <v>3</v>
      </c>
      <c r="D27" s="837" t="s">
        <v>13</v>
      </c>
      <c r="E27" s="815"/>
      <c r="F27" s="815"/>
      <c r="G27" s="815"/>
      <c r="H27" s="815"/>
      <c r="I27" s="815"/>
      <c r="J27" s="815"/>
      <c r="K27" s="816"/>
      <c r="M27" s="417"/>
      <c r="N27" s="418"/>
      <c r="O27" s="418"/>
      <c r="P27" s="418"/>
    </row>
    <row r="28" spans="1:16" ht="45" customHeight="1" hidden="1">
      <c r="A28" s="695"/>
      <c r="B28" s="438"/>
      <c r="C28" s="439" t="s">
        <v>10</v>
      </c>
      <c r="D28" s="433" t="s">
        <v>191</v>
      </c>
      <c r="E28" s="430">
        <v>30011</v>
      </c>
      <c r="F28" s="434" t="s">
        <v>713</v>
      </c>
      <c r="G28" s="435">
        <f>'MC-PAV'!G38</f>
        <v>0</v>
      </c>
      <c r="H28" s="425" t="s">
        <v>0</v>
      </c>
      <c r="I28" s="436">
        <v>133.14</v>
      </c>
      <c r="J28" s="427">
        <f>I28*(1+$J$15)</f>
        <v>169.7</v>
      </c>
      <c r="K28" s="428">
        <f>G28*J28</f>
        <v>0</v>
      </c>
      <c r="M28" s="603"/>
      <c r="N28" s="418"/>
      <c r="O28" s="418"/>
      <c r="P28" s="418"/>
    </row>
    <row r="29" spans="1:16" ht="45" customHeight="1" hidden="1">
      <c r="A29" s="695"/>
      <c r="B29" s="438"/>
      <c r="C29" s="439" t="s">
        <v>32</v>
      </c>
      <c r="D29" s="433" t="s">
        <v>193</v>
      </c>
      <c r="E29" s="430" t="s">
        <v>33</v>
      </c>
      <c r="F29" s="434" t="s">
        <v>213</v>
      </c>
      <c r="G29" s="435">
        <f>'MC-PAV'!H38</f>
        <v>0</v>
      </c>
      <c r="H29" s="425" t="s">
        <v>2</v>
      </c>
      <c r="I29" s="436">
        <v>92.84</v>
      </c>
      <c r="J29" s="427">
        <f>I29*(1+$J$15)</f>
        <v>118.33</v>
      </c>
      <c r="K29" s="428">
        <f>G29*J29</f>
        <v>0</v>
      </c>
      <c r="M29" s="417"/>
      <c r="N29" s="418"/>
      <c r="O29" s="418"/>
      <c r="P29" s="418"/>
    </row>
    <row r="30" spans="1:16" ht="45" customHeight="1">
      <c r="A30" s="695"/>
      <c r="B30" s="438"/>
      <c r="C30" s="439" t="s">
        <v>10</v>
      </c>
      <c r="D30" s="433" t="s">
        <v>193</v>
      </c>
      <c r="E30" s="430" t="s">
        <v>155</v>
      </c>
      <c r="F30" s="434" t="s">
        <v>156</v>
      </c>
      <c r="G30" s="435">
        <f>'MC-PAV'!I38</f>
        <v>118.08</v>
      </c>
      <c r="H30" s="424" t="s">
        <v>0</v>
      </c>
      <c r="I30" s="436">
        <v>15.42</v>
      </c>
      <c r="J30" s="427">
        <f>I30*(1+$J$15)</f>
        <v>19.65</v>
      </c>
      <c r="K30" s="428">
        <f>G30*J30</f>
        <v>2320.27</v>
      </c>
      <c r="M30" s="417"/>
      <c r="N30" s="418"/>
      <c r="O30" s="418"/>
      <c r="P30" s="418"/>
    </row>
    <row r="31" spans="1:11" ht="45" customHeight="1">
      <c r="A31" s="695"/>
      <c r="B31" s="438"/>
      <c r="C31" s="439" t="s">
        <v>32</v>
      </c>
      <c r="D31" s="433" t="s">
        <v>193</v>
      </c>
      <c r="E31" s="430" t="s">
        <v>67</v>
      </c>
      <c r="F31" s="434" t="s">
        <v>68</v>
      </c>
      <c r="G31" s="435">
        <f>'MC-PAV'!K38</f>
        <v>2746</v>
      </c>
      <c r="H31" s="429" t="s">
        <v>3</v>
      </c>
      <c r="I31" s="436">
        <v>47.16</v>
      </c>
      <c r="J31" s="427">
        <f>I31*(1+$J$15)</f>
        <v>60.11</v>
      </c>
      <c r="K31" s="428">
        <f>G31*J31</f>
        <v>165062.06</v>
      </c>
    </row>
    <row r="32" spans="1:11" ht="45" customHeight="1">
      <c r="A32" s="695"/>
      <c r="B32" s="438"/>
      <c r="C32" s="439" t="s">
        <v>71</v>
      </c>
      <c r="D32" s="433" t="s">
        <v>193</v>
      </c>
      <c r="E32" s="440" t="s">
        <v>69</v>
      </c>
      <c r="F32" s="441" t="s">
        <v>70</v>
      </c>
      <c r="G32" s="435">
        <f>'MC-PAV'!J38</f>
        <v>2746</v>
      </c>
      <c r="H32" s="429" t="s">
        <v>3</v>
      </c>
      <c r="I32" s="427">
        <v>37.6</v>
      </c>
      <c r="J32" s="427">
        <f>I32*(1+$J$15)</f>
        <v>47.92</v>
      </c>
      <c r="K32" s="428">
        <f>G32*J32</f>
        <v>131588.32</v>
      </c>
    </row>
    <row r="33" spans="1:11" ht="27.75" customHeight="1">
      <c r="A33" s="695"/>
      <c r="B33" s="438"/>
      <c r="C33" s="813" t="s">
        <v>12</v>
      </c>
      <c r="D33" s="814"/>
      <c r="E33" s="814"/>
      <c r="F33" s="814"/>
      <c r="G33" s="814"/>
      <c r="H33" s="814"/>
      <c r="I33" s="814"/>
      <c r="J33" s="814"/>
      <c r="K33" s="432">
        <f>SUM(K28:K32)</f>
        <v>298970.65</v>
      </c>
    </row>
    <row r="34" spans="1:11" ht="27.75" customHeight="1">
      <c r="A34" s="695"/>
      <c r="B34" s="438"/>
      <c r="C34" s="442">
        <v>4</v>
      </c>
      <c r="D34" s="443"/>
      <c r="E34" s="443"/>
      <c r="F34" s="444" t="s">
        <v>5</v>
      </c>
      <c r="G34" s="815"/>
      <c r="H34" s="815"/>
      <c r="I34" s="815"/>
      <c r="J34" s="815"/>
      <c r="K34" s="816"/>
    </row>
    <row r="35" spans="1:11" ht="45" customHeight="1">
      <c r="A35" s="695"/>
      <c r="B35" s="438"/>
      <c r="C35" s="445" t="s">
        <v>35</v>
      </c>
      <c r="D35" s="446" t="s">
        <v>191</v>
      </c>
      <c r="E35" s="447">
        <v>180720</v>
      </c>
      <c r="F35" s="448" t="s">
        <v>707</v>
      </c>
      <c r="G35" s="424">
        <f>'MC-DRE'!E40</f>
        <v>170</v>
      </c>
      <c r="H35" s="429" t="s">
        <v>309</v>
      </c>
      <c r="I35" s="449">
        <v>165.56</v>
      </c>
      <c r="J35" s="427">
        <f aca="true" t="shared" si="0" ref="J35:J104">I35*(1+$J$15)</f>
        <v>211.02</v>
      </c>
      <c r="K35" s="428">
        <f aca="true" t="shared" si="1" ref="K35:K104">G35*J35</f>
        <v>35873.4</v>
      </c>
    </row>
    <row r="36" spans="1:11" ht="45" customHeight="1">
      <c r="A36" s="695"/>
      <c r="B36" s="438"/>
      <c r="C36" s="450" t="s">
        <v>442</v>
      </c>
      <c r="D36" s="433" t="s">
        <v>191</v>
      </c>
      <c r="E36" s="430" t="s">
        <v>521</v>
      </c>
      <c r="F36" s="431" t="s">
        <v>522</v>
      </c>
      <c r="G36" s="424">
        <f>'MC-DRE'!I40</f>
        <v>189.12</v>
      </c>
      <c r="H36" s="425" t="s">
        <v>0</v>
      </c>
      <c r="I36" s="449">
        <v>11.48</v>
      </c>
      <c r="J36" s="427">
        <f t="shared" si="0"/>
        <v>14.63</v>
      </c>
      <c r="K36" s="428">
        <f t="shared" si="1"/>
        <v>2766.83</v>
      </c>
    </row>
    <row r="37" spans="1:11" ht="45" customHeight="1">
      <c r="A37" s="695"/>
      <c r="B37" s="438"/>
      <c r="C37" s="450" t="s">
        <v>443</v>
      </c>
      <c r="D37" s="433" t="s">
        <v>193</v>
      </c>
      <c r="E37" s="422">
        <v>100980</v>
      </c>
      <c r="F37" s="434" t="s">
        <v>352</v>
      </c>
      <c r="G37" s="424">
        <f>'MC-DRE'!J40</f>
        <v>21.34</v>
      </c>
      <c r="H37" s="425" t="s">
        <v>0</v>
      </c>
      <c r="I37" s="451">
        <v>6.32</v>
      </c>
      <c r="J37" s="427">
        <f t="shared" si="0"/>
        <v>8.06</v>
      </c>
      <c r="K37" s="428">
        <f t="shared" si="1"/>
        <v>172</v>
      </c>
    </row>
    <row r="38" spans="1:11" s="452" customFormat="1" ht="45" customHeight="1">
      <c r="A38" s="696"/>
      <c r="B38" s="697"/>
      <c r="C38" s="450" t="s">
        <v>444</v>
      </c>
      <c r="D38" s="437" t="s">
        <v>193</v>
      </c>
      <c r="E38" s="430" t="s">
        <v>354</v>
      </c>
      <c r="F38" s="434" t="s">
        <v>355</v>
      </c>
      <c r="G38" s="424">
        <f>'MC-DRE'!K40</f>
        <v>266.75</v>
      </c>
      <c r="H38" s="425" t="s">
        <v>238</v>
      </c>
      <c r="I38" s="449">
        <v>2.78</v>
      </c>
      <c r="J38" s="427">
        <f t="shared" si="0"/>
        <v>3.54</v>
      </c>
      <c r="K38" s="428">
        <f t="shared" si="1"/>
        <v>944.3</v>
      </c>
    </row>
    <row r="39" spans="1:11" ht="45" customHeight="1">
      <c r="A39" s="695"/>
      <c r="B39" s="438"/>
      <c r="C39" s="450" t="s">
        <v>445</v>
      </c>
      <c r="D39" s="433" t="s">
        <v>193</v>
      </c>
      <c r="E39" s="422">
        <v>101616</v>
      </c>
      <c r="F39" s="441" t="s">
        <v>235</v>
      </c>
      <c r="G39" s="424">
        <f>'MC-DRE'!L40</f>
        <v>166.6</v>
      </c>
      <c r="H39" s="425" t="s">
        <v>2</v>
      </c>
      <c r="I39" s="449">
        <v>5.56</v>
      </c>
      <c r="J39" s="427">
        <f t="shared" si="0"/>
        <v>7.09</v>
      </c>
      <c r="K39" s="428">
        <f t="shared" si="1"/>
        <v>1181.19</v>
      </c>
    </row>
    <row r="40" spans="1:11" ht="45" customHeight="1">
      <c r="A40" s="695"/>
      <c r="B40" s="438"/>
      <c r="C40" s="450" t="s">
        <v>446</v>
      </c>
      <c r="D40" s="433" t="s">
        <v>191</v>
      </c>
      <c r="E40" s="422">
        <v>260278</v>
      </c>
      <c r="F40" s="434" t="s">
        <v>349</v>
      </c>
      <c r="G40" s="424">
        <f>'MC-DRE'!M40</f>
        <v>166.6</v>
      </c>
      <c r="H40" s="424" t="s">
        <v>2</v>
      </c>
      <c r="I40" s="451">
        <v>38.38</v>
      </c>
      <c r="J40" s="427">
        <f t="shared" si="0"/>
        <v>48.92</v>
      </c>
      <c r="K40" s="428">
        <f t="shared" si="1"/>
        <v>8150.07</v>
      </c>
    </row>
    <row r="41" spans="1:11" ht="45" customHeight="1">
      <c r="A41" s="695"/>
      <c r="B41" s="438"/>
      <c r="C41" s="450" t="s">
        <v>447</v>
      </c>
      <c r="D41" s="433" t="s">
        <v>191</v>
      </c>
      <c r="E41" s="422">
        <v>30011</v>
      </c>
      <c r="F41" s="434" t="s">
        <v>520</v>
      </c>
      <c r="G41" s="424">
        <f>'MC-DRE'!O40</f>
        <v>117.46</v>
      </c>
      <c r="H41" s="425" t="s">
        <v>0</v>
      </c>
      <c r="I41" s="451">
        <v>133.14</v>
      </c>
      <c r="J41" s="427">
        <f t="shared" si="0"/>
        <v>169.7</v>
      </c>
      <c r="K41" s="428">
        <f t="shared" si="1"/>
        <v>19932.96</v>
      </c>
    </row>
    <row r="42" spans="1:11" ht="45" customHeight="1">
      <c r="A42" s="695"/>
      <c r="B42" s="438"/>
      <c r="C42" s="450" t="s">
        <v>448</v>
      </c>
      <c r="D42" s="437" t="s">
        <v>193</v>
      </c>
      <c r="E42" s="430" t="s">
        <v>351</v>
      </c>
      <c r="F42" s="434" t="s">
        <v>639</v>
      </c>
      <c r="G42" s="424">
        <f>'MC-DRE'!P40</f>
        <v>50.33</v>
      </c>
      <c r="H42" s="425" t="s">
        <v>0</v>
      </c>
      <c r="I42" s="449">
        <v>17.82</v>
      </c>
      <c r="J42" s="427">
        <f t="shared" si="0"/>
        <v>22.71</v>
      </c>
      <c r="K42" s="428">
        <f t="shared" si="1"/>
        <v>1142.99</v>
      </c>
    </row>
    <row r="43" spans="1:11" ht="45" customHeight="1" hidden="1">
      <c r="A43" s="695"/>
      <c r="B43" s="438"/>
      <c r="C43" s="450" t="s">
        <v>523</v>
      </c>
      <c r="D43" s="433" t="s">
        <v>193</v>
      </c>
      <c r="E43" s="422">
        <v>101579</v>
      </c>
      <c r="F43" s="434" t="s">
        <v>638</v>
      </c>
      <c r="G43" s="424">
        <f>'MC-DRE'!Q40</f>
        <v>0</v>
      </c>
      <c r="H43" s="424" t="s">
        <v>2</v>
      </c>
      <c r="I43" s="451">
        <v>36.19</v>
      </c>
      <c r="J43" s="427">
        <f t="shared" si="0"/>
        <v>46.13</v>
      </c>
      <c r="K43" s="428">
        <f t="shared" si="1"/>
        <v>0</v>
      </c>
    </row>
    <row r="44" spans="1:11" ht="45" customHeight="1">
      <c r="A44" s="695"/>
      <c r="B44" s="438"/>
      <c r="C44" s="450" t="s">
        <v>523</v>
      </c>
      <c r="D44" s="433" t="s">
        <v>193</v>
      </c>
      <c r="E44" s="430" t="s">
        <v>429</v>
      </c>
      <c r="F44" s="434" t="s">
        <v>430</v>
      </c>
      <c r="G44" s="424">
        <f>'MC-DRE'!R40</f>
        <v>170</v>
      </c>
      <c r="H44" s="425" t="s">
        <v>3</v>
      </c>
      <c r="I44" s="449">
        <v>61.07</v>
      </c>
      <c r="J44" s="427">
        <f t="shared" si="0"/>
        <v>77.84</v>
      </c>
      <c r="K44" s="428">
        <f t="shared" si="1"/>
        <v>13232.8</v>
      </c>
    </row>
    <row r="45" spans="1:11" ht="45" customHeight="1">
      <c r="A45" s="695"/>
      <c r="B45" s="438"/>
      <c r="C45" s="445" t="s">
        <v>36</v>
      </c>
      <c r="D45" s="453" t="s">
        <v>191</v>
      </c>
      <c r="E45" s="454" t="s">
        <v>519</v>
      </c>
      <c r="F45" s="455" t="s">
        <v>708</v>
      </c>
      <c r="G45" s="424">
        <f>'MC-DRE'!E68</f>
        <v>745</v>
      </c>
      <c r="H45" s="429" t="s">
        <v>309</v>
      </c>
      <c r="I45" s="449">
        <v>274.68</v>
      </c>
      <c r="J45" s="427">
        <f t="shared" si="0"/>
        <v>350.11</v>
      </c>
      <c r="K45" s="428">
        <f t="shared" si="1"/>
        <v>260831.95</v>
      </c>
    </row>
    <row r="46" spans="1:11" ht="45" customHeight="1">
      <c r="A46" s="695"/>
      <c r="B46" s="438"/>
      <c r="C46" s="450" t="s">
        <v>449</v>
      </c>
      <c r="D46" s="433" t="s">
        <v>191</v>
      </c>
      <c r="E46" s="430" t="s">
        <v>521</v>
      </c>
      <c r="F46" s="431" t="s">
        <v>522</v>
      </c>
      <c r="G46" s="424">
        <f>'MC-DRE'!I68</f>
        <v>1248.92</v>
      </c>
      <c r="H46" s="425" t="s">
        <v>0</v>
      </c>
      <c r="I46" s="449">
        <f>I36</f>
        <v>11.48</v>
      </c>
      <c r="J46" s="427">
        <f t="shared" si="0"/>
        <v>14.63</v>
      </c>
      <c r="K46" s="428">
        <f t="shared" si="1"/>
        <v>18271.7</v>
      </c>
    </row>
    <row r="47" spans="1:11" ht="45" customHeight="1">
      <c r="A47" s="695"/>
      <c r="B47" s="438"/>
      <c r="C47" s="450" t="s">
        <v>450</v>
      </c>
      <c r="D47" s="433" t="s">
        <v>193</v>
      </c>
      <c r="E47" s="422">
        <v>100980</v>
      </c>
      <c r="F47" s="434" t="s">
        <v>352</v>
      </c>
      <c r="G47" s="424">
        <f>'MC-DRE'!J68</f>
        <v>210.54</v>
      </c>
      <c r="H47" s="425" t="s">
        <v>0</v>
      </c>
      <c r="I47" s="449">
        <f aca="true" t="shared" si="2" ref="I47:I52">I37</f>
        <v>6.32</v>
      </c>
      <c r="J47" s="427">
        <f t="shared" si="0"/>
        <v>8.06</v>
      </c>
      <c r="K47" s="428">
        <f t="shared" si="1"/>
        <v>1696.95</v>
      </c>
    </row>
    <row r="48" spans="1:11" s="452" customFormat="1" ht="45" customHeight="1">
      <c r="A48" s="696"/>
      <c r="B48" s="697"/>
      <c r="C48" s="450" t="s">
        <v>451</v>
      </c>
      <c r="D48" s="437" t="s">
        <v>193</v>
      </c>
      <c r="E48" s="430" t="s">
        <v>354</v>
      </c>
      <c r="F48" s="434" t="s">
        <v>355</v>
      </c>
      <c r="G48" s="424">
        <f>'MC-DRE'!K68</f>
        <v>2631.76</v>
      </c>
      <c r="H48" s="425" t="s">
        <v>238</v>
      </c>
      <c r="I48" s="449">
        <f t="shared" si="2"/>
        <v>2.78</v>
      </c>
      <c r="J48" s="427">
        <f t="shared" si="0"/>
        <v>3.54</v>
      </c>
      <c r="K48" s="428">
        <f t="shared" si="1"/>
        <v>9316.43</v>
      </c>
    </row>
    <row r="49" spans="1:11" ht="45" customHeight="1">
      <c r="A49" s="695"/>
      <c r="B49" s="438"/>
      <c r="C49" s="450" t="s">
        <v>452</v>
      </c>
      <c r="D49" s="433" t="s">
        <v>193</v>
      </c>
      <c r="E49" s="422">
        <v>101616</v>
      </c>
      <c r="F49" s="441" t="s">
        <v>235</v>
      </c>
      <c r="G49" s="424">
        <f>'MC-DRE'!L68</f>
        <v>908.9</v>
      </c>
      <c r="H49" s="425" t="s">
        <v>2</v>
      </c>
      <c r="I49" s="449">
        <f t="shared" si="2"/>
        <v>5.56</v>
      </c>
      <c r="J49" s="427">
        <f t="shared" si="0"/>
        <v>7.09</v>
      </c>
      <c r="K49" s="428">
        <f t="shared" si="1"/>
        <v>6444.1</v>
      </c>
    </row>
    <row r="50" spans="1:11" ht="45" customHeight="1">
      <c r="A50" s="695"/>
      <c r="B50" s="438"/>
      <c r="C50" s="450" t="s">
        <v>453</v>
      </c>
      <c r="D50" s="433" t="s">
        <v>191</v>
      </c>
      <c r="E50" s="422">
        <v>260278</v>
      </c>
      <c r="F50" s="434" t="s">
        <v>349</v>
      </c>
      <c r="G50" s="424">
        <f>'MC-DRE'!M68</f>
        <v>908.9</v>
      </c>
      <c r="H50" s="424" t="s">
        <v>2</v>
      </c>
      <c r="I50" s="449">
        <f t="shared" si="2"/>
        <v>38.38</v>
      </c>
      <c r="J50" s="427">
        <f t="shared" si="0"/>
        <v>48.92</v>
      </c>
      <c r="K50" s="428">
        <f t="shared" si="1"/>
        <v>44463.39</v>
      </c>
    </row>
    <row r="51" spans="1:11" ht="45" customHeight="1">
      <c r="A51" s="695"/>
      <c r="B51" s="438"/>
      <c r="C51" s="450" t="s">
        <v>454</v>
      </c>
      <c r="D51" s="433" t="s">
        <v>191</v>
      </c>
      <c r="E51" s="422">
        <v>30011</v>
      </c>
      <c r="F51" s="434" t="s">
        <v>520</v>
      </c>
      <c r="G51" s="424">
        <f>'MC-DRE'!O68</f>
        <v>726.87</v>
      </c>
      <c r="H51" s="425" t="s">
        <v>0</v>
      </c>
      <c r="I51" s="449">
        <f t="shared" si="2"/>
        <v>133.14</v>
      </c>
      <c r="J51" s="427">
        <f t="shared" si="0"/>
        <v>169.7</v>
      </c>
      <c r="K51" s="428">
        <f t="shared" si="1"/>
        <v>123349.84</v>
      </c>
    </row>
    <row r="52" spans="1:11" ht="45" customHeight="1">
      <c r="A52" s="695"/>
      <c r="B52" s="438"/>
      <c r="C52" s="450" t="s">
        <v>455</v>
      </c>
      <c r="D52" s="437" t="s">
        <v>193</v>
      </c>
      <c r="E52" s="430" t="s">
        <v>351</v>
      </c>
      <c r="F52" s="434" t="s">
        <v>639</v>
      </c>
      <c r="G52" s="424">
        <f>'MC-DRE'!P68</f>
        <v>311.51</v>
      </c>
      <c r="H52" s="425" t="s">
        <v>0</v>
      </c>
      <c r="I52" s="449">
        <f t="shared" si="2"/>
        <v>17.82</v>
      </c>
      <c r="J52" s="427">
        <f t="shared" si="0"/>
        <v>22.71</v>
      </c>
      <c r="K52" s="428">
        <f t="shared" si="1"/>
        <v>7074.39</v>
      </c>
    </row>
    <row r="53" spans="1:11" ht="45" customHeight="1" hidden="1">
      <c r="A53" s="695"/>
      <c r="B53" s="438"/>
      <c r="C53" s="450" t="s">
        <v>526</v>
      </c>
      <c r="D53" s="433" t="s">
        <v>193</v>
      </c>
      <c r="E53" s="422">
        <v>101579</v>
      </c>
      <c r="F53" s="434" t="s">
        <v>638</v>
      </c>
      <c r="G53" s="424">
        <f>'MC-DRE'!Q68</f>
        <v>0</v>
      </c>
      <c r="H53" s="424" t="s">
        <v>2</v>
      </c>
      <c r="I53" s="449">
        <f>I43</f>
        <v>36.19</v>
      </c>
      <c r="J53" s="427">
        <f t="shared" si="0"/>
        <v>46.13</v>
      </c>
      <c r="K53" s="428">
        <f t="shared" si="1"/>
        <v>0</v>
      </c>
    </row>
    <row r="54" spans="1:11" ht="45" customHeight="1">
      <c r="A54" s="695"/>
      <c r="B54" s="438"/>
      <c r="C54" s="450" t="s">
        <v>526</v>
      </c>
      <c r="D54" s="437" t="s">
        <v>193</v>
      </c>
      <c r="E54" s="429">
        <v>92824</v>
      </c>
      <c r="F54" s="431" t="s">
        <v>431</v>
      </c>
      <c r="G54" s="424">
        <f>'MC-DRE'!R68</f>
        <v>745</v>
      </c>
      <c r="H54" s="425" t="s">
        <v>3</v>
      </c>
      <c r="I54" s="449">
        <v>88.9</v>
      </c>
      <c r="J54" s="427">
        <f t="shared" si="0"/>
        <v>113.31</v>
      </c>
      <c r="K54" s="428">
        <f t="shared" si="1"/>
        <v>84415.95</v>
      </c>
    </row>
    <row r="55" spans="1:11" ht="45" customHeight="1" hidden="1">
      <c r="A55" s="695"/>
      <c r="B55" s="438"/>
      <c r="C55" s="445" t="s">
        <v>37</v>
      </c>
      <c r="D55" s="453" t="s">
        <v>191</v>
      </c>
      <c r="E55" s="454" t="s">
        <v>227</v>
      </c>
      <c r="F55" s="455" t="s">
        <v>709</v>
      </c>
      <c r="G55" s="424">
        <f>'MC-DRE'!E96</f>
        <v>0</v>
      </c>
      <c r="H55" s="429" t="s">
        <v>309</v>
      </c>
      <c r="I55" s="449">
        <v>423.97</v>
      </c>
      <c r="J55" s="427">
        <f t="shared" si="0"/>
        <v>540.39</v>
      </c>
      <c r="K55" s="428">
        <f t="shared" si="1"/>
        <v>0</v>
      </c>
    </row>
    <row r="56" spans="1:11" ht="45" customHeight="1" hidden="1">
      <c r="A56" s="695"/>
      <c r="B56" s="438"/>
      <c r="C56" s="450" t="s">
        <v>456</v>
      </c>
      <c r="D56" s="433" t="s">
        <v>191</v>
      </c>
      <c r="E56" s="430" t="s">
        <v>521</v>
      </c>
      <c r="F56" s="431" t="s">
        <v>522</v>
      </c>
      <c r="G56" s="424">
        <f>'MC-DRE'!I96</f>
        <v>0</v>
      </c>
      <c r="H56" s="425" t="s">
        <v>0</v>
      </c>
      <c r="I56" s="449">
        <v>11.48</v>
      </c>
      <c r="J56" s="427">
        <f t="shared" si="0"/>
        <v>14.63</v>
      </c>
      <c r="K56" s="428">
        <f t="shared" si="1"/>
        <v>0</v>
      </c>
    </row>
    <row r="57" spans="1:11" ht="45" customHeight="1" hidden="1">
      <c r="A57" s="695"/>
      <c r="B57" s="438"/>
      <c r="C57" s="450" t="s">
        <v>457</v>
      </c>
      <c r="D57" s="433" t="s">
        <v>193</v>
      </c>
      <c r="E57" s="422">
        <v>100980</v>
      </c>
      <c r="F57" s="434" t="s">
        <v>352</v>
      </c>
      <c r="G57" s="424">
        <f>'MC-DRE'!J96</f>
        <v>0</v>
      </c>
      <c r="H57" s="425" t="s">
        <v>0</v>
      </c>
      <c r="I57" s="451">
        <v>6.33</v>
      </c>
      <c r="J57" s="427">
        <f t="shared" si="0"/>
        <v>8.07</v>
      </c>
      <c r="K57" s="428">
        <f t="shared" si="1"/>
        <v>0</v>
      </c>
    </row>
    <row r="58" spans="1:11" s="452" customFormat="1" ht="45" customHeight="1" hidden="1">
      <c r="A58" s="696"/>
      <c r="B58" s="697"/>
      <c r="C58" s="450" t="s">
        <v>458</v>
      </c>
      <c r="D58" s="437" t="s">
        <v>193</v>
      </c>
      <c r="E58" s="430" t="s">
        <v>354</v>
      </c>
      <c r="F58" s="434" t="s">
        <v>355</v>
      </c>
      <c r="G58" s="424">
        <f>'MC-DRE'!K96</f>
        <v>0</v>
      </c>
      <c r="H58" s="425" t="s">
        <v>238</v>
      </c>
      <c r="I58" s="449">
        <v>2.78</v>
      </c>
      <c r="J58" s="427">
        <f t="shared" si="0"/>
        <v>3.54</v>
      </c>
      <c r="K58" s="428">
        <f t="shared" si="1"/>
        <v>0</v>
      </c>
    </row>
    <row r="59" spans="1:11" ht="45" customHeight="1" hidden="1">
      <c r="A59" s="695"/>
      <c r="B59" s="438"/>
      <c r="C59" s="450" t="s">
        <v>459</v>
      </c>
      <c r="D59" s="433" t="s">
        <v>193</v>
      </c>
      <c r="E59" s="422">
        <v>101616</v>
      </c>
      <c r="F59" s="441" t="s">
        <v>235</v>
      </c>
      <c r="G59" s="424">
        <f>'MC-DRE'!L96</f>
        <v>0</v>
      </c>
      <c r="H59" s="425" t="s">
        <v>2</v>
      </c>
      <c r="I59" s="449">
        <v>5.51</v>
      </c>
      <c r="J59" s="427">
        <f t="shared" si="0"/>
        <v>7.02</v>
      </c>
      <c r="K59" s="428">
        <f t="shared" si="1"/>
        <v>0</v>
      </c>
    </row>
    <row r="60" spans="1:11" ht="45" customHeight="1" hidden="1">
      <c r="A60" s="695"/>
      <c r="B60" s="438"/>
      <c r="C60" s="450" t="s">
        <v>460</v>
      </c>
      <c r="D60" s="433" t="s">
        <v>191</v>
      </c>
      <c r="E60" s="422">
        <v>260278</v>
      </c>
      <c r="F60" s="434" t="s">
        <v>349</v>
      </c>
      <c r="G60" s="424">
        <f>'MC-DRE'!M96</f>
        <v>0</v>
      </c>
      <c r="H60" s="424" t="s">
        <v>2</v>
      </c>
      <c r="I60" s="451">
        <v>38.38</v>
      </c>
      <c r="J60" s="427">
        <f t="shared" si="0"/>
        <v>48.92</v>
      </c>
      <c r="K60" s="428">
        <f t="shared" si="1"/>
        <v>0</v>
      </c>
    </row>
    <row r="61" spans="1:11" ht="45" customHeight="1" hidden="1">
      <c r="A61" s="695"/>
      <c r="B61" s="438"/>
      <c r="C61" s="450" t="s">
        <v>461</v>
      </c>
      <c r="D61" s="433" t="s">
        <v>191</v>
      </c>
      <c r="E61" s="422">
        <v>30011</v>
      </c>
      <c r="F61" s="434" t="s">
        <v>520</v>
      </c>
      <c r="G61" s="424">
        <f>'MC-DRE'!O96</f>
        <v>0</v>
      </c>
      <c r="H61" s="425" t="s">
        <v>0</v>
      </c>
      <c r="I61" s="451">
        <v>133.14</v>
      </c>
      <c r="J61" s="427">
        <f t="shared" si="0"/>
        <v>169.7</v>
      </c>
      <c r="K61" s="428">
        <f t="shared" si="1"/>
        <v>0</v>
      </c>
    </row>
    <row r="62" spans="1:11" ht="45" customHeight="1" hidden="1">
      <c r="A62" s="695"/>
      <c r="B62" s="438"/>
      <c r="C62" s="450" t="s">
        <v>462</v>
      </c>
      <c r="D62" s="437" t="s">
        <v>193</v>
      </c>
      <c r="E62" s="430" t="s">
        <v>351</v>
      </c>
      <c r="F62" s="434" t="s">
        <v>639</v>
      </c>
      <c r="G62" s="424">
        <f>'MC-DRE'!P96</f>
        <v>0</v>
      </c>
      <c r="H62" s="425" t="s">
        <v>0</v>
      </c>
      <c r="I62" s="449">
        <v>17.77</v>
      </c>
      <c r="J62" s="427">
        <f t="shared" si="0"/>
        <v>22.65</v>
      </c>
      <c r="K62" s="428">
        <f t="shared" si="1"/>
        <v>0</v>
      </c>
    </row>
    <row r="63" spans="1:11" ht="45" customHeight="1" hidden="1">
      <c r="A63" s="695"/>
      <c r="B63" s="438"/>
      <c r="C63" s="450" t="s">
        <v>527</v>
      </c>
      <c r="D63" s="433" t="s">
        <v>193</v>
      </c>
      <c r="E63" s="422">
        <v>101579</v>
      </c>
      <c r="F63" s="434" t="s">
        <v>638</v>
      </c>
      <c r="G63" s="424">
        <f>'MC-DRE'!Q96</f>
        <v>0</v>
      </c>
      <c r="H63" s="424" t="s">
        <v>2</v>
      </c>
      <c r="I63" s="451">
        <v>36.19</v>
      </c>
      <c r="J63" s="427">
        <f t="shared" si="0"/>
        <v>46.13</v>
      </c>
      <c r="K63" s="428">
        <f t="shared" si="1"/>
        <v>0</v>
      </c>
    </row>
    <row r="64" spans="1:11" ht="45" customHeight="1" hidden="1">
      <c r="A64" s="695"/>
      <c r="B64" s="438"/>
      <c r="C64" s="450" t="s">
        <v>528</v>
      </c>
      <c r="D64" s="437" t="s">
        <v>193</v>
      </c>
      <c r="E64" s="429">
        <v>92826</v>
      </c>
      <c r="F64" s="431" t="s">
        <v>432</v>
      </c>
      <c r="G64" s="424">
        <f>'MC-DRE'!R96</f>
        <v>0</v>
      </c>
      <c r="H64" s="425" t="s">
        <v>3</v>
      </c>
      <c r="I64" s="449">
        <v>119.28</v>
      </c>
      <c r="J64" s="427">
        <f t="shared" si="0"/>
        <v>152.03</v>
      </c>
      <c r="K64" s="428">
        <f t="shared" si="1"/>
        <v>0</v>
      </c>
    </row>
    <row r="65" spans="1:11" ht="45" customHeight="1" hidden="1">
      <c r="A65" s="695"/>
      <c r="B65" s="438"/>
      <c r="C65" s="445" t="s">
        <v>353</v>
      </c>
      <c r="D65" s="453" t="s">
        <v>191</v>
      </c>
      <c r="E65" s="454" t="s">
        <v>228</v>
      </c>
      <c r="F65" s="455" t="s">
        <v>710</v>
      </c>
      <c r="G65" s="424">
        <f>'MC-DRE'!E124</f>
        <v>0</v>
      </c>
      <c r="H65" s="429" t="s">
        <v>309</v>
      </c>
      <c r="I65" s="449">
        <v>574.04</v>
      </c>
      <c r="J65" s="427">
        <f t="shared" si="0"/>
        <v>731.67</v>
      </c>
      <c r="K65" s="428">
        <f t="shared" si="1"/>
        <v>0</v>
      </c>
    </row>
    <row r="66" spans="1:11" ht="45" customHeight="1" hidden="1">
      <c r="A66" s="695"/>
      <c r="B66" s="438"/>
      <c r="C66" s="450" t="s">
        <v>463</v>
      </c>
      <c r="D66" s="433" t="s">
        <v>191</v>
      </c>
      <c r="E66" s="430" t="s">
        <v>521</v>
      </c>
      <c r="F66" s="431" t="s">
        <v>522</v>
      </c>
      <c r="G66" s="424">
        <f>'MC-DRE'!I124</f>
        <v>0</v>
      </c>
      <c r="H66" s="425" t="s">
        <v>0</v>
      </c>
      <c r="I66" s="449">
        <v>11.48</v>
      </c>
      <c r="J66" s="427">
        <f t="shared" si="0"/>
        <v>14.63</v>
      </c>
      <c r="K66" s="428">
        <f t="shared" si="1"/>
        <v>0</v>
      </c>
    </row>
    <row r="67" spans="1:11" ht="45" customHeight="1" hidden="1">
      <c r="A67" s="695"/>
      <c r="B67" s="438"/>
      <c r="C67" s="450" t="s">
        <v>464</v>
      </c>
      <c r="D67" s="433" t="s">
        <v>193</v>
      </c>
      <c r="E67" s="422">
        <v>100980</v>
      </c>
      <c r="F67" s="434" t="s">
        <v>352</v>
      </c>
      <c r="G67" s="424">
        <f>'MC-DRE'!J124</f>
        <v>0</v>
      </c>
      <c r="H67" s="425" t="s">
        <v>0</v>
      </c>
      <c r="I67" s="451">
        <v>6.33</v>
      </c>
      <c r="J67" s="427">
        <f t="shared" si="0"/>
        <v>8.07</v>
      </c>
      <c r="K67" s="428">
        <f t="shared" si="1"/>
        <v>0</v>
      </c>
    </row>
    <row r="68" spans="1:11" s="452" customFormat="1" ht="45" customHeight="1" hidden="1">
      <c r="A68" s="696"/>
      <c r="B68" s="697"/>
      <c r="C68" s="450" t="s">
        <v>465</v>
      </c>
      <c r="D68" s="437" t="s">
        <v>193</v>
      </c>
      <c r="E68" s="430" t="s">
        <v>354</v>
      </c>
      <c r="F68" s="434" t="s">
        <v>355</v>
      </c>
      <c r="G68" s="424">
        <f>'MC-DRE'!K124</f>
        <v>0</v>
      </c>
      <c r="H68" s="425" t="s">
        <v>238</v>
      </c>
      <c r="I68" s="449">
        <v>2.78</v>
      </c>
      <c r="J68" s="427">
        <f t="shared" si="0"/>
        <v>3.54</v>
      </c>
      <c r="K68" s="428">
        <f t="shared" si="1"/>
        <v>0</v>
      </c>
    </row>
    <row r="69" spans="1:11" ht="45" customHeight="1" hidden="1">
      <c r="A69" s="695"/>
      <c r="B69" s="438"/>
      <c r="C69" s="450" t="s">
        <v>466</v>
      </c>
      <c r="D69" s="433" t="s">
        <v>193</v>
      </c>
      <c r="E69" s="422">
        <v>101616</v>
      </c>
      <c r="F69" s="441" t="s">
        <v>235</v>
      </c>
      <c r="G69" s="424">
        <f>'MC-DRE'!L124</f>
        <v>0</v>
      </c>
      <c r="H69" s="425" t="s">
        <v>2</v>
      </c>
      <c r="I69" s="449">
        <v>5.51</v>
      </c>
      <c r="J69" s="427">
        <f t="shared" si="0"/>
        <v>7.02</v>
      </c>
      <c r="K69" s="428">
        <f t="shared" si="1"/>
        <v>0</v>
      </c>
    </row>
    <row r="70" spans="1:11" ht="45" customHeight="1" hidden="1">
      <c r="A70" s="695"/>
      <c r="B70" s="438"/>
      <c r="C70" s="450" t="s">
        <v>467</v>
      </c>
      <c r="D70" s="433" t="s">
        <v>191</v>
      </c>
      <c r="E70" s="422">
        <v>260278</v>
      </c>
      <c r="F70" s="434" t="s">
        <v>349</v>
      </c>
      <c r="G70" s="424">
        <f>'MC-DRE'!M124</f>
        <v>0</v>
      </c>
      <c r="H70" s="424" t="s">
        <v>2</v>
      </c>
      <c r="I70" s="451">
        <v>38.38</v>
      </c>
      <c r="J70" s="427">
        <f t="shared" si="0"/>
        <v>48.92</v>
      </c>
      <c r="K70" s="428">
        <f t="shared" si="1"/>
        <v>0</v>
      </c>
    </row>
    <row r="71" spans="1:11" ht="45" customHeight="1" hidden="1">
      <c r="A71" s="695"/>
      <c r="B71" s="438"/>
      <c r="C71" s="450" t="s">
        <v>468</v>
      </c>
      <c r="D71" s="433" t="s">
        <v>191</v>
      </c>
      <c r="E71" s="422">
        <v>30011</v>
      </c>
      <c r="F71" s="434" t="s">
        <v>520</v>
      </c>
      <c r="G71" s="424">
        <f>'MC-DRE'!O124</f>
        <v>0</v>
      </c>
      <c r="H71" s="425" t="s">
        <v>0</v>
      </c>
      <c r="I71" s="451">
        <v>133.14</v>
      </c>
      <c r="J71" s="427">
        <f t="shared" si="0"/>
        <v>169.7</v>
      </c>
      <c r="K71" s="428">
        <f t="shared" si="1"/>
        <v>0</v>
      </c>
    </row>
    <row r="72" spans="1:11" ht="45" customHeight="1" hidden="1">
      <c r="A72" s="695"/>
      <c r="B72" s="438"/>
      <c r="C72" s="450" t="s">
        <v>469</v>
      </c>
      <c r="D72" s="437" t="s">
        <v>193</v>
      </c>
      <c r="E72" s="430" t="s">
        <v>351</v>
      </c>
      <c r="F72" s="434" t="s">
        <v>639</v>
      </c>
      <c r="G72" s="424">
        <f>'MC-DRE'!P124</f>
        <v>0</v>
      </c>
      <c r="H72" s="425" t="s">
        <v>0</v>
      </c>
      <c r="I72" s="449">
        <v>17.77</v>
      </c>
      <c r="J72" s="427">
        <f t="shared" si="0"/>
        <v>22.65</v>
      </c>
      <c r="K72" s="428">
        <f t="shared" si="1"/>
        <v>0</v>
      </c>
    </row>
    <row r="73" spans="1:11" ht="45" customHeight="1" hidden="1">
      <c r="A73" s="695"/>
      <c r="B73" s="438"/>
      <c r="C73" s="450" t="s">
        <v>529</v>
      </c>
      <c r="D73" s="433" t="s">
        <v>193</v>
      </c>
      <c r="E73" s="422">
        <v>101579</v>
      </c>
      <c r="F73" s="434" t="s">
        <v>638</v>
      </c>
      <c r="G73" s="424">
        <f>'MC-DRE'!Q124</f>
        <v>0</v>
      </c>
      <c r="H73" s="424" t="s">
        <v>2</v>
      </c>
      <c r="I73" s="451">
        <v>36.19</v>
      </c>
      <c r="J73" s="427">
        <f t="shared" si="0"/>
        <v>46.13</v>
      </c>
      <c r="K73" s="428">
        <f t="shared" si="1"/>
        <v>0</v>
      </c>
    </row>
    <row r="74" spans="1:11" ht="45" customHeight="1" hidden="1">
      <c r="A74" s="695"/>
      <c r="B74" s="438"/>
      <c r="C74" s="450" t="s">
        <v>530</v>
      </c>
      <c r="D74" s="437" t="s">
        <v>193</v>
      </c>
      <c r="E74" s="429">
        <v>92828</v>
      </c>
      <c r="F74" s="431" t="s">
        <v>433</v>
      </c>
      <c r="G74" s="424">
        <f>'MC-DRE'!R124</f>
        <v>0</v>
      </c>
      <c r="H74" s="425" t="s">
        <v>3</v>
      </c>
      <c r="I74" s="449">
        <v>157.21</v>
      </c>
      <c r="J74" s="427">
        <f t="shared" si="0"/>
        <v>200.38</v>
      </c>
      <c r="K74" s="428">
        <f t="shared" si="1"/>
        <v>0</v>
      </c>
    </row>
    <row r="75" spans="1:11" ht="45" customHeight="1" hidden="1">
      <c r="A75" s="695"/>
      <c r="B75" s="438"/>
      <c r="C75" s="445" t="s">
        <v>470</v>
      </c>
      <c r="D75" s="453" t="s">
        <v>193</v>
      </c>
      <c r="E75" s="454" t="s">
        <v>440</v>
      </c>
      <c r="F75" s="455" t="s">
        <v>711</v>
      </c>
      <c r="G75" s="424">
        <f>'MC-DRE'!E152</f>
        <v>0</v>
      </c>
      <c r="H75" s="429" t="s">
        <v>309</v>
      </c>
      <c r="I75" s="449">
        <v>942.32</v>
      </c>
      <c r="J75" s="427">
        <f t="shared" si="0"/>
        <v>1201.08</v>
      </c>
      <c r="K75" s="428">
        <f t="shared" si="1"/>
        <v>0</v>
      </c>
    </row>
    <row r="76" spans="1:11" ht="45" customHeight="1" hidden="1">
      <c r="A76" s="695"/>
      <c r="B76" s="438"/>
      <c r="C76" s="450" t="s">
        <v>471</v>
      </c>
      <c r="D76" s="433" t="s">
        <v>191</v>
      </c>
      <c r="E76" s="430" t="s">
        <v>521</v>
      </c>
      <c r="F76" s="431" t="s">
        <v>522</v>
      </c>
      <c r="G76" s="424">
        <f>'MC-DRE'!I152</f>
        <v>0</v>
      </c>
      <c r="H76" s="425" t="s">
        <v>0</v>
      </c>
      <c r="I76" s="449">
        <v>11.48</v>
      </c>
      <c r="J76" s="427">
        <f t="shared" si="0"/>
        <v>14.63</v>
      </c>
      <c r="K76" s="428">
        <f t="shared" si="1"/>
        <v>0</v>
      </c>
    </row>
    <row r="77" spans="1:11" ht="45" customHeight="1" hidden="1">
      <c r="A77" s="695"/>
      <c r="B77" s="438"/>
      <c r="C77" s="450" t="s">
        <v>472</v>
      </c>
      <c r="D77" s="433" t="s">
        <v>193</v>
      </c>
      <c r="E77" s="422">
        <v>100980</v>
      </c>
      <c r="F77" s="434" t="s">
        <v>352</v>
      </c>
      <c r="G77" s="424">
        <f>'MC-DRE'!J152</f>
        <v>0</v>
      </c>
      <c r="H77" s="425" t="s">
        <v>0</v>
      </c>
      <c r="I77" s="451">
        <v>6.33</v>
      </c>
      <c r="J77" s="427">
        <f t="shared" si="0"/>
        <v>8.07</v>
      </c>
      <c r="K77" s="428">
        <f t="shared" si="1"/>
        <v>0</v>
      </c>
    </row>
    <row r="78" spans="1:11" s="452" customFormat="1" ht="45" customHeight="1" hidden="1">
      <c r="A78" s="696"/>
      <c r="B78" s="697"/>
      <c r="C78" s="450" t="s">
        <v>473</v>
      </c>
      <c r="D78" s="437" t="s">
        <v>193</v>
      </c>
      <c r="E78" s="430" t="s">
        <v>354</v>
      </c>
      <c r="F78" s="434" t="s">
        <v>355</v>
      </c>
      <c r="G78" s="424">
        <f>'MC-DRE'!K152</f>
        <v>0</v>
      </c>
      <c r="H78" s="425" t="s">
        <v>238</v>
      </c>
      <c r="I78" s="449">
        <v>2.78</v>
      </c>
      <c r="J78" s="427">
        <f t="shared" si="0"/>
        <v>3.54</v>
      </c>
      <c r="K78" s="428">
        <f t="shared" si="1"/>
        <v>0</v>
      </c>
    </row>
    <row r="79" spans="1:11" ht="45" customHeight="1" hidden="1">
      <c r="A79" s="695"/>
      <c r="B79" s="438"/>
      <c r="C79" s="450" t="s">
        <v>474</v>
      </c>
      <c r="D79" s="433" t="s">
        <v>193</v>
      </c>
      <c r="E79" s="422">
        <v>101616</v>
      </c>
      <c r="F79" s="441" t="s">
        <v>235</v>
      </c>
      <c r="G79" s="424">
        <f>'MC-DRE'!L152</f>
        <v>0</v>
      </c>
      <c r="H79" s="425" t="s">
        <v>2</v>
      </c>
      <c r="I79" s="449">
        <v>5.51</v>
      </c>
      <c r="J79" s="427">
        <f t="shared" si="0"/>
        <v>7.02</v>
      </c>
      <c r="K79" s="428">
        <f t="shared" si="1"/>
        <v>0</v>
      </c>
    </row>
    <row r="80" spans="1:11" ht="45" customHeight="1" hidden="1">
      <c r="A80" s="695"/>
      <c r="B80" s="438"/>
      <c r="C80" s="450" t="s">
        <v>475</v>
      </c>
      <c r="D80" s="433" t="s">
        <v>191</v>
      </c>
      <c r="E80" s="422">
        <v>260278</v>
      </c>
      <c r="F80" s="434" t="s">
        <v>349</v>
      </c>
      <c r="G80" s="424">
        <f>'MC-DRE'!M152</f>
        <v>0</v>
      </c>
      <c r="H80" s="424" t="s">
        <v>2</v>
      </c>
      <c r="I80" s="451">
        <v>38.38</v>
      </c>
      <c r="J80" s="427">
        <f t="shared" si="0"/>
        <v>48.92</v>
      </c>
      <c r="K80" s="428">
        <f t="shared" si="1"/>
        <v>0</v>
      </c>
    </row>
    <row r="81" spans="1:11" ht="45" customHeight="1" hidden="1">
      <c r="A81" s="695"/>
      <c r="B81" s="438"/>
      <c r="C81" s="450" t="s">
        <v>476</v>
      </c>
      <c r="D81" s="433" t="s">
        <v>191</v>
      </c>
      <c r="E81" s="422">
        <v>30011</v>
      </c>
      <c r="F81" s="434" t="s">
        <v>520</v>
      </c>
      <c r="G81" s="424">
        <f>'MC-DRE'!O152</f>
        <v>0</v>
      </c>
      <c r="H81" s="425" t="s">
        <v>0</v>
      </c>
      <c r="I81" s="451">
        <v>133.14</v>
      </c>
      <c r="J81" s="427">
        <f t="shared" si="0"/>
        <v>169.7</v>
      </c>
      <c r="K81" s="428">
        <f t="shared" si="1"/>
        <v>0</v>
      </c>
    </row>
    <row r="82" spans="1:11" ht="45" customHeight="1" hidden="1">
      <c r="A82" s="695"/>
      <c r="B82" s="438"/>
      <c r="C82" s="450" t="s">
        <v>477</v>
      </c>
      <c r="D82" s="437" t="s">
        <v>193</v>
      </c>
      <c r="E82" s="430" t="s">
        <v>351</v>
      </c>
      <c r="F82" s="434" t="s">
        <v>639</v>
      </c>
      <c r="G82" s="424">
        <f>'MC-DRE'!P152</f>
        <v>0</v>
      </c>
      <c r="H82" s="425" t="s">
        <v>0</v>
      </c>
      <c r="I82" s="449">
        <v>17.77</v>
      </c>
      <c r="J82" s="427">
        <f t="shared" si="0"/>
        <v>22.65</v>
      </c>
      <c r="K82" s="428">
        <f t="shared" si="1"/>
        <v>0</v>
      </c>
    </row>
    <row r="83" spans="1:11" ht="45" customHeight="1" hidden="1">
      <c r="A83" s="695"/>
      <c r="B83" s="438"/>
      <c r="C83" s="450" t="s">
        <v>531</v>
      </c>
      <c r="D83" s="433" t="s">
        <v>193</v>
      </c>
      <c r="E83" s="422">
        <v>101579</v>
      </c>
      <c r="F83" s="434" t="s">
        <v>638</v>
      </c>
      <c r="G83" s="424">
        <f>'MC-DRE'!Q152</f>
        <v>0</v>
      </c>
      <c r="H83" s="424" t="s">
        <v>2</v>
      </c>
      <c r="I83" s="451">
        <v>36.19</v>
      </c>
      <c r="J83" s="427">
        <f t="shared" si="0"/>
        <v>46.13</v>
      </c>
      <c r="K83" s="428">
        <f t="shared" si="1"/>
        <v>0</v>
      </c>
    </row>
    <row r="84" spans="1:11" ht="45" customHeight="1" hidden="1">
      <c r="A84" s="695"/>
      <c r="B84" s="438"/>
      <c r="C84" s="450" t="s">
        <v>532</v>
      </c>
      <c r="D84" s="437" t="s">
        <v>193</v>
      </c>
      <c r="E84" s="429">
        <v>92830</v>
      </c>
      <c r="F84" s="431" t="s">
        <v>427</v>
      </c>
      <c r="G84" s="424">
        <f>'MC-DRE'!R152</f>
        <v>0</v>
      </c>
      <c r="H84" s="425" t="s">
        <v>3</v>
      </c>
      <c r="I84" s="449">
        <v>195</v>
      </c>
      <c r="J84" s="427">
        <f t="shared" si="0"/>
        <v>248.55</v>
      </c>
      <c r="K84" s="428">
        <f t="shared" si="1"/>
        <v>0</v>
      </c>
    </row>
    <row r="85" spans="1:11" ht="45" customHeight="1" hidden="1">
      <c r="A85" s="695"/>
      <c r="B85" s="438"/>
      <c r="C85" s="445" t="s">
        <v>478</v>
      </c>
      <c r="D85" s="453" t="s">
        <v>193</v>
      </c>
      <c r="E85" s="454" t="s">
        <v>441</v>
      </c>
      <c r="F85" s="455" t="s">
        <v>712</v>
      </c>
      <c r="G85" s="424">
        <f>'MC-DRE'!E180</f>
        <v>0</v>
      </c>
      <c r="H85" s="429" t="s">
        <v>309</v>
      </c>
      <c r="I85" s="449">
        <v>1431.07</v>
      </c>
      <c r="J85" s="427">
        <f t="shared" si="0"/>
        <v>1824.04</v>
      </c>
      <c r="K85" s="428">
        <f t="shared" si="1"/>
        <v>0</v>
      </c>
    </row>
    <row r="86" spans="1:11" ht="45" customHeight="1" hidden="1">
      <c r="A86" s="695"/>
      <c r="B86" s="438"/>
      <c r="C86" s="450" t="s">
        <v>479</v>
      </c>
      <c r="D86" s="433" t="s">
        <v>191</v>
      </c>
      <c r="E86" s="430" t="s">
        <v>521</v>
      </c>
      <c r="F86" s="431" t="s">
        <v>522</v>
      </c>
      <c r="G86" s="424">
        <f>'MC-DRE'!I180</f>
        <v>0</v>
      </c>
      <c r="H86" s="425" t="s">
        <v>0</v>
      </c>
      <c r="I86" s="449">
        <v>11.48</v>
      </c>
      <c r="J86" s="427">
        <f t="shared" si="0"/>
        <v>14.63</v>
      </c>
      <c r="K86" s="428">
        <f t="shared" si="1"/>
        <v>0</v>
      </c>
    </row>
    <row r="87" spans="1:11" ht="45" customHeight="1" hidden="1">
      <c r="A87" s="695"/>
      <c r="B87" s="438"/>
      <c r="C87" s="450" t="s">
        <v>480</v>
      </c>
      <c r="D87" s="433" t="s">
        <v>193</v>
      </c>
      <c r="E87" s="422">
        <v>100980</v>
      </c>
      <c r="F87" s="434" t="s">
        <v>352</v>
      </c>
      <c r="G87" s="424">
        <f>'MC-DRE'!J180</f>
        <v>0</v>
      </c>
      <c r="H87" s="425" t="s">
        <v>0</v>
      </c>
      <c r="I87" s="451">
        <v>6.33</v>
      </c>
      <c r="J87" s="427">
        <f t="shared" si="0"/>
        <v>8.07</v>
      </c>
      <c r="K87" s="428">
        <f t="shared" si="1"/>
        <v>0</v>
      </c>
    </row>
    <row r="88" spans="1:11" s="452" customFormat="1" ht="45" customHeight="1" hidden="1">
      <c r="A88" s="696"/>
      <c r="B88" s="697"/>
      <c r="C88" s="450" t="s">
        <v>481</v>
      </c>
      <c r="D88" s="437" t="s">
        <v>193</v>
      </c>
      <c r="E88" s="430" t="s">
        <v>354</v>
      </c>
      <c r="F88" s="434" t="s">
        <v>355</v>
      </c>
      <c r="G88" s="424">
        <f>'MC-DRE'!K180</f>
        <v>0</v>
      </c>
      <c r="H88" s="425" t="s">
        <v>238</v>
      </c>
      <c r="I88" s="449">
        <v>2.78</v>
      </c>
      <c r="J88" s="427">
        <f t="shared" si="0"/>
        <v>3.54</v>
      </c>
      <c r="K88" s="428">
        <f t="shared" si="1"/>
        <v>0</v>
      </c>
    </row>
    <row r="89" spans="1:11" ht="45" customHeight="1" hidden="1">
      <c r="A89" s="695"/>
      <c r="B89" s="438"/>
      <c r="C89" s="450" t="s">
        <v>482</v>
      </c>
      <c r="D89" s="433" t="s">
        <v>193</v>
      </c>
      <c r="E89" s="422">
        <v>101616</v>
      </c>
      <c r="F89" s="441" t="s">
        <v>235</v>
      </c>
      <c r="G89" s="424">
        <f>'MC-DRE'!L180</f>
        <v>0</v>
      </c>
      <c r="H89" s="425" t="s">
        <v>2</v>
      </c>
      <c r="I89" s="449">
        <v>5.51</v>
      </c>
      <c r="J89" s="427">
        <f t="shared" si="0"/>
        <v>7.02</v>
      </c>
      <c r="K89" s="428">
        <f t="shared" si="1"/>
        <v>0</v>
      </c>
    </row>
    <row r="90" spans="1:11" ht="45" customHeight="1" hidden="1">
      <c r="A90" s="695"/>
      <c r="B90" s="438"/>
      <c r="C90" s="450" t="s">
        <v>483</v>
      </c>
      <c r="D90" s="433" t="s">
        <v>191</v>
      </c>
      <c r="E90" s="422">
        <v>260278</v>
      </c>
      <c r="F90" s="434" t="s">
        <v>349</v>
      </c>
      <c r="G90" s="424">
        <f>'MC-DRE'!M180</f>
        <v>0</v>
      </c>
      <c r="H90" s="424" t="s">
        <v>2</v>
      </c>
      <c r="I90" s="451">
        <v>38.38</v>
      </c>
      <c r="J90" s="427">
        <f t="shared" si="0"/>
        <v>48.92</v>
      </c>
      <c r="K90" s="428">
        <f t="shared" si="1"/>
        <v>0</v>
      </c>
    </row>
    <row r="91" spans="1:11" ht="45" customHeight="1" hidden="1">
      <c r="A91" s="695"/>
      <c r="B91" s="438"/>
      <c r="C91" s="450" t="s">
        <v>484</v>
      </c>
      <c r="D91" s="433" t="s">
        <v>191</v>
      </c>
      <c r="E91" s="422">
        <v>30011</v>
      </c>
      <c r="F91" s="434" t="s">
        <v>520</v>
      </c>
      <c r="G91" s="424">
        <f>'MC-DRE'!O180</f>
        <v>0</v>
      </c>
      <c r="H91" s="425" t="s">
        <v>0</v>
      </c>
      <c r="I91" s="451">
        <v>133.14</v>
      </c>
      <c r="J91" s="427">
        <f t="shared" si="0"/>
        <v>169.7</v>
      </c>
      <c r="K91" s="428">
        <f t="shared" si="1"/>
        <v>0</v>
      </c>
    </row>
    <row r="92" spans="1:11" ht="45" customHeight="1" hidden="1">
      <c r="A92" s="695"/>
      <c r="B92" s="438"/>
      <c r="C92" s="450" t="s">
        <v>485</v>
      </c>
      <c r="D92" s="437" t="s">
        <v>193</v>
      </c>
      <c r="E92" s="430" t="s">
        <v>351</v>
      </c>
      <c r="F92" s="434" t="s">
        <v>639</v>
      </c>
      <c r="G92" s="424">
        <f>'MC-DRE'!P180</f>
        <v>0</v>
      </c>
      <c r="H92" s="425" t="s">
        <v>0</v>
      </c>
      <c r="I92" s="449">
        <v>17.77</v>
      </c>
      <c r="J92" s="427">
        <f t="shared" si="0"/>
        <v>22.65</v>
      </c>
      <c r="K92" s="428">
        <f t="shared" si="1"/>
        <v>0</v>
      </c>
    </row>
    <row r="93" spans="1:11" ht="45" customHeight="1" hidden="1">
      <c r="A93" s="695"/>
      <c r="B93" s="438"/>
      <c r="C93" s="450" t="s">
        <v>533</v>
      </c>
      <c r="D93" s="433" t="s">
        <v>193</v>
      </c>
      <c r="E93" s="422">
        <v>101579</v>
      </c>
      <c r="F93" s="434" t="s">
        <v>638</v>
      </c>
      <c r="G93" s="424">
        <f>'MC-DRE'!Q180</f>
        <v>0</v>
      </c>
      <c r="H93" s="424" t="s">
        <v>2</v>
      </c>
      <c r="I93" s="451">
        <v>36.19</v>
      </c>
      <c r="J93" s="427">
        <f t="shared" si="0"/>
        <v>46.13</v>
      </c>
      <c r="K93" s="428">
        <f t="shared" si="1"/>
        <v>0</v>
      </c>
    </row>
    <row r="94" spans="1:11" ht="45" customHeight="1" hidden="1">
      <c r="A94" s="695"/>
      <c r="B94" s="438"/>
      <c r="C94" s="450" t="s">
        <v>534</v>
      </c>
      <c r="D94" s="437" t="s">
        <v>193</v>
      </c>
      <c r="E94" s="429">
        <v>92832</v>
      </c>
      <c r="F94" s="431" t="s">
        <v>428</v>
      </c>
      <c r="G94" s="424">
        <f>'MC-DRE'!R180</f>
        <v>0</v>
      </c>
      <c r="H94" s="425" t="s">
        <v>3</v>
      </c>
      <c r="I94" s="449">
        <v>259.24</v>
      </c>
      <c r="J94" s="427">
        <f t="shared" si="0"/>
        <v>330.43</v>
      </c>
      <c r="K94" s="428">
        <f t="shared" si="1"/>
        <v>0</v>
      </c>
    </row>
    <row r="95" spans="1:11" ht="45" customHeight="1">
      <c r="A95" s="695"/>
      <c r="B95" s="438"/>
      <c r="C95" s="445" t="s">
        <v>37</v>
      </c>
      <c r="D95" s="453"/>
      <c r="E95" s="454"/>
      <c r="F95" s="455" t="s">
        <v>236</v>
      </c>
      <c r="G95" s="424"/>
      <c r="H95" s="425"/>
      <c r="I95" s="449"/>
      <c r="J95" s="427"/>
      <c r="K95" s="428"/>
    </row>
    <row r="96" spans="1:11" ht="45" customHeight="1">
      <c r="A96" s="695"/>
      <c r="B96" s="438"/>
      <c r="C96" s="450" t="s">
        <v>456</v>
      </c>
      <c r="D96" s="433" t="s">
        <v>193</v>
      </c>
      <c r="E96" s="430" t="s">
        <v>223</v>
      </c>
      <c r="F96" s="431" t="s">
        <v>224</v>
      </c>
      <c r="G96" s="424">
        <f>'MC-DRE'!C204</f>
        <v>34</v>
      </c>
      <c r="H96" s="429" t="s">
        <v>309</v>
      </c>
      <c r="I96" s="449">
        <v>1533.54</v>
      </c>
      <c r="J96" s="427">
        <f t="shared" si="0"/>
        <v>1954.65</v>
      </c>
      <c r="K96" s="428">
        <f t="shared" si="1"/>
        <v>66458.1</v>
      </c>
    </row>
    <row r="97" spans="1:11" ht="45" customHeight="1">
      <c r="A97" s="695"/>
      <c r="B97" s="438"/>
      <c r="C97" s="445" t="s">
        <v>353</v>
      </c>
      <c r="D97" s="453"/>
      <c r="E97" s="454"/>
      <c r="F97" s="455" t="s">
        <v>486</v>
      </c>
      <c r="G97" s="424"/>
      <c r="H97" s="425"/>
      <c r="I97" s="449"/>
      <c r="J97" s="427"/>
      <c r="K97" s="428"/>
    </row>
    <row r="98" spans="1:12" ht="45" customHeight="1">
      <c r="A98" s="695"/>
      <c r="B98" s="438"/>
      <c r="C98" s="450" t="s">
        <v>463</v>
      </c>
      <c r="D98" s="433" t="s">
        <v>487</v>
      </c>
      <c r="E98" s="430">
        <v>11135</v>
      </c>
      <c r="F98" s="431" t="s">
        <v>488</v>
      </c>
      <c r="G98" s="424">
        <f>'MC-DRE'!J204</f>
        <v>34</v>
      </c>
      <c r="H98" s="429" t="s">
        <v>309</v>
      </c>
      <c r="I98" s="449">
        <v>187.35</v>
      </c>
      <c r="J98" s="427">
        <f t="shared" si="0"/>
        <v>238.8</v>
      </c>
      <c r="K98" s="428">
        <f t="shared" si="1"/>
        <v>8119.2</v>
      </c>
      <c r="L98" s="413" t="s">
        <v>524</v>
      </c>
    </row>
    <row r="99" spans="1:11" ht="45" customHeight="1">
      <c r="A99" s="695"/>
      <c r="B99" s="438"/>
      <c r="C99" s="445" t="s">
        <v>470</v>
      </c>
      <c r="D99" s="453"/>
      <c r="E99" s="454"/>
      <c r="F99" s="455" t="s">
        <v>237</v>
      </c>
      <c r="G99" s="424"/>
      <c r="H99" s="425"/>
      <c r="I99" s="449"/>
      <c r="J99" s="427"/>
      <c r="K99" s="428"/>
    </row>
    <row r="100" spans="1:11" ht="45" customHeight="1">
      <c r="A100" s="695"/>
      <c r="B100" s="438"/>
      <c r="C100" s="450" t="s">
        <v>471</v>
      </c>
      <c r="D100" s="433" t="s">
        <v>191</v>
      </c>
      <c r="E100" s="430" t="s">
        <v>225</v>
      </c>
      <c r="F100" s="431" t="s">
        <v>226</v>
      </c>
      <c r="G100" s="424">
        <f>'MC-DRE'!C229</f>
        <v>15</v>
      </c>
      <c r="H100" s="429" t="s">
        <v>309</v>
      </c>
      <c r="I100" s="449">
        <v>5290.82</v>
      </c>
      <c r="J100" s="427">
        <f t="shared" si="0"/>
        <v>6743.68</v>
      </c>
      <c r="K100" s="428">
        <f t="shared" si="1"/>
        <v>101155.2</v>
      </c>
    </row>
    <row r="101" spans="1:11" ht="45" customHeight="1">
      <c r="A101" s="695"/>
      <c r="B101" s="438"/>
      <c r="C101" s="445" t="s">
        <v>478</v>
      </c>
      <c r="D101" s="453"/>
      <c r="E101" s="454"/>
      <c r="F101" s="455" t="s">
        <v>489</v>
      </c>
      <c r="G101" s="424"/>
      <c r="H101" s="425"/>
      <c r="I101" s="449"/>
      <c r="J101" s="427"/>
      <c r="K101" s="428"/>
    </row>
    <row r="102" spans="1:11" ht="45" customHeight="1">
      <c r="A102" s="695"/>
      <c r="B102" s="438"/>
      <c r="C102" s="450" t="s">
        <v>479</v>
      </c>
      <c r="D102" s="433" t="s">
        <v>193</v>
      </c>
      <c r="E102" s="430" t="s">
        <v>490</v>
      </c>
      <c r="F102" s="431" t="s">
        <v>491</v>
      </c>
      <c r="G102" s="424">
        <f>'MC-DRE'!J229</f>
        <v>15</v>
      </c>
      <c r="H102" s="429" t="s">
        <v>309</v>
      </c>
      <c r="I102" s="449">
        <v>99.74</v>
      </c>
      <c r="J102" s="427">
        <f t="shared" si="0"/>
        <v>127.13</v>
      </c>
      <c r="K102" s="428">
        <f t="shared" si="1"/>
        <v>1906.95</v>
      </c>
    </row>
    <row r="103" spans="1:11" ht="45" customHeight="1" hidden="1">
      <c r="A103" s="695"/>
      <c r="B103" s="438"/>
      <c r="C103" s="445" t="s">
        <v>551</v>
      </c>
      <c r="D103" s="453"/>
      <c r="E103" s="454"/>
      <c r="F103" s="455" t="s">
        <v>553</v>
      </c>
      <c r="G103" s="424"/>
      <c r="H103" s="425"/>
      <c r="I103" s="449"/>
      <c r="J103" s="427"/>
      <c r="K103" s="428"/>
    </row>
    <row r="104" spans="1:11" ht="45" customHeight="1" hidden="1">
      <c r="A104" s="695"/>
      <c r="B104" s="438"/>
      <c r="C104" s="450" t="s">
        <v>552</v>
      </c>
      <c r="D104" s="433" t="s">
        <v>191</v>
      </c>
      <c r="E104" s="430" t="s">
        <v>225</v>
      </c>
      <c r="F104" s="431" t="s">
        <v>554</v>
      </c>
      <c r="G104" s="424">
        <f>'MC-DRE'!N229</f>
        <v>0</v>
      </c>
      <c r="H104" s="429" t="s">
        <v>309</v>
      </c>
      <c r="I104" s="449">
        <f>I100</f>
        <v>5290.82</v>
      </c>
      <c r="J104" s="427">
        <f t="shared" si="0"/>
        <v>6743.68</v>
      </c>
      <c r="K104" s="428">
        <f t="shared" si="1"/>
        <v>0</v>
      </c>
    </row>
    <row r="105" spans="1:12" ht="27.75" customHeight="1">
      <c r="A105" s="695"/>
      <c r="B105" s="438"/>
      <c r="C105" s="795" t="s">
        <v>14</v>
      </c>
      <c r="D105" s="796"/>
      <c r="E105" s="796"/>
      <c r="F105" s="796"/>
      <c r="G105" s="796"/>
      <c r="H105" s="796"/>
      <c r="I105" s="796"/>
      <c r="J105" s="797"/>
      <c r="K105" s="456">
        <f>SUM(K35:K104)</f>
        <v>816900.69</v>
      </c>
      <c r="L105" s="457"/>
    </row>
    <row r="106" spans="1:11" ht="27.75" customHeight="1">
      <c r="A106" s="695"/>
      <c r="B106" s="438"/>
      <c r="C106" s="458">
        <v>5</v>
      </c>
      <c r="D106" s="610"/>
      <c r="E106" s="610"/>
      <c r="F106" s="459" t="s">
        <v>17</v>
      </c>
      <c r="G106" s="798"/>
      <c r="H106" s="798"/>
      <c r="I106" s="798"/>
      <c r="J106" s="798"/>
      <c r="K106" s="799"/>
    </row>
    <row r="107" spans="1:11" s="460" customFormat="1" ht="45" customHeight="1">
      <c r="A107" s="698"/>
      <c r="B107" s="699"/>
      <c r="C107" s="461" t="s">
        <v>15</v>
      </c>
      <c r="D107" s="433" t="s">
        <v>191</v>
      </c>
      <c r="E107" s="462">
        <v>10008</v>
      </c>
      <c r="F107" s="463" t="s">
        <v>525</v>
      </c>
      <c r="G107" s="464">
        <f>'MC-TER'!E39</f>
        <v>9611</v>
      </c>
      <c r="H107" s="465" t="s">
        <v>2</v>
      </c>
      <c r="I107" s="466">
        <v>4.49</v>
      </c>
      <c r="J107" s="427">
        <f>I107*(1+$J$15)</f>
        <v>5.72</v>
      </c>
      <c r="K107" s="428">
        <f>G107*J107</f>
        <v>54974.92</v>
      </c>
    </row>
    <row r="108" spans="1:12" ht="45" customHeight="1">
      <c r="A108" s="695"/>
      <c r="B108" s="438"/>
      <c r="C108" s="461" t="s">
        <v>150</v>
      </c>
      <c r="D108" s="433" t="s">
        <v>193</v>
      </c>
      <c r="E108" s="433">
        <v>101116</v>
      </c>
      <c r="F108" s="434" t="s">
        <v>539</v>
      </c>
      <c r="G108" s="435">
        <f>'MC-TER'!G39</f>
        <v>1922.2</v>
      </c>
      <c r="H108" s="424" t="s">
        <v>0</v>
      </c>
      <c r="I108" s="467">
        <v>2.12</v>
      </c>
      <c r="J108" s="427">
        <f>I108*(1+$J$15)</f>
        <v>2.7</v>
      </c>
      <c r="K108" s="428">
        <f>G108*J108</f>
        <v>5189.94</v>
      </c>
      <c r="L108" s="457"/>
    </row>
    <row r="109" spans="1:11" ht="45" customHeight="1">
      <c r="A109" s="695"/>
      <c r="B109" s="438"/>
      <c r="C109" s="461" t="s">
        <v>151</v>
      </c>
      <c r="D109" s="433" t="s">
        <v>193</v>
      </c>
      <c r="E109" s="422">
        <v>100980</v>
      </c>
      <c r="F109" s="434" t="s">
        <v>352</v>
      </c>
      <c r="G109" s="424">
        <f>'MC-TER'!H39</f>
        <v>1922.2</v>
      </c>
      <c r="H109" s="425" t="s">
        <v>0</v>
      </c>
      <c r="I109" s="451">
        <v>6.32</v>
      </c>
      <c r="J109" s="427">
        <f>I109*(1+$J$15)</f>
        <v>8.06</v>
      </c>
      <c r="K109" s="428">
        <f>G109*J109</f>
        <v>15492.93</v>
      </c>
    </row>
    <row r="110" spans="1:12" ht="45" customHeight="1">
      <c r="A110" s="695"/>
      <c r="B110" s="438"/>
      <c r="C110" s="461" t="s">
        <v>499</v>
      </c>
      <c r="D110" s="429" t="s">
        <v>193</v>
      </c>
      <c r="E110" s="430" t="s">
        <v>354</v>
      </c>
      <c r="F110" s="434" t="s">
        <v>355</v>
      </c>
      <c r="G110" s="424">
        <f>'MC-TER'!I39</f>
        <v>37482.9</v>
      </c>
      <c r="H110" s="425" t="s">
        <v>238</v>
      </c>
      <c r="I110" s="449">
        <v>2.78</v>
      </c>
      <c r="J110" s="427">
        <f>I110*(1+$J$15)</f>
        <v>3.54</v>
      </c>
      <c r="K110" s="428">
        <f>G110*J110</f>
        <v>132689.47</v>
      </c>
      <c r="L110" s="457"/>
    </row>
    <row r="111" spans="1:11" ht="27.75" customHeight="1">
      <c r="A111" s="695"/>
      <c r="B111" s="438"/>
      <c r="C111" s="795" t="s">
        <v>18</v>
      </c>
      <c r="D111" s="796"/>
      <c r="E111" s="796"/>
      <c r="F111" s="796"/>
      <c r="G111" s="796"/>
      <c r="H111" s="796"/>
      <c r="I111" s="796"/>
      <c r="J111" s="797"/>
      <c r="K111" s="456">
        <f>SUM(K107:K110)</f>
        <v>208347.26</v>
      </c>
    </row>
    <row r="112" spans="1:12" ht="27.75" customHeight="1">
      <c r="A112" s="695"/>
      <c r="B112" s="438"/>
      <c r="C112" s="458">
        <v>6</v>
      </c>
      <c r="D112" s="610"/>
      <c r="E112" s="610"/>
      <c r="F112" s="459" t="s">
        <v>34</v>
      </c>
      <c r="G112" s="798"/>
      <c r="H112" s="798"/>
      <c r="I112" s="798"/>
      <c r="J112" s="798"/>
      <c r="K112" s="799"/>
      <c r="L112" s="457"/>
    </row>
    <row r="113" spans="1:11" ht="76.5">
      <c r="A113" s="695"/>
      <c r="B113" s="438"/>
      <c r="C113" s="461" t="s">
        <v>187</v>
      </c>
      <c r="D113" s="433" t="s">
        <v>192</v>
      </c>
      <c r="E113" s="433" t="s">
        <v>211</v>
      </c>
      <c r="F113" s="434" t="s">
        <v>716</v>
      </c>
      <c r="G113" s="435">
        <f>'MC-TER'!K39</f>
        <v>961.1</v>
      </c>
      <c r="H113" s="424" t="s">
        <v>0</v>
      </c>
      <c r="I113" s="468">
        <f>'CPU-III'!G39</f>
        <v>255.79</v>
      </c>
      <c r="J113" s="427">
        <f aca="true" t="shared" si="3" ref="J113:J120">I113*(1+$J$15)</f>
        <v>326.03</v>
      </c>
      <c r="K113" s="428">
        <f aca="true" t="shared" si="4" ref="K113:K120">G113*J113</f>
        <v>313347.43</v>
      </c>
    </row>
    <row r="114" spans="1:11" ht="45" customHeight="1">
      <c r="A114" s="695"/>
      <c r="B114" s="438"/>
      <c r="C114" s="461" t="s">
        <v>188</v>
      </c>
      <c r="D114" s="433" t="s">
        <v>193</v>
      </c>
      <c r="E114" s="422">
        <v>100980</v>
      </c>
      <c r="F114" s="434" t="s">
        <v>352</v>
      </c>
      <c r="G114" s="424">
        <f>'MC-TER'!L39</f>
        <v>961.1</v>
      </c>
      <c r="H114" s="425" t="s">
        <v>0</v>
      </c>
      <c r="I114" s="469">
        <v>6.32</v>
      </c>
      <c r="J114" s="427">
        <f t="shared" si="3"/>
        <v>8.06</v>
      </c>
      <c r="K114" s="428">
        <f t="shared" si="4"/>
        <v>7746.47</v>
      </c>
    </row>
    <row r="115" spans="1:11" s="452" customFormat="1" ht="45" customHeight="1">
      <c r="A115" s="696"/>
      <c r="B115" s="697"/>
      <c r="C115" s="461" t="s">
        <v>649</v>
      </c>
      <c r="D115" s="433" t="s">
        <v>193</v>
      </c>
      <c r="E115" s="433">
        <v>100574</v>
      </c>
      <c r="F115" s="434" t="s">
        <v>207</v>
      </c>
      <c r="G115" s="435">
        <f>'MC-TER'!M39</f>
        <v>961.1</v>
      </c>
      <c r="H115" s="424" t="s">
        <v>0</v>
      </c>
      <c r="I115" s="468">
        <v>1.36</v>
      </c>
      <c r="J115" s="427">
        <f t="shared" si="3"/>
        <v>1.73</v>
      </c>
      <c r="K115" s="428">
        <f t="shared" si="4"/>
        <v>1662.7</v>
      </c>
    </row>
    <row r="116" spans="1:11" s="452" customFormat="1" ht="45" customHeight="1">
      <c r="A116" s="696"/>
      <c r="B116" s="697"/>
      <c r="C116" s="461" t="s">
        <v>650</v>
      </c>
      <c r="D116" s="433" t="s">
        <v>193</v>
      </c>
      <c r="E116" s="433" t="s">
        <v>585</v>
      </c>
      <c r="F116" s="434" t="s">
        <v>586</v>
      </c>
      <c r="G116" s="435">
        <f>'MC-TER'!N39</f>
        <v>18741.45</v>
      </c>
      <c r="H116" s="424" t="s">
        <v>587</v>
      </c>
      <c r="I116" s="468">
        <v>1.88</v>
      </c>
      <c r="J116" s="427">
        <f t="shared" si="3"/>
        <v>2.4</v>
      </c>
      <c r="K116" s="428">
        <f t="shared" si="4"/>
        <v>44979.48</v>
      </c>
    </row>
    <row r="117" spans="1:11" ht="76.5">
      <c r="A117" s="695"/>
      <c r="B117" s="438"/>
      <c r="C117" s="461" t="s">
        <v>651</v>
      </c>
      <c r="D117" s="433" t="s">
        <v>192</v>
      </c>
      <c r="E117" s="433" t="s">
        <v>212</v>
      </c>
      <c r="F117" s="434" t="s">
        <v>715</v>
      </c>
      <c r="G117" s="435">
        <f>'MC-TER'!P39</f>
        <v>961.1</v>
      </c>
      <c r="H117" s="424" t="s">
        <v>510</v>
      </c>
      <c r="I117" s="468">
        <f>'CPU-IV'!G39</f>
        <v>103.07</v>
      </c>
      <c r="J117" s="427">
        <f t="shared" si="3"/>
        <v>131.37</v>
      </c>
      <c r="K117" s="428">
        <f t="shared" si="4"/>
        <v>126259.71</v>
      </c>
    </row>
    <row r="118" spans="1:11" ht="45" customHeight="1">
      <c r="A118" s="695"/>
      <c r="B118" s="438"/>
      <c r="C118" s="461" t="s">
        <v>652</v>
      </c>
      <c r="D118" s="433" t="s">
        <v>193</v>
      </c>
      <c r="E118" s="422">
        <v>100980</v>
      </c>
      <c r="F118" s="434" t="s">
        <v>352</v>
      </c>
      <c r="G118" s="424">
        <f>'MC-TER'!Q39</f>
        <v>961.1</v>
      </c>
      <c r="H118" s="425" t="s">
        <v>0</v>
      </c>
      <c r="I118" s="469">
        <f>I114</f>
        <v>6.32</v>
      </c>
      <c r="J118" s="427">
        <f t="shared" si="3"/>
        <v>8.06</v>
      </c>
      <c r="K118" s="428">
        <f t="shared" si="4"/>
        <v>7746.47</v>
      </c>
    </row>
    <row r="119" spans="1:11" s="452" customFormat="1" ht="45" customHeight="1">
      <c r="A119" s="696"/>
      <c r="B119" s="697"/>
      <c r="C119" s="461" t="s">
        <v>653</v>
      </c>
      <c r="D119" s="433" t="s">
        <v>193</v>
      </c>
      <c r="E119" s="433">
        <v>100574</v>
      </c>
      <c r="F119" s="434" t="s">
        <v>207</v>
      </c>
      <c r="G119" s="435">
        <f>'MC-TER'!R39</f>
        <v>961.1</v>
      </c>
      <c r="H119" s="424" t="s">
        <v>0</v>
      </c>
      <c r="I119" s="469">
        <f>I115</f>
        <v>1.36</v>
      </c>
      <c r="J119" s="427">
        <f t="shared" si="3"/>
        <v>1.73</v>
      </c>
      <c r="K119" s="428">
        <f t="shared" si="4"/>
        <v>1662.7</v>
      </c>
    </row>
    <row r="120" spans="1:11" s="452" customFormat="1" ht="45" customHeight="1">
      <c r="A120" s="696"/>
      <c r="B120" s="697"/>
      <c r="C120" s="461" t="s">
        <v>654</v>
      </c>
      <c r="D120" s="433" t="s">
        <v>193</v>
      </c>
      <c r="E120" s="433" t="s">
        <v>585</v>
      </c>
      <c r="F120" s="434" t="s">
        <v>586</v>
      </c>
      <c r="G120" s="435">
        <f>'MC-TER'!S39</f>
        <v>18741.45</v>
      </c>
      <c r="H120" s="424" t="s">
        <v>587</v>
      </c>
      <c r="I120" s="469">
        <f>I116</f>
        <v>1.88</v>
      </c>
      <c r="J120" s="427">
        <f t="shared" si="3"/>
        <v>2.4</v>
      </c>
      <c r="K120" s="428">
        <f t="shared" si="4"/>
        <v>44979.48</v>
      </c>
    </row>
    <row r="121" spans="1:12" ht="27.75" customHeight="1">
      <c r="A121" s="695"/>
      <c r="B121" s="438"/>
      <c r="C121" s="795" t="s">
        <v>152</v>
      </c>
      <c r="D121" s="796"/>
      <c r="E121" s="796"/>
      <c r="F121" s="796"/>
      <c r="G121" s="796"/>
      <c r="H121" s="796"/>
      <c r="I121" s="796"/>
      <c r="J121" s="797"/>
      <c r="K121" s="456">
        <f>SUM(K113:K120)</f>
        <v>548384.44</v>
      </c>
      <c r="L121" s="457"/>
    </row>
    <row r="122" spans="1:11" ht="27.75" customHeight="1" hidden="1">
      <c r="A122" s="695"/>
      <c r="B122" s="438"/>
      <c r="C122" s="458">
        <v>7</v>
      </c>
      <c r="D122" s="610"/>
      <c r="E122" s="610"/>
      <c r="F122" s="459" t="s">
        <v>28</v>
      </c>
      <c r="G122" s="798"/>
      <c r="H122" s="798"/>
      <c r="I122" s="798"/>
      <c r="J122" s="798"/>
      <c r="K122" s="799"/>
    </row>
    <row r="123" spans="1:11" ht="45" customHeight="1" hidden="1">
      <c r="A123" s="695"/>
      <c r="B123" s="438"/>
      <c r="C123" s="461" t="s">
        <v>189</v>
      </c>
      <c r="D123" s="429" t="s">
        <v>192</v>
      </c>
      <c r="E123" s="433" t="s">
        <v>426</v>
      </c>
      <c r="F123" s="463" t="s">
        <v>208</v>
      </c>
      <c r="G123" s="435">
        <f>'MC-PAV'!M38</f>
        <v>0</v>
      </c>
      <c r="H123" s="425" t="s">
        <v>2</v>
      </c>
      <c r="I123" s="467">
        <f>'CPU-V'!G32</f>
        <v>10.48</v>
      </c>
      <c r="J123" s="427">
        <f aca="true" t="shared" si="5" ref="J123:J129">I123*(1+$J$15)</f>
        <v>13.36</v>
      </c>
      <c r="K123" s="428">
        <f aca="true" t="shared" si="6" ref="K123:K129">G123*J123</f>
        <v>0</v>
      </c>
    </row>
    <row r="124" spans="1:11" ht="45" customHeight="1" hidden="1">
      <c r="A124" s="695"/>
      <c r="B124" s="438"/>
      <c r="C124" s="461" t="s">
        <v>501</v>
      </c>
      <c r="D124" s="429" t="s">
        <v>192</v>
      </c>
      <c r="E124" s="433" t="s">
        <v>627</v>
      </c>
      <c r="F124" s="463" t="s">
        <v>209</v>
      </c>
      <c r="G124" s="435">
        <f>'MC-PAV'!N38</f>
        <v>0</v>
      </c>
      <c r="H124" s="425" t="s">
        <v>2</v>
      </c>
      <c r="I124" s="467">
        <f>'CPU-VI'!G32</f>
        <v>3.36</v>
      </c>
      <c r="J124" s="427">
        <f t="shared" si="5"/>
        <v>4.28</v>
      </c>
      <c r="K124" s="428">
        <f t="shared" si="6"/>
        <v>0</v>
      </c>
    </row>
    <row r="125" spans="1:12" ht="45" customHeight="1" hidden="1">
      <c r="A125" s="695"/>
      <c r="B125" s="438"/>
      <c r="C125" s="461" t="s">
        <v>502</v>
      </c>
      <c r="D125" s="433" t="s">
        <v>192</v>
      </c>
      <c r="E125" s="433" t="s">
        <v>426</v>
      </c>
      <c r="F125" s="463" t="s">
        <v>157</v>
      </c>
      <c r="G125" s="470"/>
      <c r="H125" s="425" t="s">
        <v>29</v>
      </c>
      <c r="I125" s="467">
        <f>'CPU-cbuq'!G44</f>
        <v>865.82</v>
      </c>
      <c r="J125" s="427">
        <f t="shared" si="5"/>
        <v>1103.57</v>
      </c>
      <c r="K125" s="428">
        <f t="shared" si="6"/>
        <v>0</v>
      </c>
      <c r="L125" s="413" t="s">
        <v>607</v>
      </c>
    </row>
    <row r="126" spans="1:11" ht="45" customHeight="1" hidden="1">
      <c r="A126" s="695"/>
      <c r="B126" s="438"/>
      <c r="C126" s="461" t="s">
        <v>503</v>
      </c>
      <c r="D126" s="433" t="s">
        <v>193</v>
      </c>
      <c r="E126" s="646">
        <v>93598</v>
      </c>
      <c r="F126" s="434" t="s">
        <v>350</v>
      </c>
      <c r="G126" s="470"/>
      <c r="H126" s="425" t="s">
        <v>30</v>
      </c>
      <c r="I126" s="467">
        <v>1.57</v>
      </c>
      <c r="J126" s="427">
        <f t="shared" si="5"/>
        <v>2</v>
      </c>
      <c r="K126" s="428">
        <f t="shared" si="6"/>
        <v>0</v>
      </c>
    </row>
    <row r="127" spans="1:12" ht="45" customHeight="1" hidden="1">
      <c r="A127" s="695"/>
      <c r="B127" s="438"/>
      <c r="C127" s="461" t="s">
        <v>502</v>
      </c>
      <c r="D127" s="433" t="s">
        <v>193</v>
      </c>
      <c r="E127" s="433" t="s">
        <v>605</v>
      </c>
      <c r="F127" s="463" t="s">
        <v>606</v>
      </c>
      <c r="G127" s="435">
        <f>'MC-PAV'!P38</f>
        <v>0</v>
      </c>
      <c r="H127" s="424" t="s">
        <v>0</v>
      </c>
      <c r="I127" s="467">
        <v>2617.99</v>
      </c>
      <c r="J127" s="427">
        <f t="shared" si="5"/>
        <v>3336.89</v>
      </c>
      <c r="K127" s="428">
        <f t="shared" si="6"/>
        <v>0</v>
      </c>
      <c r="L127" s="413" t="s">
        <v>608</v>
      </c>
    </row>
    <row r="128" spans="1:11" ht="45" customHeight="1" hidden="1">
      <c r="A128" s="695"/>
      <c r="B128" s="438"/>
      <c r="C128" s="461" t="s">
        <v>503</v>
      </c>
      <c r="D128" s="433" t="s">
        <v>193</v>
      </c>
      <c r="E128" s="646">
        <v>93592</v>
      </c>
      <c r="F128" s="434" t="s">
        <v>350</v>
      </c>
      <c r="G128" s="435">
        <f>'MC-PAV'!Q38</f>
        <v>0</v>
      </c>
      <c r="H128" s="424" t="s">
        <v>587</v>
      </c>
      <c r="I128" s="467">
        <v>2.41</v>
      </c>
      <c r="J128" s="427">
        <f t="shared" si="5"/>
        <v>3.07</v>
      </c>
      <c r="K128" s="428">
        <f t="shared" si="6"/>
        <v>0</v>
      </c>
    </row>
    <row r="129" spans="1:11" ht="45" customHeight="1" hidden="1">
      <c r="A129" s="695"/>
      <c r="B129" s="438"/>
      <c r="C129" s="461" t="s">
        <v>626</v>
      </c>
      <c r="D129" s="433" t="s">
        <v>192</v>
      </c>
      <c r="E129" s="433" t="s">
        <v>727</v>
      </c>
      <c r="F129" s="434" t="s">
        <v>513</v>
      </c>
      <c r="G129" s="435">
        <f>'MC-PAV'!R38</f>
        <v>0</v>
      </c>
      <c r="H129" s="424" t="s">
        <v>510</v>
      </c>
      <c r="I129" s="467">
        <f>'CPU-VII'!G44</f>
        <v>203.37</v>
      </c>
      <c r="J129" s="427">
        <f t="shared" si="5"/>
        <v>259.22</v>
      </c>
      <c r="K129" s="428">
        <f t="shared" si="6"/>
        <v>0</v>
      </c>
    </row>
    <row r="130" spans="1:11" ht="45" customHeight="1" hidden="1">
      <c r="A130" s="695"/>
      <c r="B130" s="438"/>
      <c r="C130" s="461" t="s">
        <v>729</v>
      </c>
      <c r="D130" s="433" t="s">
        <v>193</v>
      </c>
      <c r="E130" s="433">
        <v>96001</v>
      </c>
      <c r="F130" s="434" t="s">
        <v>730</v>
      </c>
      <c r="G130" s="435">
        <f>'MC-PAV'!S38</f>
        <v>0</v>
      </c>
      <c r="H130" s="425" t="s">
        <v>2</v>
      </c>
      <c r="I130" s="467">
        <v>7.38</v>
      </c>
      <c r="J130" s="427">
        <f>I130*(1+$J$15)</f>
        <v>9.41</v>
      </c>
      <c r="K130" s="428">
        <f>G130*J130</f>
        <v>0</v>
      </c>
    </row>
    <row r="131" spans="1:11" ht="27.75" customHeight="1" hidden="1">
      <c r="A131" s="695"/>
      <c r="B131" s="438"/>
      <c r="C131" s="795" t="s">
        <v>184</v>
      </c>
      <c r="D131" s="796"/>
      <c r="E131" s="796"/>
      <c r="F131" s="796"/>
      <c r="G131" s="796"/>
      <c r="H131" s="796"/>
      <c r="I131" s="796"/>
      <c r="J131" s="797"/>
      <c r="K131" s="456">
        <f>SUM(K123:K130)</f>
        <v>0</v>
      </c>
    </row>
    <row r="132" spans="1:11" ht="27.75" customHeight="1" hidden="1">
      <c r="A132" s="695"/>
      <c r="B132" s="438"/>
      <c r="C132" s="458">
        <v>8</v>
      </c>
      <c r="D132" s="716"/>
      <c r="E132" s="716"/>
      <c r="F132" s="459" t="s">
        <v>738</v>
      </c>
      <c r="G132" s="798"/>
      <c r="H132" s="798"/>
      <c r="I132" s="798"/>
      <c r="J132" s="798"/>
      <c r="K132" s="799"/>
    </row>
    <row r="133" spans="1:11" ht="45" customHeight="1" hidden="1">
      <c r="A133" s="695"/>
      <c r="B133" s="438"/>
      <c r="C133" s="719" t="s">
        <v>504</v>
      </c>
      <c r="D133" s="429"/>
      <c r="E133" s="433"/>
      <c r="F133" s="718" t="s">
        <v>739</v>
      </c>
      <c r="G133" s="435"/>
      <c r="H133" s="425"/>
      <c r="I133" s="467"/>
      <c r="J133" s="427"/>
      <c r="K133" s="428">
        <f aca="true" t="shared" si="7" ref="K133:K138">G133*J133</f>
        <v>0</v>
      </c>
    </row>
    <row r="134" spans="1:11" ht="45" customHeight="1" hidden="1">
      <c r="A134" s="695"/>
      <c r="B134" s="438"/>
      <c r="C134" s="461" t="s">
        <v>750</v>
      </c>
      <c r="D134" s="429" t="s">
        <v>740</v>
      </c>
      <c r="E134" s="433" t="s">
        <v>741</v>
      </c>
      <c r="F134" s="463" t="s">
        <v>742</v>
      </c>
      <c r="G134" s="435"/>
      <c r="H134" s="425" t="s">
        <v>2</v>
      </c>
      <c r="I134" s="467">
        <v>51.71</v>
      </c>
      <c r="J134" s="427">
        <f>I134*(1+$J$15)</f>
        <v>65.91</v>
      </c>
      <c r="K134" s="428">
        <f t="shared" si="7"/>
        <v>0</v>
      </c>
    </row>
    <row r="135" spans="1:11" ht="45" customHeight="1" hidden="1">
      <c r="A135" s="695"/>
      <c r="B135" s="438"/>
      <c r="C135" s="461" t="s">
        <v>751</v>
      </c>
      <c r="D135" s="433" t="s">
        <v>740</v>
      </c>
      <c r="E135" s="433" t="s">
        <v>743</v>
      </c>
      <c r="F135" s="463" t="s">
        <v>744</v>
      </c>
      <c r="G135" s="435"/>
      <c r="H135" s="425" t="s">
        <v>2</v>
      </c>
      <c r="I135" s="467">
        <v>38.87</v>
      </c>
      <c r="J135" s="427">
        <f>I135*(1+$J$15)</f>
        <v>49.54</v>
      </c>
      <c r="K135" s="428">
        <f t="shared" si="7"/>
        <v>0</v>
      </c>
    </row>
    <row r="136" spans="1:11" ht="45" customHeight="1" hidden="1">
      <c r="A136" s="695"/>
      <c r="B136" s="438"/>
      <c r="C136" s="719" t="s">
        <v>752</v>
      </c>
      <c r="D136" s="433"/>
      <c r="E136" s="646"/>
      <c r="F136" s="717" t="s">
        <v>745</v>
      </c>
      <c r="G136" s="435"/>
      <c r="H136" s="425"/>
      <c r="I136" s="467"/>
      <c r="J136" s="427"/>
      <c r="K136" s="428">
        <f t="shared" si="7"/>
        <v>0</v>
      </c>
    </row>
    <row r="137" spans="1:11" ht="45" customHeight="1" hidden="1">
      <c r="A137" s="695"/>
      <c r="B137" s="438"/>
      <c r="C137" s="461" t="s">
        <v>753</v>
      </c>
      <c r="D137" s="433" t="s">
        <v>740</v>
      </c>
      <c r="E137" s="433" t="s">
        <v>746</v>
      </c>
      <c r="F137" s="463" t="s">
        <v>747</v>
      </c>
      <c r="G137" s="435"/>
      <c r="H137" s="425" t="s">
        <v>2</v>
      </c>
      <c r="I137" s="467">
        <v>199.43</v>
      </c>
      <c r="J137" s="427">
        <f>I137*(1+$J$15)</f>
        <v>254.19</v>
      </c>
      <c r="K137" s="428">
        <f t="shared" si="7"/>
        <v>0</v>
      </c>
    </row>
    <row r="138" spans="1:11" ht="45" customHeight="1" hidden="1">
      <c r="A138" s="695"/>
      <c r="B138" s="438"/>
      <c r="C138" s="461" t="s">
        <v>754</v>
      </c>
      <c r="D138" s="433" t="s">
        <v>740</v>
      </c>
      <c r="E138" s="646" t="s">
        <v>748</v>
      </c>
      <c r="F138" s="434" t="s">
        <v>749</v>
      </c>
      <c r="G138" s="435"/>
      <c r="H138" s="429" t="s">
        <v>309</v>
      </c>
      <c r="I138" s="467">
        <v>115.41</v>
      </c>
      <c r="J138" s="427">
        <f>I138*(1+$J$15)</f>
        <v>147.1</v>
      </c>
      <c r="K138" s="428">
        <f t="shared" si="7"/>
        <v>0</v>
      </c>
    </row>
    <row r="139" spans="1:11" ht="27.75" customHeight="1" hidden="1">
      <c r="A139" s="695"/>
      <c r="B139" s="438"/>
      <c r="C139" s="795" t="s">
        <v>500</v>
      </c>
      <c r="D139" s="796"/>
      <c r="E139" s="796"/>
      <c r="F139" s="796"/>
      <c r="G139" s="796"/>
      <c r="H139" s="796"/>
      <c r="I139" s="796"/>
      <c r="J139" s="797"/>
      <c r="K139" s="456">
        <f>SUM(K133:K138)</f>
        <v>0</v>
      </c>
    </row>
    <row r="140" spans="1:11" ht="27.75" customHeight="1">
      <c r="A140" s="695"/>
      <c r="B140" s="438"/>
      <c r="C140" s="471"/>
      <c r="D140" s="472"/>
      <c r="E140" s="472"/>
      <c r="F140" s="473" t="s">
        <v>11</v>
      </c>
      <c r="G140" s="798"/>
      <c r="H140" s="798"/>
      <c r="I140" s="798"/>
      <c r="J140" s="798"/>
      <c r="K140" s="799"/>
    </row>
    <row r="141" spans="1:11" s="452" customFormat="1" ht="45" customHeight="1">
      <c r="A141" s="696"/>
      <c r="B141" s="697"/>
      <c r="C141" s="474" t="s">
        <v>189</v>
      </c>
      <c r="D141" s="437" t="s">
        <v>191</v>
      </c>
      <c r="E141" s="430" t="s">
        <v>210</v>
      </c>
      <c r="F141" s="434" t="s">
        <v>153</v>
      </c>
      <c r="G141" s="435">
        <f>'MC-PAV'!T38</f>
        <v>2471.4</v>
      </c>
      <c r="H141" s="425" t="s">
        <v>2</v>
      </c>
      <c r="I141" s="436">
        <v>7.18</v>
      </c>
      <c r="J141" s="427">
        <f>I141*(1+$J$15)</f>
        <v>9.15</v>
      </c>
      <c r="K141" s="428">
        <f>G141*J141</f>
        <v>22613.31</v>
      </c>
    </row>
    <row r="142" spans="1:11" ht="27.75" customHeight="1" thickBot="1">
      <c r="A142" s="700"/>
      <c r="B142" s="701"/>
      <c r="C142" s="803" t="s">
        <v>184</v>
      </c>
      <c r="D142" s="804"/>
      <c r="E142" s="804"/>
      <c r="F142" s="804"/>
      <c r="G142" s="804"/>
      <c r="H142" s="804"/>
      <c r="I142" s="804"/>
      <c r="J142" s="805"/>
      <c r="K142" s="702">
        <f>SUM(K141)</f>
        <v>22613.31</v>
      </c>
    </row>
    <row r="143" spans="3:12" ht="41.25" customHeight="1" thickBot="1">
      <c r="C143" s="800" t="s">
        <v>27</v>
      </c>
      <c r="D143" s="801"/>
      <c r="E143" s="801"/>
      <c r="F143" s="801"/>
      <c r="G143" s="801"/>
      <c r="H143" s="801"/>
      <c r="I143" s="801"/>
      <c r="J143" s="802"/>
      <c r="K143" s="692">
        <f>SUM(K22,K26,K33,K105,K111,K121,K131,K142)</f>
        <v>1920716.52</v>
      </c>
      <c r="L143" s="413" t="s">
        <v>774</v>
      </c>
    </row>
    <row r="144" ht="25.5">
      <c r="N144" s="475"/>
    </row>
    <row r="145" ht="25.5">
      <c r="N145" s="457"/>
    </row>
    <row r="146" ht="25.5">
      <c r="K146" s="457"/>
    </row>
    <row r="157" spans="7:9" ht="25.5">
      <c r="G157" s="794"/>
      <c r="H157" s="794"/>
      <c r="I157" s="794"/>
    </row>
  </sheetData>
  <sheetProtection/>
  <mergeCells count="59">
    <mergeCell ref="C11:K11"/>
    <mergeCell ref="E14:E15"/>
    <mergeCell ref="H14:H15"/>
    <mergeCell ref="I14:I15"/>
    <mergeCell ref="K14:K15"/>
    <mergeCell ref="C2:K2"/>
    <mergeCell ref="C3:K3"/>
    <mergeCell ref="C4:K4"/>
    <mergeCell ref="C7:K7"/>
    <mergeCell ref="C5:K5"/>
    <mergeCell ref="C139:J139"/>
    <mergeCell ref="C6:K6"/>
    <mergeCell ref="D9:K9"/>
    <mergeCell ref="C10:D10"/>
    <mergeCell ref="E10:K10"/>
    <mergeCell ref="C14:C15"/>
    <mergeCell ref="D14:D15"/>
    <mergeCell ref="C12:K12"/>
    <mergeCell ref="D27:F27"/>
    <mergeCell ref="D23:F23"/>
    <mergeCell ref="G23:K23"/>
    <mergeCell ref="F14:F15"/>
    <mergeCell ref="G14:G15"/>
    <mergeCell ref="C13:K13"/>
    <mergeCell ref="P23:P24"/>
    <mergeCell ref="M25:M26"/>
    <mergeCell ref="N25:N26"/>
    <mergeCell ref="O25:O26"/>
    <mergeCell ref="P25:P26"/>
    <mergeCell ref="P16:P17"/>
    <mergeCell ref="M21:M22"/>
    <mergeCell ref="N21:N22"/>
    <mergeCell ref="O21:O22"/>
    <mergeCell ref="P21:P22"/>
    <mergeCell ref="O23:O24"/>
    <mergeCell ref="M16:M17"/>
    <mergeCell ref="N16:N17"/>
    <mergeCell ref="M23:M24"/>
    <mergeCell ref="N23:N24"/>
    <mergeCell ref="C26:J26"/>
    <mergeCell ref="D16:F16"/>
    <mergeCell ref="O16:O17"/>
    <mergeCell ref="G16:K16"/>
    <mergeCell ref="G106:K106"/>
    <mergeCell ref="C105:J105"/>
    <mergeCell ref="C22:J22"/>
    <mergeCell ref="C33:J33"/>
    <mergeCell ref="G27:K27"/>
    <mergeCell ref="G34:K34"/>
    <mergeCell ref="G157:I157"/>
    <mergeCell ref="C131:J131"/>
    <mergeCell ref="C111:J111"/>
    <mergeCell ref="G112:K112"/>
    <mergeCell ref="C121:J121"/>
    <mergeCell ref="G140:K140"/>
    <mergeCell ref="G122:K122"/>
    <mergeCell ref="C143:J143"/>
    <mergeCell ref="C142:J142"/>
    <mergeCell ref="G132:K132"/>
  </mergeCells>
  <printOptions horizontalCentered="1"/>
  <pageMargins left="0" right="0" top="0.4330708661417323" bottom="0" header="0" footer="0"/>
  <pageSetup fitToHeight="0" fitToWidth="1" horizontalDpi="600" verticalDpi="600" orientation="portrait" paperSize="9" scale="38" r:id="rId2"/>
  <drawing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J229"/>
  <sheetViews>
    <sheetView view="pageBreakPreview" zoomScale="40" zoomScaleNormal="48" zoomScaleSheetLayoutView="40" zoomScalePageLayoutView="0" workbookViewId="0" topLeftCell="A1">
      <selection activeCell="Q1" sqref="Q1:Q16384"/>
    </sheetView>
  </sheetViews>
  <sheetFormatPr defaultColWidth="11.57421875" defaultRowHeight="12.75"/>
  <cols>
    <col min="1" max="1" width="11.57421875" style="89" bestFit="1" customWidth="1"/>
    <col min="2" max="2" width="27.421875" style="89" bestFit="1" customWidth="1"/>
    <col min="3" max="3" width="13.421875" style="537" bestFit="1" customWidth="1"/>
    <col min="4" max="4" width="19.421875" style="537" bestFit="1" customWidth="1"/>
    <col min="5" max="5" width="19.140625" style="537" bestFit="1" customWidth="1"/>
    <col min="6" max="6" width="20.8515625" style="537" bestFit="1" customWidth="1"/>
    <col min="7" max="7" width="27.7109375" style="537" bestFit="1" customWidth="1"/>
    <col min="8" max="8" width="27.7109375" style="537" customWidth="1"/>
    <col min="9" max="9" width="45.8515625" style="89" bestFit="1" customWidth="1"/>
    <col min="10" max="10" width="29.140625" style="89" bestFit="1" customWidth="1"/>
    <col min="11" max="11" width="42.7109375" style="89" customWidth="1"/>
    <col min="12" max="12" width="30.57421875" style="89" bestFit="1" customWidth="1"/>
    <col min="13" max="13" width="29.8515625" style="89" bestFit="1" customWidth="1"/>
    <col min="14" max="14" width="30.00390625" style="89" bestFit="1" customWidth="1"/>
    <col min="15" max="15" width="25.57421875" style="89" customWidth="1"/>
    <col min="16" max="16" width="29.140625" style="89" customWidth="1"/>
    <col min="17" max="17" width="37.7109375" style="89" hidden="1" customWidth="1"/>
    <col min="18" max="18" width="42.7109375" style="89" customWidth="1"/>
    <col min="19" max="19" width="19.00390625" style="89" customWidth="1"/>
    <col min="20" max="29" width="23.7109375" style="89" customWidth="1"/>
    <col min="30" max="30" width="25.57421875" style="89" bestFit="1" customWidth="1"/>
    <col min="31" max="31" width="11.57421875" style="89" customWidth="1"/>
    <col min="32" max="33" width="25.7109375" style="89" customWidth="1"/>
    <col min="34" max="34" width="11.57421875" style="89" customWidth="1"/>
    <col min="35" max="36" width="25.7109375" style="89" customWidth="1"/>
    <col min="37" max="16384" width="11.57421875" style="89" customWidth="1"/>
  </cols>
  <sheetData>
    <row r="1" spans="1:19" s="492" customFormat="1" ht="24.75" customHeight="1">
      <c r="A1" s="487"/>
      <c r="B1" s="488"/>
      <c r="C1" s="489"/>
      <c r="D1" s="489"/>
      <c r="E1" s="489"/>
      <c r="F1" s="489"/>
      <c r="G1" s="489"/>
      <c r="H1" s="489"/>
      <c r="I1" s="488"/>
      <c r="J1" s="488"/>
      <c r="K1" s="488"/>
      <c r="L1" s="488"/>
      <c r="M1" s="488"/>
      <c r="N1" s="488"/>
      <c r="O1" s="488"/>
      <c r="P1" s="488"/>
      <c r="Q1" s="488"/>
      <c r="R1" s="490"/>
      <c r="S1" s="491"/>
    </row>
    <row r="2" spans="1:19" s="492" customFormat="1" ht="24.75" customHeight="1">
      <c r="A2" s="844"/>
      <c r="B2" s="845"/>
      <c r="C2" s="845"/>
      <c r="D2" s="845"/>
      <c r="E2" s="845"/>
      <c r="F2" s="845"/>
      <c r="G2" s="845"/>
      <c r="H2" s="845"/>
      <c r="I2" s="845"/>
      <c r="J2" s="845"/>
      <c r="K2" s="845"/>
      <c r="L2" s="845"/>
      <c r="M2" s="845"/>
      <c r="N2" s="845"/>
      <c r="O2" s="845"/>
      <c r="P2" s="845"/>
      <c r="Q2" s="845"/>
      <c r="R2" s="846"/>
      <c r="S2" s="618"/>
    </row>
    <row r="3" spans="1:19" s="492" customFormat="1" ht="24.75" customHeight="1">
      <c r="A3" s="844"/>
      <c r="B3" s="845"/>
      <c r="C3" s="845"/>
      <c r="D3" s="845"/>
      <c r="E3" s="845"/>
      <c r="F3" s="845"/>
      <c r="G3" s="845"/>
      <c r="H3" s="845"/>
      <c r="I3" s="845"/>
      <c r="J3" s="845"/>
      <c r="K3" s="845"/>
      <c r="L3" s="845"/>
      <c r="M3" s="845"/>
      <c r="N3" s="845"/>
      <c r="O3" s="845"/>
      <c r="P3" s="845"/>
      <c r="Q3" s="845"/>
      <c r="R3" s="846"/>
      <c r="S3" s="618"/>
    </row>
    <row r="4" spans="1:19" s="492" customFormat="1" ht="24.75" customHeight="1">
      <c r="A4" s="844"/>
      <c r="B4" s="845"/>
      <c r="C4" s="845"/>
      <c r="D4" s="845"/>
      <c r="E4" s="845"/>
      <c r="F4" s="845"/>
      <c r="G4" s="845"/>
      <c r="H4" s="845"/>
      <c r="I4" s="845"/>
      <c r="J4" s="845"/>
      <c r="K4" s="845"/>
      <c r="L4" s="845"/>
      <c r="M4" s="845"/>
      <c r="N4" s="845"/>
      <c r="O4" s="845"/>
      <c r="P4" s="845"/>
      <c r="Q4" s="845"/>
      <c r="R4" s="846"/>
      <c r="S4" s="618"/>
    </row>
    <row r="5" spans="1:19" s="492" customFormat="1" ht="24.75" customHeight="1">
      <c r="A5" s="617"/>
      <c r="B5" s="618"/>
      <c r="C5" s="618"/>
      <c r="D5" s="618"/>
      <c r="E5" s="618"/>
      <c r="F5" s="618"/>
      <c r="G5" s="618"/>
      <c r="H5" s="618"/>
      <c r="I5" s="618"/>
      <c r="J5" s="618"/>
      <c r="K5" s="618"/>
      <c r="L5" s="618"/>
      <c r="M5" s="618"/>
      <c r="N5" s="618"/>
      <c r="O5" s="618"/>
      <c r="P5" s="618"/>
      <c r="Q5" s="618"/>
      <c r="R5" s="619"/>
      <c r="S5" s="618"/>
    </row>
    <row r="6" spans="1:19" s="492" customFormat="1" ht="24.75" customHeight="1">
      <c r="A6" s="844" t="s">
        <v>20</v>
      </c>
      <c r="B6" s="845"/>
      <c r="C6" s="845"/>
      <c r="D6" s="845"/>
      <c r="E6" s="845"/>
      <c r="F6" s="845"/>
      <c r="G6" s="845"/>
      <c r="H6" s="845"/>
      <c r="I6" s="845"/>
      <c r="J6" s="845"/>
      <c r="K6" s="845"/>
      <c r="L6" s="845"/>
      <c r="M6" s="845"/>
      <c r="N6" s="845"/>
      <c r="O6" s="845"/>
      <c r="P6" s="845"/>
      <c r="Q6" s="845"/>
      <c r="R6" s="846"/>
      <c r="S6" s="493"/>
    </row>
    <row r="7" spans="1:19" s="492" customFormat="1" ht="24.75" customHeight="1">
      <c r="A7" s="881" t="s">
        <v>194</v>
      </c>
      <c r="B7" s="882"/>
      <c r="C7" s="882"/>
      <c r="D7" s="882"/>
      <c r="E7" s="882"/>
      <c r="F7" s="882"/>
      <c r="G7" s="882"/>
      <c r="H7" s="882"/>
      <c r="I7" s="882"/>
      <c r="J7" s="882"/>
      <c r="K7" s="882"/>
      <c r="L7" s="882"/>
      <c r="M7" s="882"/>
      <c r="N7" s="882"/>
      <c r="O7" s="882"/>
      <c r="P7" s="882"/>
      <c r="Q7" s="882"/>
      <c r="R7" s="883"/>
      <c r="S7" s="493"/>
    </row>
    <row r="8" spans="1:19" s="492" customFormat="1" ht="24.75" customHeight="1">
      <c r="A8" s="881" t="s">
        <v>19</v>
      </c>
      <c r="B8" s="882"/>
      <c r="C8" s="882"/>
      <c r="D8" s="882"/>
      <c r="E8" s="882"/>
      <c r="F8" s="882"/>
      <c r="G8" s="882"/>
      <c r="H8" s="882"/>
      <c r="I8" s="882"/>
      <c r="J8" s="882"/>
      <c r="K8" s="882"/>
      <c r="L8" s="882"/>
      <c r="M8" s="882"/>
      <c r="N8" s="882"/>
      <c r="O8" s="882"/>
      <c r="P8" s="882"/>
      <c r="Q8" s="882"/>
      <c r="R8" s="883"/>
      <c r="S8" s="493"/>
    </row>
    <row r="9" spans="1:19" s="492" customFormat="1" ht="24.75" customHeight="1">
      <c r="A9" s="644"/>
      <c r="B9" s="497"/>
      <c r="C9" s="497"/>
      <c r="D9" s="497"/>
      <c r="E9" s="497"/>
      <c r="F9" s="497"/>
      <c r="G9" s="497"/>
      <c r="H9" s="497"/>
      <c r="I9" s="497"/>
      <c r="J9" s="497"/>
      <c r="K9" s="497"/>
      <c r="L9" s="497"/>
      <c r="M9" s="497"/>
      <c r="N9" s="497"/>
      <c r="O9" s="497"/>
      <c r="P9" s="497"/>
      <c r="Q9" s="497"/>
      <c r="R9" s="645"/>
      <c r="S9" s="618"/>
    </row>
    <row r="10" spans="1:19" ht="57" customHeight="1">
      <c r="A10" s="647"/>
      <c r="B10" s="620" t="s">
        <v>691</v>
      </c>
      <c r="C10" s="847" t="str">
        <f>'ORÇAMENTO GERAL'!D9</f>
        <v>EXECUÇÃO DOS SERVIÇOS DE DRENAGEM URBANA E TERRAPLENAGEM NA NS. DO CARMO, PASS. KENEDY, PASS. UBIRATAN MACIEL E PASS. ALEGRE - BAIRRO COQUEIRO  - NO MUNICÍPIO DE ANANINDEUA - PA.</v>
      </c>
      <c r="D10" s="848"/>
      <c r="E10" s="848"/>
      <c r="F10" s="848"/>
      <c r="G10" s="848"/>
      <c r="H10" s="848"/>
      <c r="I10" s="848"/>
      <c r="J10" s="848"/>
      <c r="K10" s="848"/>
      <c r="L10" s="848"/>
      <c r="M10" s="848"/>
      <c r="N10" s="848"/>
      <c r="O10" s="848"/>
      <c r="P10" s="848"/>
      <c r="Q10" s="848"/>
      <c r="R10" s="849"/>
      <c r="S10" s="499"/>
    </row>
    <row r="11" spans="1:19" s="492" customFormat="1" ht="24.75" customHeight="1" thickBot="1">
      <c r="A11" s="494"/>
      <c r="B11" s="495"/>
      <c r="C11" s="495"/>
      <c r="D11" s="495"/>
      <c r="E11" s="495"/>
      <c r="F11" s="495"/>
      <c r="G11" s="495"/>
      <c r="H11" s="495"/>
      <c r="I11" s="495"/>
      <c r="J11" s="495"/>
      <c r="K11" s="495"/>
      <c r="L11" s="495"/>
      <c r="M11" s="495"/>
      <c r="N11" s="495"/>
      <c r="O11" s="495"/>
      <c r="P11" s="495"/>
      <c r="Q11" s="495"/>
      <c r="R11" s="496"/>
      <c r="S11" s="497"/>
    </row>
    <row r="12" spans="1:19" ht="41.25" customHeight="1" thickBot="1" thickTop="1">
      <c r="A12" s="884" t="s">
        <v>380</v>
      </c>
      <c r="B12" s="885"/>
      <c r="C12" s="885"/>
      <c r="D12" s="885"/>
      <c r="E12" s="885"/>
      <c r="F12" s="885"/>
      <c r="G12" s="885"/>
      <c r="H12" s="885"/>
      <c r="I12" s="885"/>
      <c r="J12" s="885"/>
      <c r="K12" s="885"/>
      <c r="L12" s="885"/>
      <c r="M12" s="885"/>
      <c r="N12" s="885"/>
      <c r="O12" s="885"/>
      <c r="P12" s="885"/>
      <c r="Q12" s="885"/>
      <c r="R12" s="886"/>
      <c r="S12" s="498"/>
    </row>
    <row r="13" spans="1:19" ht="27" customHeight="1" thickBot="1" thickTop="1">
      <c r="A13" s="887"/>
      <c r="B13" s="888"/>
      <c r="C13" s="888"/>
      <c r="D13" s="888"/>
      <c r="E13" s="888"/>
      <c r="F13" s="888"/>
      <c r="G13" s="888"/>
      <c r="H13" s="888"/>
      <c r="I13" s="888"/>
      <c r="J13" s="888"/>
      <c r="K13" s="888"/>
      <c r="L13" s="888"/>
      <c r="M13" s="888"/>
      <c r="N13" s="888"/>
      <c r="O13" s="888"/>
      <c r="P13" s="888"/>
      <c r="Q13" s="888"/>
      <c r="R13" s="889"/>
      <c r="S13" s="499"/>
    </row>
    <row r="14" spans="1:19" s="501" customFormat="1" ht="45" customHeight="1" thickBot="1">
      <c r="A14" s="869" t="s">
        <v>370</v>
      </c>
      <c r="B14" s="870"/>
      <c r="C14" s="870"/>
      <c r="D14" s="870"/>
      <c r="E14" s="870"/>
      <c r="F14" s="870"/>
      <c r="G14" s="870"/>
      <c r="H14" s="870"/>
      <c r="I14" s="870"/>
      <c r="J14" s="870"/>
      <c r="K14" s="870"/>
      <c r="L14" s="870"/>
      <c r="M14" s="870"/>
      <c r="N14" s="870"/>
      <c r="O14" s="870"/>
      <c r="P14" s="870"/>
      <c r="Q14" s="870"/>
      <c r="R14" s="871"/>
      <c r="S14" s="500"/>
    </row>
    <row r="15" spans="1:19" s="501" customFormat="1" ht="45" customHeight="1">
      <c r="A15" s="872" t="s">
        <v>7</v>
      </c>
      <c r="B15" s="875" t="s">
        <v>374</v>
      </c>
      <c r="C15" s="878" t="s">
        <v>356</v>
      </c>
      <c r="D15" s="878"/>
      <c r="E15" s="878"/>
      <c r="F15" s="867" t="s">
        <v>541</v>
      </c>
      <c r="G15" s="867"/>
      <c r="H15" s="867"/>
      <c r="I15" s="867"/>
      <c r="J15" s="867" t="s">
        <v>542</v>
      </c>
      <c r="K15" s="861" t="s">
        <v>545</v>
      </c>
      <c r="L15" s="867" t="s">
        <v>365</v>
      </c>
      <c r="M15" s="867" t="s">
        <v>368</v>
      </c>
      <c r="N15" s="865" t="s">
        <v>366</v>
      </c>
      <c r="O15" s="865" t="s">
        <v>543</v>
      </c>
      <c r="P15" s="865" t="s">
        <v>633</v>
      </c>
      <c r="Q15" s="865" t="s">
        <v>544</v>
      </c>
      <c r="R15" s="859" t="s">
        <v>369</v>
      </c>
      <c r="S15" s="500"/>
    </row>
    <row r="16" spans="1:29" s="501" customFormat="1" ht="45" customHeight="1">
      <c r="A16" s="873"/>
      <c r="B16" s="876"/>
      <c r="C16" s="879"/>
      <c r="D16" s="879"/>
      <c r="E16" s="879"/>
      <c r="F16" s="868"/>
      <c r="G16" s="868"/>
      <c r="H16" s="868"/>
      <c r="I16" s="868"/>
      <c r="J16" s="868"/>
      <c r="K16" s="862"/>
      <c r="L16" s="868"/>
      <c r="M16" s="868"/>
      <c r="N16" s="880"/>
      <c r="O16" s="866"/>
      <c r="P16" s="866"/>
      <c r="Q16" s="880"/>
      <c r="R16" s="860"/>
      <c r="S16" s="500"/>
      <c r="T16" s="502"/>
      <c r="U16" s="502"/>
      <c r="V16" s="502"/>
      <c r="W16" s="502"/>
      <c r="X16" s="502"/>
      <c r="Y16" s="502"/>
      <c r="Z16" s="503"/>
      <c r="AA16" s="503"/>
      <c r="AB16" s="503"/>
      <c r="AC16" s="503"/>
    </row>
    <row r="17" spans="1:29" s="501" customFormat="1" ht="92.25">
      <c r="A17" s="873"/>
      <c r="B17" s="876"/>
      <c r="C17" s="504" t="s">
        <v>154</v>
      </c>
      <c r="D17" s="505" t="s">
        <v>550</v>
      </c>
      <c r="E17" s="504" t="s">
        <v>363</v>
      </c>
      <c r="F17" s="504" t="s">
        <v>357</v>
      </c>
      <c r="G17" s="504" t="s">
        <v>362</v>
      </c>
      <c r="H17" s="504" t="s">
        <v>364</v>
      </c>
      <c r="I17" s="504" t="s">
        <v>24</v>
      </c>
      <c r="J17" s="868"/>
      <c r="K17" s="862"/>
      <c r="L17" s="868"/>
      <c r="M17" s="868"/>
      <c r="N17" s="866"/>
      <c r="O17" s="504" t="s">
        <v>24</v>
      </c>
      <c r="P17" s="504" t="s">
        <v>24</v>
      </c>
      <c r="Q17" s="866"/>
      <c r="R17" s="860"/>
      <c r="S17" s="500"/>
      <c r="T17" s="506"/>
      <c r="U17" s="506"/>
      <c r="V17" s="502"/>
      <c r="W17" s="502"/>
      <c r="X17" s="502"/>
      <c r="Y17" s="502"/>
      <c r="Z17" s="506"/>
      <c r="AA17" s="503"/>
      <c r="AB17" s="503"/>
      <c r="AC17" s="503"/>
    </row>
    <row r="18" spans="1:30" s="501" customFormat="1" ht="61.5">
      <c r="A18" s="873"/>
      <c r="B18" s="876"/>
      <c r="C18" s="615"/>
      <c r="D18" s="615"/>
      <c r="E18" s="615" t="s">
        <v>55</v>
      </c>
      <c r="F18" s="615" t="s">
        <v>58</v>
      </c>
      <c r="G18" s="615" t="s">
        <v>16</v>
      </c>
      <c r="H18" s="615" t="s">
        <v>8</v>
      </c>
      <c r="I18" s="615" t="s">
        <v>630</v>
      </c>
      <c r="J18" s="615" t="s">
        <v>609</v>
      </c>
      <c r="K18" s="616" t="s">
        <v>546</v>
      </c>
      <c r="L18" s="615" t="s">
        <v>547</v>
      </c>
      <c r="M18" s="615" t="s">
        <v>548</v>
      </c>
      <c r="N18" s="615" t="s">
        <v>549</v>
      </c>
      <c r="O18" s="615" t="s">
        <v>636</v>
      </c>
      <c r="P18" s="615" t="s">
        <v>637</v>
      </c>
      <c r="Q18" s="615" t="s">
        <v>634</v>
      </c>
      <c r="R18" s="648" t="s">
        <v>635</v>
      </c>
      <c r="S18" s="500"/>
      <c r="T18" s="893" t="s">
        <v>556</v>
      </c>
      <c r="U18" s="894"/>
      <c r="V18" s="894"/>
      <c r="W18" s="894"/>
      <c r="X18" s="894"/>
      <c r="Y18" s="894"/>
      <c r="Z18" s="894"/>
      <c r="AA18" s="894"/>
      <c r="AB18" s="894"/>
      <c r="AC18" s="894"/>
      <c r="AD18" s="895"/>
    </row>
    <row r="19" spans="1:30" s="501" customFormat="1" ht="45" customHeight="1" thickBot="1">
      <c r="A19" s="874"/>
      <c r="B19" s="877"/>
      <c r="C19" s="507" t="s">
        <v>361</v>
      </c>
      <c r="D19" s="507" t="s">
        <v>358</v>
      </c>
      <c r="E19" s="507" t="s">
        <v>358</v>
      </c>
      <c r="F19" s="507" t="s">
        <v>610</v>
      </c>
      <c r="G19" s="507" t="s">
        <v>611</v>
      </c>
      <c r="H19" s="507"/>
      <c r="I19" s="507"/>
      <c r="J19" s="507"/>
      <c r="K19" s="508">
        <v>10</v>
      </c>
      <c r="L19" s="507"/>
      <c r="M19" s="507"/>
      <c r="N19" s="507"/>
      <c r="O19" s="507"/>
      <c r="P19" s="509"/>
      <c r="Q19" s="509" t="s">
        <v>631</v>
      </c>
      <c r="R19" s="649"/>
      <c r="S19" s="510"/>
      <c r="T19" s="505" t="s">
        <v>557</v>
      </c>
      <c r="U19" s="505" t="s">
        <v>558</v>
      </c>
      <c r="V19" s="505" t="s">
        <v>559</v>
      </c>
      <c r="W19" s="505" t="s">
        <v>560</v>
      </c>
      <c r="X19" s="505" t="s">
        <v>561</v>
      </c>
      <c r="Y19" s="505" t="s">
        <v>375</v>
      </c>
      <c r="Z19" s="504" t="s">
        <v>543</v>
      </c>
      <c r="AA19" s="504" t="s">
        <v>633</v>
      </c>
      <c r="AB19" s="504" t="s">
        <v>544</v>
      </c>
      <c r="AC19" s="504" t="s">
        <v>369</v>
      </c>
      <c r="AD19" s="511" t="s">
        <v>24</v>
      </c>
    </row>
    <row r="20" spans="1:30" s="501" customFormat="1" ht="79.5" customHeight="1">
      <c r="A20" s="512">
        <v>1</v>
      </c>
      <c r="B20" s="513" t="str">
        <f>DADOS!B9</f>
        <v>PASS. NS. DO CARMO</v>
      </c>
      <c r="C20" s="514">
        <v>13</v>
      </c>
      <c r="D20" s="515">
        <v>5</v>
      </c>
      <c r="E20" s="514">
        <f>C20*D20</f>
        <v>65</v>
      </c>
      <c r="F20" s="516">
        <f>0.48+0.5</f>
        <v>0.98</v>
      </c>
      <c r="G20" s="516">
        <f>0.48+0.6</f>
        <v>1.08</v>
      </c>
      <c r="H20" s="516">
        <v>0.05</v>
      </c>
      <c r="I20" s="516">
        <f>(E20*F20*G20)+(E20*G20*H20)</f>
        <v>72.31</v>
      </c>
      <c r="J20" s="517">
        <f>N20</f>
        <v>8.16</v>
      </c>
      <c r="K20" s="518">
        <f>J20*1.25*$K$19</f>
        <v>102</v>
      </c>
      <c r="L20" s="516">
        <f>E20*F20</f>
        <v>63.7</v>
      </c>
      <c r="M20" s="517">
        <f>L20</f>
        <v>63.7</v>
      </c>
      <c r="N20" s="516">
        <f>(3.14*0.2^2)*E20</f>
        <v>8.16</v>
      </c>
      <c r="O20" s="516">
        <f>(I20-N20)*70%</f>
        <v>44.91</v>
      </c>
      <c r="P20" s="516">
        <f>(I20-N20)*30%</f>
        <v>19.25</v>
      </c>
      <c r="Q20" s="516">
        <v>0</v>
      </c>
      <c r="R20" s="650">
        <f>E20</f>
        <v>65</v>
      </c>
      <c r="S20" s="519"/>
      <c r="T20" s="520">
        <f>'ORÇAMENTO GERAL'!$J$35</f>
        <v>211.02</v>
      </c>
      <c r="U20" s="520">
        <f>'ORÇAMENTO GERAL'!$J$36</f>
        <v>14.63</v>
      </c>
      <c r="V20" s="520">
        <f>'ORÇAMENTO GERAL'!$J$37</f>
        <v>8.06</v>
      </c>
      <c r="W20" s="520">
        <f>'ORÇAMENTO GERAL'!$J$38</f>
        <v>3.54</v>
      </c>
      <c r="X20" s="520">
        <f>'ORÇAMENTO GERAL'!$J$39</f>
        <v>7.09</v>
      </c>
      <c r="Y20" s="520">
        <f>'ORÇAMENTO GERAL'!$J$40</f>
        <v>48.92</v>
      </c>
      <c r="Z20" s="520">
        <f>'ORÇAMENTO GERAL'!$J$41</f>
        <v>169.7</v>
      </c>
      <c r="AA20" s="520">
        <f>'ORÇAMENTO GERAL'!$J$42</f>
        <v>22.71</v>
      </c>
      <c r="AB20" s="520">
        <f>'ORÇAMENTO GERAL'!$J$43</f>
        <v>46.13</v>
      </c>
      <c r="AC20" s="520">
        <f>'ORÇAMENTO GERAL'!$J$44</f>
        <v>77.84</v>
      </c>
      <c r="AD20" s="520">
        <f>(E20*T20)+(I20*U20)+(J20*V20)+(K20*W20)+(L20*X20)+(M20*Y20)+(O20*Z20)+(P20*AA20)+(Q20*AB20)+(R20*AC20)</f>
        <v>31886.88</v>
      </c>
    </row>
    <row r="21" spans="1:30" s="501" customFormat="1" ht="79.5" customHeight="1">
      <c r="A21" s="512">
        <v>2</v>
      </c>
      <c r="B21" s="513" t="str">
        <f>DADOS!B10</f>
        <v>PASS. KENEDY</v>
      </c>
      <c r="C21" s="521">
        <v>8</v>
      </c>
      <c r="D21" s="522">
        <v>5</v>
      </c>
      <c r="E21" s="521">
        <f aca="true" t="shared" si="0" ref="E21:E39">C21*D21</f>
        <v>40</v>
      </c>
      <c r="F21" s="516">
        <f aca="true" t="shared" si="1" ref="F21:F39">0.48+0.5</f>
        <v>0.98</v>
      </c>
      <c r="G21" s="516">
        <f aca="true" t="shared" si="2" ref="G21:G39">0.48+0.6</f>
        <v>1.08</v>
      </c>
      <c r="H21" s="516">
        <v>0.05</v>
      </c>
      <c r="I21" s="516">
        <f aca="true" t="shared" si="3" ref="I21:I39">(E21*F21*G21)+(E21*G21*H21)</f>
        <v>44.5</v>
      </c>
      <c r="J21" s="517">
        <f aca="true" t="shared" si="4" ref="J21:J39">N21</f>
        <v>5.02</v>
      </c>
      <c r="K21" s="518">
        <f aca="true" t="shared" si="5" ref="K21:K39">J21*1.25*$K$19</f>
        <v>62.75</v>
      </c>
      <c r="L21" s="516">
        <f aca="true" t="shared" si="6" ref="L21:L39">E21*F21</f>
        <v>39.2</v>
      </c>
      <c r="M21" s="517">
        <f aca="true" t="shared" si="7" ref="M21:M39">L21</f>
        <v>39.2</v>
      </c>
      <c r="N21" s="516">
        <f aca="true" t="shared" si="8" ref="N21:N39">(3.14*0.2^2)*E21</f>
        <v>5.02</v>
      </c>
      <c r="O21" s="516">
        <f aca="true" t="shared" si="9" ref="O21:O39">(I21-N21)*70%</f>
        <v>27.64</v>
      </c>
      <c r="P21" s="516">
        <f aca="true" t="shared" si="10" ref="P21:P39">(I21-N21)*30%</f>
        <v>11.84</v>
      </c>
      <c r="Q21" s="516">
        <v>0</v>
      </c>
      <c r="R21" s="650">
        <f aca="true" t="shared" si="11" ref="R21:R39">E21</f>
        <v>40</v>
      </c>
      <c r="S21" s="519"/>
      <c r="T21" s="520">
        <f>'ORÇAMENTO GERAL'!$J$35</f>
        <v>211.02</v>
      </c>
      <c r="U21" s="520">
        <f>'ORÇAMENTO GERAL'!$J$36</f>
        <v>14.63</v>
      </c>
      <c r="V21" s="520">
        <f>'ORÇAMENTO GERAL'!$J$37</f>
        <v>8.06</v>
      </c>
      <c r="W21" s="520">
        <f>'ORÇAMENTO GERAL'!$J$38</f>
        <v>3.54</v>
      </c>
      <c r="X21" s="520">
        <f>'ORÇAMENTO GERAL'!$J$39</f>
        <v>7.09</v>
      </c>
      <c r="Y21" s="520">
        <f>'ORÇAMENTO GERAL'!$J$40</f>
        <v>48.92</v>
      </c>
      <c r="Z21" s="520">
        <f>'ORÇAMENTO GERAL'!$J$41</f>
        <v>169.7</v>
      </c>
      <c r="AA21" s="520">
        <f>'ORÇAMENTO GERAL'!$J$42</f>
        <v>22.71</v>
      </c>
      <c r="AB21" s="520">
        <f>'ORÇAMENTO GERAL'!$J$43</f>
        <v>46.13</v>
      </c>
      <c r="AC21" s="520">
        <f>'ORÇAMENTO GERAL'!$J$44</f>
        <v>77.84</v>
      </c>
      <c r="AD21" s="520">
        <f aca="true" t="shared" si="12" ref="AD21:AD39">(E21*T21)+(I21*U21)+(J21*V21)+(K21*W21)+(L21*X21)+(M21*Y21)+(O21*Z21)+(P21*AA21)+(Q21*AB21)+(R21*AC21)</f>
        <v>19623.02</v>
      </c>
    </row>
    <row r="22" spans="1:30" s="501" customFormat="1" ht="79.5" customHeight="1">
      <c r="A22" s="512">
        <v>3</v>
      </c>
      <c r="B22" s="513" t="str">
        <f>DADOS!B11</f>
        <v>PASS. UBIRATAN MACIEL</v>
      </c>
      <c r="C22" s="521">
        <v>8</v>
      </c>
      <c r="D22" s="522">
        <v>5</v>
      </c>
      <c r="E22" s="521">
        <f t="shared" si="0"/>
        <v>40</v>
      </c>
      <c r="F22" s="516">
        <f t="shared" si="1"/>
        <v>0.98</v>
      </c>
      <c r="G22" s="516">
        <f t="shared" si="2"/>
        <v>1.08</v>
      </c>
      <c r="H22" s="516">
        <v>0.05</v>
      </c>
      <c r="I22" s="516">
        <f t="shared" si="3"/>
        <v>44.5</v>
      </c>
      <c r="J22" s="517">
        <f t="shared" si="4"/>
        <v>5.02</v>
      </c>
      <c r="K22" s="518">
        <f t="shared" si="5"/>
        <v>62.75</v>
      </c>
      <c r="L22" s="516">
        <f t="shared" si="6"/>
        <v>39.2</v>
      </c>
      <c r="M22" s="517">
        <f t="shared" si="7"/>
        <v>39.2</v>
      </c>
      <c r="N22" s="516">
        <f t="shared" si="8"/>
        <v>5.02</v>
      </c>
      <c r="O22" s="516">
        <f t="shared" si="9"/>
        <v>27.64</v>
      </c>
      <c r="P22" s="516">
        <f t="shared" si="10"/>
        <v>11.84</v>
      </c>
      <c r="Q22" s="516">
        <v>0</v>
      </c>
      <c r="R22" s="650">
        <f t="shared" si="11"/>
        <v>40</v>
      </c>
      <c r="S22" s="519"/>
      <c r="T22" s="520">
        <f>'ORÇAMENTO GERAL'!$J$35</f>
        <v>211.02</v>
      </c>
      <c r="U22" s="520">
        <f>'ORÇAMENTO GERAL'!$J$36</f>
        <v>14.63</v>
      </c>
      <c r="V22" s="520">
        <f>'ORÇAMENTO GERAL'!$J$37</f>
        <v>8.06</v>
      </c>
      <c r="W22" s="520">
        <f>'ORÇAMENTO GERAL'!$J$38</f>
        <v>3.54</v>
      </c>
      <c r="X22" s="520">
        <f>'ORÇAMENTO GERAL'!$J$39</f>
        <v>7.09</v>
      </c>
      <c r="Y22" s="520">
        <f>'ORÇAMENTO GERAL'!$J$40</f>
        <v>48.92</v>
      </c>
      <c r="Z22" s="520">
        <f>'ORÇAMENTO GERAL'!$J$41</f>
        <v>169.7</v>
      </c>
      <c r="AA22" s="520">
        <f>'ORÇAMENTO GERAL'!$J$42</f>
        <v>22.71</v>
      </c>
      <c r="AB22" s="520">
        <f>'ORÇAMENTO GERAL'!$J$43</f>
        <v>46.13</v>
      </c>
      <c r="AC22" s="520">
        <f>'ORÇAMENTO GERAL'!$J$44</f>
        <v>77.84</v>
      </c>
      <c r="AD22" s="520">
        <f t="shared" si="12"/>
        <v>19623.02</v>
      </c>
    </row>
    <row r="23" spans="1:30" s="501" customFormat="1" ht="79.5" customHeight="1" thickBot="1">
      <c r="A23" s="512">
        <v>4</v>
      </c>
      <c r="B23" s="513" t="str">
        <f>DADOS!B12</f>
        <v>PASS. ALEGRE </v>
      </c>
      <c r="C23" s="521">
        <v>5</v>
      </c>
      <c r="D23" s="522">
        <v>5</v>
      </c>
      <c r="E23" s="521">
        <f t="shared" si="0"/>
        <v>25</v>
      </c>
      <c r="F23" s="516">
        <f t="shared" si="1"/>
        <v>0.98</v>
      </c>
      <c r="G23" s="516">
        <f t="shared" si="2"/>
        <v>1.08</v>
      </c>
      <c r="H23" s="516">
        <v>0.05</v>
      </c>
      <c r="I23" s="516">
        <f t="shared" si="3"/>
        <v>27.81</v>
      </c>
      <c r="J23" s="517">
        <f t="shared" si="4"/>
        <v>3.14</v>
      </c>
      <c r="K23" s="518">
        <f t="shared" si="5"/>
        <v>39.25</v>
      </c>
      <c r="L23" s="516">
        <f t="shared" si="6"/>
        <v>24.5</v>
      </c>
      <c r="M23" s="517">
        <f t="shared" si="7"/>
        <v>24.5</v>
      </c>
      <c r="N23" s="516">
        <f t="shared" si="8"/>
        <v>3.14</v>
      </c>
      <c r="O23" s="516">
        <f t="shared" si="9"/>
        <v>17.27</v>
      </c>
      <c r="P23" s="516">
        <f t="shared" si="10"/>
        <v>7.4</v>
      </c>
      <c r="Q23" s="516">
        <v>0</v>
      </c>
      <c r="R23" s="650">
        <f t="shared" si="11"/>
        <v>25</v>
      </c>
      <c r="S23" s="519"/>
      <c r="T23" s="520">
        <f>'ORÇAMENTO GERAL'!$J$35</f>
        <v>211.02</v>
      </c>
      <c r="U23" s="520">
        <f>'ORÇAMENTO GERAL'!$J$36</f>
        <v>14.63</v>
      </c>
      <c r="V23" s="520">
        <f>'ORÇAMENTO GERAL'!$J$37</f>
        <v>8.06</v>
      </c>
      <c r="W23" s="520">
        <f>'ORÇAMENTO GERAL'!$J$38</f>
        <v>3.54</v>
      </c>
      <c r="X23" s="520">
        <f>'ORÇAMENTO GERAL'!$J$39</f>
        <v>7.09</v>
      </c>
      <c r="Y23" s="520">
        <f>'ORÇAMENTO GERAL'!$J$40</f>
        <v>48.92</v>
      </c>
      <c r="Z23" s="520">
        <f>'ORÇAMENTO GERAL'!$J$41</f>
        <v>169.7</v>
      </c>
      <c r="AA23" s="520">
        <f>'ORÇAMENTO GERAL'!$J$42</f>
        <v>22.71</v>
      </c>
      <c r="AB23" s="520">
        <f>'ORÇAMENTO GERAL'!$J$43</f>
        <v>46.13</v>
      </c>
      <c r="AC23" s="520">
        <f>'ORÇAMENTO GERAL'!$J$44</f>
        <v>77.84</v>
      </c>
      <c r="AD23" s="520">
        <f t="shared" si="12"/>
        <v>12263.63</v>
      </c>
    </row>
    <row r="24" spans="1:30" s="501" customFormat="1" ht="45" customHeight="1" hidden="1">
      <c r="A24" s="512">
        <v>5</v>
      </c>
      <c r="B24" s="513">
        <f>DADOS!B13</f>
        <v>0</v>
      </c>
      <c r="C24" s="521"/>
      <c r="D24" s="522">
        <v>5</v>
      </c>
      <c r="E24" s="521">
        <f t="shared" si="0"/>
        <v>0</v>
      </c>
      <c r="F24" s="516">
        <f t="shared" si="1"/>
        <v>0.98</v>
      </c>
      <c r="G24" s="516">
        <f t="shared" si="2"/>
        <v>1.08</v>
      </c>
      <c r="H24" s="516">
        <v>0.05</v>
      </c>
      <c r="I24" s="516">
        <f t="shared" si="3"/>
        <v>0</v>
      </c>
      <c r="J24" s="517">
        <f t="shared" si="4"/>
        <v>0</v>
      </c>
      <c r="K24" s="518">
        <f t="shared" si="5"/>
        <v>0</v>
      </c>
      <c r="L24" s="516">
        <f t="shared" si="6"/>
        <v>0</v>
      </c>
      <c r="M24" s="517">
        <f t="shared" si="7"/>
        <v>0</v>
      </c>
      <c r="N24" s="516">
        <f t="shared" si="8"/>
        <v>0</v>
      </c>
      <c r="O24" s="516">
        <f t="shared" si="9"/>
        <v>0</v>
      </c>
      <c r="P24" s="516">
        <f t="shared" si="10"/>
        <v>0</v>
      </c>
      <c r="Q24" s="516">
        <v>0</v>
      </c>
      <c r="R24" s="650">
        <f t="shared" si="11"/>
        <v>0</v>
      </c>
      <c r="S24" s="519"/>
      <c r="T24" s="520">
        <f>'ORÇAMENTO GERAL'!$J$35</f>
        <v>211.02</v>
      </c>
      <c r="U24" s="520">
        <f>'ORÇAMENTO GERAL'!$J$36</f>
        <v>14.63</v>
      </c>
      <c r="V24" s="520">
        <f>'ORÇAMENTO GERAL'!$J$37</f>
        <v>8.06</v>
      </c>
      <c r="W24" s="520">
        <f>'ORÇAMENTO GERAL'!$J$38</f>
        <v>3.54</v>
      </c>
      <c r="X24" s="520">
        <f>'ORÇAMENTO GERAL'!$J$39</f>
        <v>7.09</v>
      </c>
      <c r="Y24" s="520">
        <f>'ORÇAMENTO GERAL'!$J$40</f>
        <v>48.92</v>
      </c>
      <c r="Z24" s="520">
        <f>'ORÇAMENTO GERAL'!$J$41</f>
        <v>169.7</v>
      </c>
      <c r="AA24" s="520">
        <f>'ORÇAMENTO GERAL'!$J$42</f>
        <v>22.71</v>
      </c>
      <c r="AB24" s="520">
        <f>'ORÇAMENTO GERAL'!$J$43</f>
        <v>46.13</v>
      </c>
      <c r="AC24" s="520">
        <f>'ORÇAMENTO GERAL'!$J$44</f>
        <v>77.84</v>
      </c>
      <c r="AD24" s="520">
        <f t="shared" si="12"/>
        <v>0</v>
      </c>
    </row>
    <row r="25" spans="1:30" s="501" customFormat="1" ht="45" customHeight="1" hidden="1">
      <c r="A25" s="512">
        <v>6</v>
      </c>
      <c r="B25" s="513">
        <f>DADOS!B14</f>
        <v>0</v>
      </c>
      <c r="C25" s="521"/>
      <c r="D25" s="522">
        <v>5</v>
      </c>
      <c r="E25" s="521">
        <f t="shared" si="0"/>
        <v>0</v>
      </c>
      <c r="F25" s="516">
        <f t="shared" si="1"/>
        <v>0.98</v>
      </c>
      <c r="G25" s="516">
        <f t="shared" si="2"/>
        <v>1.08</v>
      </c>
      <c r="H25" s="516">
        <v>0.05</v>
      </c>
      <c r="I25" s="516">
        <f t="shared" si="3"/>
        <v>0</v>
      </c>
      <c r="J25" s="517">
        <f t="shared" si="4"/>
        <v>0</v>
      </c>
      <c r="K25" s="518">
        <f t="shared" si="5"/>
        <v>0</v>
      </c>
      <c r="L25" s="516">
        <f t="shared" si="6"/>
        <v>0</v>
      </c>
      <c r="M25" s="517">
        <f t="shared" si="7"/>
        <v>0</v>
      </c>
      <c r="N25" s="516">
        <f t="shared" si="8"/>
        <v>0</v>
      </c>
      <c r="O25" s="516">
        <f t="shared" si="9"/>
        <v>0</v>
      </c>
      <c r="P25" s="516">
        <f t="shared" si="10"/>
        <v>0</v>
      </c>
      <c r="Q25" s="516">
        <v>0</v>
      </c>
      <c r="R25" s="650">
        <f t="shared" si="11"/>
        <v>0</v>
      </c>
      <c r="S25" s="519"/>
      <c r="T25" s="520">
        <f>'ORÇAMENTO GERAL'!$J$35</f>
        <v>211.02</v>
      </c>
      <c r="U25" s="520">
        <f>'ORÇAMENTO GERAL'!$J$36</f>
        <v>14.63</v>
      </c>
      <c r="V25" s="520">
        <f>'ORÇAMENTO GERAL'!$J$37</f>
        <v>8.06</v>
      </c>
      <c r="W25" s="520">
        <f>'ORÇAMENTO GERAL'!$J$38</f>
        <v>3.54</v>
      </c>
      <c r="X25" s="520">
        <f>'ORÇAMENTO GERAL'!$J$39</f>
        <v>7.09</v>
      </c>
      <c r="Y25" s="520">
        <f>'ORÇAMENTO GERAL'!$J$40</f>
        <v>48.92</v>
      </c>
      <c r="Z25" s="520">
        <f>'ORÇAMENTO GERAL'!$J$41</f>
        <v>169.7</v>
      </c>
      <c r="AA25" s="520">
        <f>'ORÇAMENTO GERAL'!$J$42</f>
        <v>22.71</v>
      </c>
      <c r="AB25" s="520">
        <f>'ORÇAMENTO GERAL'!$J$43</f>
        <v>46.13</v>
      </c>
      <c r="AC25" s="520">
        <f>'ORÇAMENTO GERAL'!$J$44</f>
        <v>77.84</v>
      </c>
      <c r="AD25" s="520">
        <f t="shared" si="12"/>
        <v>0</v>
      </c>
    </row>
    <row r="26" spans="1:30" s="501" customFormat="1" ht="45" customHeight="1" hidden="1">
      <c r="A26" s="512">
        <v>7</v>
      </c>
      <c r="B26" s="513">
        <f>DADOS!B15</f>
        <v>0</v>
      </c>
      <c r="C26" s="521"/>
      <c r="D26" s="522">
        <v>5</v>
      </c>
      <c r="E26" s="521">
        <f t="shared" si="0"/>
        <v>0</v>
      </c>
      <c r="F26" s="516">
        <f t="shared" si="1"/>
        <v>0.98</v>
      </c>
      <c r="G26" s="516">
        <f t="shared" si="2"/>
        <v>1.08</v>
      </c>
      <c r="H26" s="516">
        <v>0.05</v>
      </c>
      <c r="I26" s="516">
        <f t="shared" si="3"/>
        <v>0</v>
      </c>
      <c r="J26" s="517">
        <f t="shared" si="4"/>
        <v>0</v>
      </c>
      <c r="K26" s="518">
        <f t="shared" si="5"/>
        <v>0</v>
      </c>
      <c r="L26" s="516">
        <f t="shared" si="6"/>
        <v>0</v>
      </c>
      <c r="M26" s="517">
        <f t="shared" si="7"/>
        <v>0</v>
      </c>
      <c r="N26" s="516">
        <f t="shared" si="8"/>
        <v>0</v>
      </c>
      <c r="O26" s="516">
        <f t="shared" si="9"/>
        <v>0</v>
      </c>
      <c r="P26" s="516">
        <f t="shared" si="10"/>
        <v>0</v>
      </c>
      <c r="Q26" s="516">
        <v>0</v>
      </c>
      <c r="R26" s="650">
        <f t="shared" si="11"/>
        <v>0</v>
      </c>
      <c r="S26" s="519"/>
      <c r="T26" s="520">
        <f>'ORÇAMENTO GERAL'!$J$35</f>
        <v>211.02</v>
      </c>
      <c r="U26" s="520">
        <f>'ORÇAMENTO GERAL'!$J$36</f>
        <v>14.63</v>
      </c>
      <c r="V26" s="520">
        <f>'ORÇAMENTO GERAL'!$J$37</f>
        <v>8.06</v>
      </c>
      <c r="W26" s="520">
        <f>'ORÇAMENTO GERAL'!$J$38</f>
        <v>3.54</v>
      </c>
      <c r="X26" s="520">
        <f>'ORÇAMENTO GERAL'!$J$39</f>
        <v>7.09</v>
      </c>
      <c r="Y26" s="520">
        <f>'ORÇAMENTO GERAL'!$J$40</f>
        <v>48.92</v>
      </c>
      <c r="Z26" s="520">
        <f>'ORÇAMENTO GERAL'!$J$41</f>
        <v>169.7</v>
      </c>
      <c r="AA26" s="520">
        <f>'ORÇAMENTO GERAL'!$J$42</f>
        <v>22.71</v>
      </c>
      <c r="AB26" s="520">
        <f>'ORÇAMENTO GERAL'!$J$43</f>
        <v>46.13</v>
      </c>
      <c r="AC26" s="520">
        <f>'ORÇAMENTO GERAL'!$J$44</f>
        <v>77.84</v>
      </c>
      <c r="AD26" s="520">
        <f t="shared" si="12"/>
        <v>0</v>
      </c>
    </row>
    <row r="27" spans="1:30" s="501" customFormat="1" ht="45" customHeight="1" hidden="1">
      <c r="A27" s="512">
        <v>8</v>
      </c>
      <c r="B27" s="513">
        <f>DADOS!B16</f>
        <v>0</v>
      </c>
      <c r="C27" s="521"/>
      <c r="D27" s="522">
        <v>5</v>
      </c>
      <c r="E27" s="521">
        <f t="shared" si="0"/>
        <v>0</v>
      </c>
      <c r="F27" s="516">
        <f t="shared" si="1"/>
        <v>0.98</v>
      </c>
      <c r="G27" s="516">
        <f t="shared" si="2"/>
        <v>1.08</v>
      </c>
      <c r="H27" s="516">
        <v>0.05</v>
      </c>
      <c r="I27" s="516">
        <f t="shared" si="3"/>
        <v>0</v>
      </c>
      <c r="J27" s="517">
        <f t="shared" si="4"/>
        <v>0</v>
      </c>
      <c r="K27" s="518">
        <f t="shared" si="5"/>
        <v>0</v>
      </c>
      <c r="L27" s="516">
        <f t="shared" si="6"/>
        <v>0</v>
      </c>
      <c r="M27" s="517">
        <f t="shared" si="7"/>
        <v>0</v>
      </c>
      <c r="N27" s="516">
        <f t="shared" si="8"/>
        <v>0</v>
      </c>
      <c r="O27" s="516">
        <f t="shared" si="9"/>
        <v>0</v>
      </c>
      <c r="P27" s="516">
        <f t="shared" si="10"/>
        <v>0</v>
      </c>
      <c r="Q27" s="516">
        <v>0</v>
      </c>
      <c r="R27" s="650">
        <f t="shared" si="11"/>
        <v>0</v>
      </c>
      <c r="S27" s="519"/>
      <c r="T27" s="520">
        <f>'ORÇAMENTO GERAL'!$J$35</f>
        <v>211.02</v>
      </c>
      <c r="U27" s="520">
        <f>'ORÇAMENTO GERAL'!$J$36</f>
        <v>14.63</v>
      </c>
      <c r="V27" s="520">
        <f>'ORÇAMENTO GERAL'!$J$37</f>
        <v>8.06</v>
      </c>
      <c r="W27" s="520">
        <f>'ORÇAMENTO GERAL'!$J$38</f>
        <v>3.54</v>
      </c>
      <c r="X27" s="520">
        <f>'ORÇAMENTO GERAL'!$J$39</f>
        <v>7.09</v>
      </c>
      <c r="Y27" s="520">
        <f>'ORÇAMENTO GERAL'!$J$40</f>
        <v>48.92</v>
      </c>
      <c r="Z27" s="520">
        <f>'ORÇAMENTO GERAL'!$J$41</f>
        <v>169.7</v>
      </c>
      <c r="AA27" s="520">
        <f>'ORÇAMENTO GERAL'!$J$42</f>
        <v>22.71</v>
      </c>
      <c r="AB27" s="520">
        <f>'ORÇAMENTO GERAL'!$J$43</f>
        <v>46.13</v>
      </c>
      <c r="AC27" s="520">
        <f>'ORÇAMENTO GERAL'!$J$44</f>
        <v>77.84</v>
      </c>
      <c r="AD27" s="520">
        <f t="shared" si="12"/>
        <v>0</v>
      </c>
    </row>
    <row r="28" spans="1:30" s="501" customFormat="1" ht="45" customHeight="1" hidden="1">
      <c r="A28" s="512">
        <v>9</v>
      </c>
      <c r="B28" s="513">
        <f>DADOS!B17</f>
        <v>0</v>
      </c>
      <c r="C28" s="521"/>
      <c r="D28" s="522">
        <v>5</v>
      </c>
      <c r="E28" s="521">
        <f t="shared" si="0"/>
        <v>0</v>
      </c>
      <c r="F28" s="516">
        <f t="shared" si="1"/>
        <v>0.98</v>
      </c>
      <c r="G28" s="516">
        <f t="shared" si="2"/>
        <v>1.08</v>
      </c>
      <c r="H28" s="516">
        <v>0.05</v>
      </c>
      <c r="I28" s="516">
        <f t="shared" si="3"/>
        <v>0</v>
      </c>
      <c r="J28" s="517">
        <f t="shared" si="4"/>
        <v>0</v>
      </c>
      <c r="K28" s="518">
        <f t="shared" si="5"/>
        <v>0</v>
      </c>
      <c r="L28" s="516">
        <f t="shared" si="6"/>
        <v>0</v>
      </c>
      <c r="M28" s="517">
        <f t="shared" si="7"/>
        <v>0</v>
      </c>
      <c r="N28" s="516">
        <f t="shared" si="8"/>
        <v>0</v>
      </c>
      <c r="O28" s="516">
        <f t="shared" si="9"/>
        <v>0</v>
      </c>
      <c r="P28" s="516">
        <f t="shared" si="10"/>
        <v>0</v>
      </c>
      <c r="Q28" s="516">
        <v>0</v>
      </c>
      <c r="R28" s="650">
        <f t="shared" si="11"/>
        <v>0</v>
      </c>
      <c r="S28" s="519"/>
      <c r="T28" s="520">
        <f>'ORÇAMENTO GERAL'!$J$35</f>
        <v>211.02</v>
      </c>
      <c r="U28" s="520">
        <f>'ORÇAMENTO GERAL'!$J$36</f>
        <v>14.63</v>
      </c>
      <c r="V28" s="520">
        <f>'ORÇAMENTO GERAL'!$J$37</f>
        <v>8.06</v>
      </c>
      <c r="W28" s="520">
        <f>'ORÇAMENTO GERAL'!$J$38</f>
        <v>3.54</v>
      </c>
      <c r="X28" s="520">
        <f>'ORÇAMENTO GERAL'!$J$39</f>
        <v>7.09</v>
      </c>
      <c r="Y28" s="520">
        <f>'ORÇAMENTO GERAL'!$J$40</f>
        <v>48.92</v>
      </c>
      <c r="Z28" s="520">
        <f>'ORÇAMENTO GERAL'!$J$41</f>
        <v>169.7</v>
      </c>
      <c r="AA28" s="520">
        <f>'ORÇAMENTO GERAL'!$J$42</f>
        <v>22.71</v>
      </c>
      <c r="AB28" s="520">
        <f>'ORÇAMENTO GERAL'!$J$43</f>
        <v>46.13</v>
      </c>
      <c r="AC28" s="520">
        <f>'ORÇAMENTO GERAL'!$J$44</f>
        <v>77.84</v>
      </c>
      <c r="AD28" s="520">
        <f t="shared" si="12"/>
        <v>0</v>
      </c>
    </row>
    <row r="29" spans="1:30" s="501" customFormat="1" ht="45" customHeight="1" hidden="1">
      <c r="A29" s="512">
        <v>10</v>
      </c>
      <c r="B29" s="513">
        <f>DADOS!B18</f>
        <v>0</v>
      </c>
      <c r="C29" s="521"/>
      <c r="D29" s="522">
        <v>5</v>
      </c>
      <c r="E29" s="521">
        <f t="shared" si="0"/>
        <v>0</v>
      </c>
      <c r="F29" s="516">
        <f t="shared" si="1"/>
        <v>0.98</v>
      </c>
      <c r="G29" s="516">
        <f t="shared" si="2"/>
        <v>1.08</v>
      </c>
      <c r="H29" s="516">
        <v>0.05</v>
      </c>
      <c r="I29" s="516">
        <f t="shared" si="3"/>
        <v>0</v>
      </c>
      <c r="J29" s="517">
        <f t="shared" si="4"/>
        <v>0</v>
      </c>
      <c r="K29" s="518">
        <f t="shared" si="5"/>
        <v>0</v>
      </c>
      <c r="L29" s="516">
        <f t="shared" si="6"/>
        <v>0</v>
      </c>
      <c r="M29" s="517">
        <f t="shared" si="7"/>
        <v>0</v>
      </c>
      <c r="N29" s="516">
        <f t="shared" si="8"/>
        <v>0</v>
      </c>
      <c r="O29" s="516">
        <f t="shared" si="9"/>
        <v>0</v>
      </c>
      <c r="P29" s="516">
        <f t="shared" si="10"/>
        <v>0</v>
      </c>
      <c r="Q29" s="516">
        <v>0</v>
      </c>
      <c r="R29" s="650">
        <f t="shared" si="11"/>
        <v>0</v>
      </c>
      <c r="S29" s="519"/>
      <c r="T29" s="520">
        <f>'ORÇAMENTO GERAL'!$J$35</f>
        <v>211.02</v>
      </c>
      <c r="U29" s="520">
        <f>'ORÇAMENTO GERAL'!$J$36</f>
        <v>14.63</v>
      </c>
      <c r="V29" s="520">
        <f>'ORÇAMENTO GERAL'!$J$37</f>
        <v>8.06</v>
      </c>
      <c r="W29" s="520">
        <f>'ORÇAMENTO GERAL'!$J$38</f>
        <v>3.54</v>
      </c>
      <c r="X29" s="520">
        <f>'ORÇAMENTO GERAL'!$J$39</f>
        <v>7.09</v>
      </c>
      <c r="Y29" s="520">
        <f>'ORÇAMENTO GERAL'!$J$40</f>
        <v>48.92</v>
      </c>
      <c r="Z29" s="520">
        <f>'ORÇAMENTO GERAL'!$J$41</f>
        <v>169.7</v>
      </c>
      <c r="AA29" s="520">
        <f>'ORÇAMENTO GERAL'!$J$42</f>
        <v>22.71</v>
      </c>
      <c r="AB29" s="520">
        <f>'ORÇAMENTO GERAL'!$J$43</f>
        <v>46.13</v>
      </c>
      <c r="AC29" s="520">
        <f>'ORÇAMENTO GERAL'!$J$44</f>
        <v>77.84</v>
      </c>
      <c r="AD29" s="520">
        <f t="shared" si="12"/>
        <v>0</v>
      </c>
    </row>
    <row r="30" spans="1:30" s="501" customFormat="1" ht="45" customHeight="1" hidden="1">
      <c r="A30" s="512">
        <v>11</v>
      </c>
      <c r="B30" s="513">
        <f>DADOS!B19</f>
        <v>0</v>
      </c>
      <c r="C30" s="521"/>
      <c r="D30" s="522">
        <v>5</v>
      </c>
      <c r="E30" s="521">
        <f t="shared" si="0"/>
        <v>0</v>
      </c>
      <c r="F30" s="516">
        <f t="shared" si="1"/>
        <v>0.98</v>
      </c>
      <c r="G30" s="516">
        <f t="shared" si="2"/>
        <v>1.08</v>
      </c>
      <c r="H30" s="516">
        <v>0.05</v>
      </c>
      <c r="I30" s="516">
        <f t="shared" si="3"/>
        <v>0</v>
      </c>
      <c r="J30" s="517">
        <f t="shared" si="4"/>
        <v>0</v>
      </c>
      <c r="K30" s="518">
        <f t="shared" si="5"/>
        <v>0</v>
      </c>
      <c r="L30" s="516">
        <f t="shared" si="6"/>
        <v>0</v>
      </c>
      <c r="M30" s="517">
        <f t="shared" si="7"/>
        <v>0</v>
      </c>
      <c r="N30" s="516">
        <f t="shared" si="8"/>
        <v>0</v>
      </c>
      <c r="O30" s="516">
        <f t="shared" si="9"/>
        <v>0</v>
      </c>
      <c r="P30" s="516">
        <f t="shared" si="10"/>
        <v>0</v>
      </c>
      <c r="Q30" s="516">
        <v>0</v>
      </c>
      <c r="R30" s="650">
        <f t="shared" si="11"/>
        <v>0</v>
      </c>
      <c r="S30" s="519"/>
      <c r="T30" s="520">
        <f>'ORÇAMENTO GERAL'!$J$35</f>
        <v>211.02</v>
      </c>
      <c r="U30" s="520">
        <f>'ORÇAMENTO GERAL'!$J$36</f>
        <v>14.63</v>
      </c>
      <c r="V30" s="520">
        <f>'ORÇAMENTO GERAL'!$J$37</f>
        <v>8.06</v>
      </c>
      <c r="W30" s="520">
        <f>'ORÇAMENTO GERAL'!$J$38</f>
        <v>3.54</v>
      </c>
      <c r="X30" s="520">
        <f>'ORÇAMENTO GERAL'!$J$39</f>
        <v>7.09</v>
      </c>
      <c r="Y30" s="520">
        <f>'ORÇAMENTO GERAL'!$J$40</f>
        <v>48.92</v>
      </c>
      <c r="Z30" s="520">
        <f>'ORÇAMENTO GERAL'!$J$41</f>
        <v>169.7</v>
      </c>
      <c r="AA30" s="520">
        <f>'ORÇAMENTO GERAL'!$J$42</f>
        <v>22.71</v>
      </c>
      <c r="AB30" s="520">
        <f>'ORÇAMENTO GERAL'!$J$43</f>
        <v>46.13</v>
      </c>
      <c r="AC30" s="520">
        <f>'ORÇAMENTO GERAL'!$J$44</f>
        <v>77.84</v>
      </c>
      <c r="AD30" s="520">
        <f t="shared" si="12"/>
        <v>0</v>
      </c>
    </row>
    <row r="31" spans="1:30" s="501" customFormat="1" ht="45" customHeight="1" hidden="1">
      <c r="A31" s="512">
        <v>12</v>
      </c>
      <c r="B31" s="513">
        <f>DADOS!B20</f>
        <v>0</v>
      </c>
      <c r="C31" s="521"/>
      <c r="D31" s="522">
        <v>5</v>
      </c>
      <c r="E31" s="521">
        <f t="shared" si="0"/>
        <v>0</v>
      </c>
      <c r="F31" s="516">
        <f t="shared" si="1"/>
        <v>0.98</v>
      </c>
      <c r="G31" s="516">
        <f t="shared" si="2"/>
        <v>1.08</v>
      </c>
      <c r="H31" s="516">
        <v>0.05</v>
      </c>
      <c r="I31" s="516">
        <f t="shared" si="3"/>
        <v>0</v>
      </c>
      <c r="J31" s="517">
        <f t="shared" si="4"/>
        <v>0</v>
      </c>
      <c r="K31" s="518">
        <f t="shared" si="5"/>
        <v>0</v>
      </c>
      <c r="L31" s="516">
        <f t="shared" si="6"/>
        <v>0</v>
      </c>
      <c r="M31" s="517">
        <f t="shared" si="7"/>
        <v>0</v>
      </c>
      <c r="N31" s="516">
        <f t="shared" si="8"/>
        <v>0</v>
      </c>
      <c r="O31" s="516">
        <f t="shared" si="9"/>
        <v>0</v>
      </c>
      <c r="P31" s="516">
        <f t="shared" si="10"/>
        <v>0</v>
      </c>
      <c r="Q31" s="516">
        <v>0</v>
      </c>
      <c r="R31" s="650">
        <f t="shared" si="11"/>
        <v>0</v>
      </c>
      <c r="S31" s="519"/>
      <c r="T31" s="520">
        <f>'ORÇAMENTO GERAL'!$J$35</f>
        <v>211.02</v>
      </c>
      <c r="U31" s="520">
        <f>'ORÇAMENTO GERAL'!$J$36</f>
        <v>14.63</v>
      </c>
      <c r="V31" s="520">
        <f>'ORÇAMENTO GERAL'!$J$37</f>
        <v>8.06</v>
      </c>
      <c r="W31" s="520">
        <f>'ORÇAMENTO GERAL'!$J$38</f>
        <v>3.54</v>
      </c>
      <c r="X31" s="520">
        <f>'ORÇAMENTO GERAL'!$J$39</f>
        <v>7.09</v>
      </c>
      <c r="Y31" s="520">
        <f>'ORÇAMENTO GERAL'!$J$40</f>
        <v>48.92</v>
      </c>
      <c r="Z31" s="520">
        <f>'ORÇAMENTO GERAL'!$J$41</f>
        <v>169.7</v>
      </c>
      <c r="AA31" s="520">
        <f>'ORÇAMENTO GERAL'!$J$42</f>
        <v>22.71</v>
      </c>
      <c r="AB31" s="520">
        <f>'ORÇAMENTO GERAL'!$J$43</f>
        <v>46.13</v>
      </c>
      <c r="AC31" s="520">
        <f>'ORÇAMENTO GERAL'!$J$44</f>
        <v>77.84</v>
      </c>
      <c r="AD31" s="520">
        <f t="shared" si="12"/>
        <v>0</v>
      </c>
    </row>
    <row r="32" spans="1:30" s="501" customFormat="1" ht="45" customHeight="1" hidden="1">
      <c r="A32" s="512">
        <v>13</v>
      </c>
      <c r="B32" s="513">
        <f>DADOS!B21</f>
        <v>0</v>
      </c>
      <c r="C32" s="521"/>
      <c r="D32" s="522">
        <v>5</v>
      </c>
      <c r="E32" s="521">
        <f t="shared" si="0"/>
        <v>0</v>
      </c>
      <c r="F32" s="516">
        <f t="shared" si="1"/>
        <v>0.98</v>
      </c>
      <c r="G32" s="516">
        <f t="shared" si="2"/>
        <v>1.08</v>
      </c>
      <c r="H32" s="516">
        <v>0.05</v>
      </c>
      <c r="I32" s="516">
        <f t="shared" si="3"/>
        <v>0</v>
      </c>
      <c r="J32" s="517">
        <f t="shared" si="4"/>
        <v>0</v>
      </c>
      <c r="K32" s="518">
        <f t="shared" si="5"/>
        <v>0</v>
      </c>
      <c r="L32" s="516">
        <f t="shared" si="6"/>
        <v>0</v>
      </c>
      <c r="M32" s="517">
        <f t="shared" si="7"/>
        <v>0</v>
      </c>
      <c r="N32" s="516">
        <f t="shared" si="8"/>
        <v>0</v>
      </c>
      <c r="O32" s="516">
        <f t="shared" si="9"/>
        <v>0</v>
      </c>
      <c r="P32" s="516">
        <f t="shared" si="10"/>
        <v>0</v>
      </c>
      <c r="Q32" s="516">
        <v>0</v>
      </c>
      <c r="R32" s="650">
        <f t="shared" si="11"/>
        <v>0</v>
      </c>
      <c r="S32" s="519"/>
      <c r="T32" s="520">
        <f>'ORÇAMENTO GERAL'!$J$35</f>
        <v>211.02</v>
      </c>
      <c r="U32" s="520">
        <f>'ORÇAMENTO GERAL'!$J$36</f>
        <v>14.63</v>
      </c>
      <c r="V32" s="520">
        <f>'ORÇAMENTO GERAL'!$J$37</f>
        <v>8.06</v>
      </c>
      <c r="W32" s="520">
        <f>'ORÇAMENTO GERAL'!$J$38</f>
        <v>3.54</v>
      </c>
      <c r="X32" s="520">
        <f>'ORÇAMENTO GERAL'!$J$39</f>
        <v>7.09</v>
      </c>
      <c r="Y32" s="520">
        <f>'ORÇAMENTO GERAL'!$J$40</f>
        <v>48.92</v>
      </c>
      <c r="Z32" s="520">
        <f>'ORÇAMENTO GERAL'!$J$41</f>
        <v>169.7</v>
      </c>
      <c r="AA32" s="520">
        <f>'ORÇAMENTO GERAL'!$J$42</f>
        <v>22.71</v>
      </c>
      <c r="AB32" s="520">
        <f>'ORÇAMENTO GERAL'!$J$43</f>
        <v>46.13</v>
      </c>
      <c r="AC32" s="520">
        <f>'ORÇAMENTO GERAL'!$J$44</f>
        <v>77.84</v>
      </c>
      <c r="AD32" s="520">
        <f t="shared" si="12"/>
        <v>0</v>
      </c>
    </row>
    <row r="33" spans="1:30" s="501" customFormat="1" ht="45" customHeight="1" hidden="1">
      <c r="A33" s="512">
        <v>14</v>
      </c>
      <c r="B33" s="513">
        <f>DADOS!B22</f>
        <v>0</v>
      </c>
      <c r="C33" s="521"/>
      <c r="D33" s="522">
        <v>5</v>
      </c>
      <c r="E33" s="521">
        <f t="shared" si="0"/>
        <v>0</v>
      </c>
      <c r="F33" s="516">
        <f t="shared" si="1"/>
        <v>0.98</v>
      </c>
      <c r="G33" s="516">
        <f t="shared" si="2"/>
        <v>1.08</v>
      </c>
      <c r="H33" s="516">
        <v>0.05</v>
      </c>
      <c r="I33" s="516">
        <f t="shared" si="3"/>
        <v>0</v>
      </c>
      <c r="J33" s="517">
        <f t="shared" si="4"/>
        <v>0</v>
      </c>
      <c r="K33" s="518">
        <f t="shared" si="5"/>
        <v>0</v>
      </c>
      <c r="L33" s="516">
        <f t="shared" si="6"/>
        <v>0</v>
      </c>
      <c r="M33" s="517">
        <f t="shared" si="7"/>
        <v>0</v>
      </c>
      <c r="N33" s="516">
        <f t="shared" si="8"/>
        <v>0</v>
      </c>
      <c r="O33" s="516">
        <f t="shared" si="9"/>
        <v>0</v>
      </c>
      <c r="P33" s="516">
        <f t="shared" si="10"/>
        <v>0</v>
      </c>
      <c r="Q33" s="516">
        <v>0</v>
      </c>
      <c r="R33" s="650">
        <f t="shared" si="11"/>
        <v>0</v>
      </c>
      <c r="S33" s="519"/>
      <c r="T33" s="520">
        <f>'ORÇAMENTO GERAL'!$J$35</f>
        <v>211.02</v>
      </c>
      <c r="U33" s="520">
        <f>'ORÇAMENTO GERAL'!$J$36</f>
        <v>14.63</v>
      </c>
      <c r="V33" s="520">
        <f>'ORÇAMENTO GERAL'!$J$37</f>
        <v>8.06</v>
      </c>
      <c r="W33" s="520">
        <f>'ORÇAMENTO GERAL'!$J$38</f>
        <v>3.54</v>
      </c>
      <c r="X33" s="520">
        <f>'ORÇAMENTO GERAL'!$J$39</f>
        <v>7.09</v>
      </c>
      <c r="Y33" s="520">
        <f>'ORÇAMENTO GERAL'!$J$40</f>
        <v>48.92</v>
      </c>
      <c r="Z33" s="520">
        <f>'ORÇAMENTO GERAL'!$J$41</f>
        <v>169.7</v>
      </c>
      <c r="AA33" s="520">
        <f>'ORÇAMENTO GERAL'!$J$42</f>
        <v>22.71</v>
      </c>
      <c r="AB33" s="520">
        <f>'ORÇAMENTO GERAL'!$J$43</f>
        <v>46.13</v>
      </c>
      <c r="AC33" s="520">
        <f>'ORÇAMENTO GERAL'!$J$44</f>
        <v>77.84</v>
      </c>
      <c r="AD33" s="520">
        <f t="shared" si="12"/>
        <v>0</v>
      </c>
    </row>
    <row r="34" spans="1:30" s="501" customFormat="1" ht="45" customHeight="1" hidden="1">
      <c r="A34" s="512">
        <v>15</v>
      </c>
      <c r="B34" s="513">
        <f>DADOS!B23</f>
        <v>0</v>
      </c>
      <c r="C34" s="521"/>
      <c r="D34" s="522">
        <v>5</v>
      </c>
      <c r="E34" s="521">
        <f t="shared" si="0"/>
        <v>0</v>
      </c>
      <c r="F34" s="516">
        <f t="shared" si="1"/>
        <v>0.98</v>
      </c>
      <c r="G34" s="516">
        <f t="shared" si="2"/>
        <v>1.08</v>
      </c>
      <c r="H34" s="516">
        <v>0.05</v>
      </c>
      <c r="I34" s="516">
        <f t="shared" si="3"/>
        <v>0</v>
      </c>
      <c r="J34" s="517">
        <f t="shared" si="4"/>
        <v>0</v>
      </c>
      <c r="K34" s="518">
        <f t="shared" si="5"/>
        <v>0</v>
      </c>
      <c r="L34" s="516">
        <f t="shared" si="6"/>
        <v>0</v>
      </c>
      <c r="M34" s="517">
        <f t="shared" si="7"/>
        <v>0</v>
      </c>
      <c r="N34" s="516">
        <f t="shared" si="8"/>
        <v>0</v>
      </c>
      <c r="O34" s="516">
        <f t="shared" si="9"/>
        <v>0</v>
      </c>
      <c r="P34" s="516">
        <f t="shared" si="10"/>
        <v>0</v>
      </c>
      <c r="Q34" s="516">
        <v>0</v>
      </c>
      <c r="R34" s="650">
        <f t="shared" si="11"/>
        <v>0</v>
      </c>
      <c r="S34" s="519"/>
      <c r="T34" s="520">
        <f>'ORÇAMENTO GERAL'!$J$35</f>
        <v>211.02</v>
      </c>
      <c r="U34" s="520">
        <f>'ORÇAMENTO GERAL'!$J$36</f>
        <v>14.63</v>
      </c>
      <c r="V34" s="520">
        <f>'ORÇAMENTO GERAL'!$J$37</f>
        <v>8.06</v>
      </c>
      <c r="W34" s="520">
        <f>'ORÇAMENTO GERAL'!$J$38</f>
        <v>3.54</v>
      </c>
      <c r="X34" s="520">
        <f>'ORÇAMENTO GERAL'!$J$39</f>
        <v>7.09</v>
      </c>
      <c r="Y34" s="520">
        <f>'ORÇAMENTO GERAL'!$J$40</f>
        <v>48.92</v>
      </c>
      <c r="Z34" s="520">
        <f>'ORÇAMENTO GERAL'!$J$41</f>
        <v>169.7</v>
      </c>
      <c r="AA34" s="520">
        <f>'ORÇAMENTO GERAL'!$J$42</f>
        <v>22.71</v>
      </c>
      <c r="AB34" s="520">
        <f>'ORÇAMENTO GERAL'!$J$43</f>
        <v>46.13</v>
      </c>
      <c r="AC34" s="520">
        <f>'ORÇAMENTO GERAL'!$J$44</f>
        <v>77.84</v>
      </c>
      <c r="AD34" s="520">
        <f t="shared" si="12"/>
        <v>0</v>
      </c>
    </row>
    <row r="35" spans="1:30" s="501" customFormat="1" ht="45" customHeight="1" hidden="1">
      <c r="A35" s="512">
        <v>16</v>
      </c>
      <c r="B35" s="513">
        <f>DADOS!B24</f>
        <v>0</v>
      </c>
      <c r="C35" s="521"/>
      <c r="D35" s="522">
        <v>5</v>
      </c>
      <c r="E35" s="521">
        <f t="shared" si="0"/>
        <v>0</v>
      </c>
      <c r="F35" s="516">
        <f t="shared" si="1"/>
        <v>0.98</v>
      </c>
      <c r="G35" s="516">
        <f t="shared" si="2"/>
        <v>1.08</v>
      </c>
      <c r="H35" s="516">
        <v>0.05</v>
      </c>
      <c r="I35" s="516">
        <f t="shared" si="3"/>
        <v>0</v>
      </c>
      <c r="J35" s="517">
        <f t="shared" si="4"/>
        <v>0</v>
      </c>
      <c r="K35" s="518">
        <f t="shared" si="5"/>
        <v>0</v>
      </c>
      <c r="L35" s="516">
        <f t="shared" si="6"/>
        <v>0</v>
      </c>
      <c r="M35" s="517">
        <f t="shared" si="7"/>
        <v>0</v>
      </c>
      <c r="N35" s="516">
        <f t="shared" si="8"/>
        <v>0</v>
      </c>
      <c r="O35" s="516">
        <f t="shared" si="9"/>
        <v>0</v>
      </c>
      <c r="P35" s="516">
        <f t="shared" si="10"/>
        <v>0</v>
      </c>
      <c r="Q35" s="516">
        <v>0</v>
      </c>
      <c r="R35" s="650">
        <f t="shared" si="11"/>
        <v>0</v>
      </c>
      <c r="S35" s="519"/>
      <c r="T35" s="520">
        <f>'ORÇAMENTO GERAL'!$J$35</f>
        <v>211.02</v>
      </c>
      <c r="U35" s="520">
        <f>'ORÇAMENTO GERAL'!$J$36</f>
        <v>14.63</v>
      </c>
      <c r="V35" s="520">
        <f>'ORÇAMENTO GERAL'!$J$37</f>
        <v>8.06</v>
      </c>
      <c r="W35" s="520">
        <f>'ORÇAMENTO GERAL'!$J$38</f>
        <v>3.54</v>
      </c>
      <c r="X35" s="520">
        <f>'ORÇAMENTO GERAL'!$J$39</f>
        <v>7.09</v>
      </c>
      <c r="Y35" s="520">
        <f>'ORÇAMENTO GERAL'!$J$40</f>
        <v>48.92</v>
      </c>
      <c r="Z35" s="520">
        <f>'ORÇAMENTO GERAL'!$J$41</f>
        <v>169.7</v>
      </c>
      <c r="AA35" s="520">
        <f>'ORÇAMENTO GERAL'!$J$42</f>
        <v>22.71</v>
      </c>
      <c r="AB35" s="520">
        <f>'ORÇAMENTO GERAL'!$J$43</f>
        <v>46.13</v>
      </c>
      <c r="AC35" s="520">
        <f>'ORÇAMENTO GERAL'!$J$44</f>
        <v>77.84</v>
      </c>
      <c r="AD35" s="520">
        <f t="shared" si="12"/>
        <v>0</v>
      </c>
    </row>
    <row r="36" spans="1:30" s="501" customFormat="1" ht="45" customHeight="1" hidden="1">
      <c r="A36" s="512">
        <v>17</v>
      </c>
      <c r="B36" s="513">
        <f>DADOS!B25</f>
        <v>0</v>
      </c>
      <c r="C36" s="521"/>
      <c r="D36" s="522">
        <v>5</v>
      </c>
      <c r="E36" s="521">
        <f t="shared" si="0"/>
        <v>0</v>
      </c>
      <c r="F36" s="516">
        <f t="shared" si="1"/>
        <v>0.98</v>
      </c>
      <c r="G36" s="516">
        <f t="shared" si="2"/>
        <v>1.08</v>
      </c>
      <c r="H36" s="516">
        <v>0.05</v>
      </c>
      <c r="I36" s="516">
        <f t="shared" si="3"/>
        <v>0</v>
      </c>
      <c r="J36" s="517">
        <f t="shared" si="4"/>
        <v>0</v>
      </c>
      <c r="K36" s="518">
        <f t="shared" si="5"/>
        <v>0</v>
      </c>
      <c r="L36" s="516">
        <f t="shared" si="6"/>
        <v>0</v>
      </c>
      <c r="M36" s="517">
        <f t="shared" si="7"/>
        <v>0</v>
      </c>
      <c r="N36" s="516">
        <f t="shared" si="8"/>
        <v>0</v>
      </c>
      <c r="O36" s="516">
        <f t="shared" si="9"/>
        <v>0</v>
      </c>
      <c r="P36" s="516">
        <f t="shared" si="10"/>
        <v>0</v>
      </c>
      <c r="Q36" s="516">
        <v>0</v>
      </c>
      <c r="R36" s="650">
        <f t="shared" si="11"/>
        <v>0</v>
      </c>
      <c r="S36" s="519"/>
      <c r="T36" s="520">
        <f>'ORÇAMENTO GERAL'!$J$35</f>
        <v>211.02</v>
      </c>
      <c r="U36" s="520">
        <f>'ORÇAMENTO GERAL'!$J$36</f>
        <v>14.63</v>
      </c>
      <c r="V36" s="520">
        <f>'ORÇAMENTO GERAL'!$J$37</f>
        <v>8.06</v>
      </c>
      <c r="W36" s="520">
        <f>'ORÇAMENTO GERAL'!$J$38</f>
        <v>3.54</v>
      </c>
      <c r="X36" s="520">
        <f>'ORÇAMENTO GERAL'!$J$39</f>
        <v>7.09</v>
      </c>
      <c r="Y36" s="520">
        <f>'ORÇAMENTO GERAL'!$J$40</f>
        <v>48.92</v>
      </c>
      <c r="Z36" s="520">
        <f>'ORÇAMENTO GERAL'!$J$41</f>
        <v>169.7</v>
      </c>
      <c r="AA36" s="520">
        <f>'ORÇAMENTO GERAL'!$J$42</f>
        <v>22.71</v>
      </c>
      <c r="AB36" s="520">
        <f>'ORÇAMENTO GERAL'!$J$43</f>
        <v>46.13</v>
      </c>
      <c r="AC36" s="520">
        <f>'ORÇAMENTO GERAL'!$J$44</f>
        <v>77.84</v>
      </c>
      <c r="AD36" s="520">
        <f t="shared" si="12"/>
        <v>0</v>
      </c>
    </row>
    <row r="37" spans="1:30" s="501" customFormat="1" ht="45" customHeight="1" hidden="1">
      <c r="A37" s="512">
        <v>18</v>
      </c>
      <c r="B37" s="513">
        <f>DADOS!B26</f>
        <v>0</v>
      </c>
      <c r="C37" s="521"/>
      <c r="D37" s="522">
        <v>5</v>
      </c>
      <c r="E37" s="521">
        <f t="shared" si="0"/>
        <v>0</v>
      </c>
      <c r="F37" s="516">
        <f t="shared" si="1"/>
        <v>0.98</v>
      </c>
      <c r="G37" s="516">
        <f t="shared" si="2"/>
        <v>1.08</v>
      </c>
      <c r="H37" s="516">
        <v>0.05</v>
      </c>
      <c r="I37" s="516">
        <f t="shared" si="3"/>
        <v>0</v>
      </c>
      <c r="J37" s="517">
        <f t="shared" si="4"/>
        <v>0</v>
      </c>
      <c r="K37" s="518">
        <f t="shared" si="5"/>
        <v>0</v>
      </c>
      <c r="L37" s="516">
        <f t="shared" si="6"/>
        <v>0</v>
      </c>
      <c r="M37" s="517">
        <f t="shared" si="7"/>
        <v>0</v>
      </c>
      <c r="N37" s="516">
        <f t="shared" si="8"/>
        <v>0</v>
      </c>
      <c r="O37" s="516">
        <f t="shared" si="9"/>
        <v>0</v>
      </c>
      <c r="P37" s="516">
        <f t="shared" si="10"/>
        <v>0</v>
      </c>
      <c r="Q37" s="516">
        <v>0</v>
      </c>
      <c r="R37" s="650">
        <f t="shared" si="11"/>
        <v>0</v>
      </c>
      <c r="S37" s="519"/>
      <c r="T37" s="520">
        <f>'ORÇAMENTO GERAL'!$J$35</f>
        <v>211.02</v>
      </c>
      <c r="U37" s="520">
        <f>'ORÇAMENTO GERAL'!$J$36</f>
        <v>14.63</v>
      </c>
      <c r="V37" s="520">
        <f>'ORÇAMENTO GERAL'!$J$37</f>
        <v>8.06</v>
      </c>
      <c r="W37" s="520">
        <f>'ORÇAMENTO GERAL'!$J$38</f>
        <v>3.54</v>
      </c>
      <c r="X37" s="520">
        <f>'ORÇAMENTO GERAL'!$J$39</f>
        <v>7.09</v>
      </c>
      <c r="Y37" s="520">
        <f>'ORÇAMENTO GERAL'!$J$40</f>
        <v>48.92</v>
      </c>
      <c r="Z37" s="520">
        <f>'ORÇAMENTO GERAL'!$J$41</f>
        <v>169.7</v>
      </c>
      <c r="AA37" s="520">
        <f>'ORÇAMENTO GERAL'!$J$42</f>
        <v>22.71</v>
      </c>
      <c r="AB37" s="520">
        <f>'ORÇAMENTO GERAL'!$J$43</f>
        <v>46.13</v>
      </c>
      <c r="AC37" s="520">
        <f>'ORÇAMENTO GERAL'!$J$44</f>
        <v>77.84</v>
      </c>
      <c r="AD37" s="520">
        <f t="shared" si="12"/>
        <v>0</v>
      </c>
    </row>
    <row r="38" spans="1:30" s="501" customFormat="1" ht="45" customHeight="1" hidden="1">
      <c r="A38" s="512">
        <v>19</v>
      </c>
      <c r="B38" s="513">
        <f>DADOS!B27</f>
        <v>0</v>
      </c>
      <c r="C38" s="521"/>
      <c r="D38" s="522">
        <v>5</v>
      </c>
      <c r="E38" s="521">
        <f t="shared" si="0"/>
        <v>0</v>
      </c>
      <c r="F38" s="516">
        <f t="shared" si="1"/>
        <v>0.98</v>
      </c>
      <c r="G38" s="516">
        <f t="shared" si="2"/>
        <v>1.08</v>
      </c>
      <c r="H38" s="516">
        <v>0.05</v>
      </c>
      <c r="I38" s="516">
        <f t="shared" si="3"/>
        <v>0</v>
      </c>
      <c r="J38" s="517">
        <f t="shared" si="4"/>
        <v>0</v>
      </c>
      <c r="K38" s="518">
        <f t="shared" si="5"/>
        <v>0</v>
      </c>
      <c r="L38" s="516">
        <f t="shared" si="6"/>
        <v>0</v>
      </c>
      <c r="M38" s="517">
        <f t="shared" si="7"/>
        <v>0</v>
      </c>
      <c r="N38" s="516">
        <f t="shared" si="8"/>
        <v>0</v>
      </c>
      <c r="O38" s="516">
        <f t="shared" si="9"/>
        <v>0</v>
      </c>
      <c r="P38" s="516">
        <f t="shared" si="10"/>
        <v>0</v>
      </c>
      <c r="Q38" s="516">
        <v>0</v>
      </c>
      <c r="R38" s="650">
        <f t="shared" si="11"/>
        <v>0</v>
      </c>
      <c r="S38" s="519"/>
      <c r="T38" s="520">
        <f>'ORÇAMENTO GERAL'!$J$35</f>
        <v>211.02</v>
      </c>
      <c r="U38" s="520">
        <f>'ORÇAMENTO GERAL'!$J$36</f>
        <v>14.63</v>
      </c>
      <c r="V38" s="520">
        <f>'ORÇAMENTO GERAL'!$J$37</f>
        <v>8.06</v>
      </c>
      <c r="W38" s="520">
        <f>'ORÇAMENTO GERAL'!$J$38</f>
        <v>3.54</v>
      </c>
      <c r="X38" s="520">
        <f>'ORÇAMENTO GERAL'!$J$39</f>
        <v>7.09</v>
      </c>
      <c r="Y38" s="520">
        <f>'ORÇAMENTO GERAL'!$J$40</f>
        <v>48.92</v>
      </c>
      <c r="Z38" s="520">
        <f>'ORÇAMENTO GERAL'!$J$41</f>
        <v>169.7</v>
      </c>
      <c r="AA38" s="520">
        <f>'ORÇAMENTO GERAL'!$J$42</f>
        <v>22.71</v>
      </c>
      <c r="AB38" s="520">
        <f>'ORÇAMENTO GERAL'!$J$43</f>
        <v>46.13</v>
      </c>
      <c r="AC38" s="520">
        <f>'ORÇAMENTO GERAL'!$J$44</f>
        <v>77.84</v>
      </c>
      <c r="AD38" s="520">
        <f t="shared" si="12"/>
        <v>0</v>
      </c>
    </row>
    <row r="39" spans="1:30" s="501" customFormat="1" ht="45" customHeight="1" hidden="1" thickBot="1">
      <c r="A39" s="512">
        <v>20</v>
      </c>
      <c r="B39" s="513">
        <f>DADOS!B28</f>
        <v>0</v>
      </c>
      <c r="C39" s="521"/>
      <c r="D39" s="522">
        <v>5</v>
      </c>
      <c r="E39" s="521">
        <f t="shared" si="0"/>
        <v>0</v>
      </c>
      <c r="F39" s="516">
        <f t="shared" si="1"/>
        <v>0.98</v>
      </c>
      <c r="G39" s="516">
        <f t="shared" si="2"/>
        <v>1.08</v>
      </c>
      <c r="H39" s="516">
        <v>0.05</v>
      </c>
      <c r="I39" s="516">
        <f t="shared" si="3"/>
        <v>0</v>
      </c>
      <c r="J39" s="517">
        <f t="shared" si="4"/>
        <v>0</v>
      </c>
      <c r="K39" s="518">
        <f t="shared" si="5"/>
        <v>0</v>
      </c>
      <c r="L39" s="516">
        <f t="shared" si="6"/>
        <v>0</v>
      </c>
      <c r="M39" s="517">
        <f t="shared" si="7"/>
        <v>0</v>
      </c>
      <c r="N39" s="516">
        <f t="shared" si="8"/>
        <v>0</v>
      </c>
      <c r="O39" s="516">
        <f t="shared" si="9"/>
        <v>0</v>
      </c>
      <c r="P39" s="516">
        <f t="shared" si="10"/>
        <v>0</v>
      </c>
      <c r="Q39" s="516">
        <v>0</v>
      </c>
      <c r="R39" s="650">
        <f t="shared" si="11"/>
        <v>0</v>
      </c>
      <c r="S39" s="519"/>
      <c r="T39" s="520">
        <f>'ORÇAMENTO GERAL'!$J$35</f>
        <v>211.02</v>
      </c>
      <c r="U39" s="520">
        <f>'ORÇAMENTO GERAL'!$J$36</f>
        <v>14.63</v>
      </c>
      <c r="V39" s="520">
        <f>'ORÇAMENTO GERAL'!$J$37</f>
        <v>8.06</v>
      </c>
      <c r="W39" s="520">
        <f>'ORÇAMENTO GERAL'!$J$38</f>
        <v>3.54</v>
      </c>
      <c r="X39" s="520">
        <f>'ORÇAMENTO GERAL'!$J$39</f>
        <v>7.09</v>
      </c>
      <c r="Y39" s="520">
        <f>'ORÇAMENTO GERAL'!$J$40</f>
        <v>48.92</v>
      </c>
      <c r="Z39" s="520">
        <f>'ORÇAMENTO GERAL'!$J$41</f>
        <v>169.7</v>
      </c>
      <c r="AA39" s="520">
        <f>'ORÇAMENTO GERAL'!$J$42</f>
        <v>22.71</v>
      </c>
      <c r="AB39" s="520">
        <f>'ORÇAMENTO GERAL'!$J$43</f>
        <v>46.13</v>
      </c>
      <c r="AC39" s="520">
        <f>'ORÇAMENTO GERAL'!$J$44</f>
        <v>77.84</v>
      </c>
      <c r="AD39" s="520">
        <f t="shared" si="12"/>
        <v>0</v>
      </c>
    </row>
    <row r="40" spans="1:19" s="501" customFormat="1" ht="79.5" customHeight="1" thickBot="1">
      <c r="A40" s="854" t="s">
        <v>24</v>
      </c>
      <c r="B40" s="855"/>
      <c r="C40" s="523"/>
      <c r="D40" s="523"/>
      <c r="E40" s="523">
        <f>SUM(E20:E39)</f>
        <v>170</v>
      </c>
      <c r="F40" s="523"/>
      <c r="G40" s="523"/>
      <c r="H40" s="523"/>
      <c r="I40" s="523">
        <f>SUM(I20:I39)</f>
        <v>189.12</v>
      </c>
      <c r="J40" s="523">
        <f aca="true" t="shared" si="13" ref="J40:R40">SUM(J20:J39)</f>
        <v>21.34</v>
      </c>
      <c r="K40" s="523">
        <f t="shared" si="13"/>
        <v>266.75</v>
      </c>
      <c r="L40" s="523">
        <f t="shared" si="13"/>
        <v>166.6</v>
      </c>
      <c r="M40" s="523">
        <f t="shared" si="13"/>
        <v>166.6</v>
      </c>
      <c r="N40" s="523">
        <f t="shared" si="13"/>
        <v>21.34</v>
      </c>
      <c r="O40" s="523">
        <f t="shared" si="13"/>
        <v>117.46</v>
      </c>
      <c r="P40" s="523">
        <f t="shared" si="13"/>
        <v>50.33</v>
      </c>
      <c r="Q40" s="523">
        <f t="shared" si="13"/>
        <v>0</v>
      </c>
      <c r="R40" s="523">
        <f t="shared" si="13"/>
        <v>170</v>
      </c>
      <c r="S40" s="524"/>
    </row>
    <row r="41" spans="1:19" s="528" customFormat="1" ht="45" customHeight="1" thickBot="1">
      <c r="A41" s="651"/>
      <c r="B41" s="526"/>
      <c r="C41" s="526"/>
      <c r="D41" s="526"/>
      <c r="E41" s="526"/>
      <c r="F41" s="527"/>
      <c r="G41" s="526"/>
      <c r="H41" s="526"/>
      <c r="I41" s="526"/>
      <c r="J41" s="526"/>
      <c r="K41" s="652"/>
      <c r="L41" s="526"/>
      <c r="M41" s="526"/>
      <c r="N41" s="526"/>
      <c r="O41" s="526"/>
      <c r="P41" s="526"/>
      <c r="Q41" s="526"/>
      <c r="R41" s="653"/>
      <c r="S41" s="501"/>
    </row>
    <row r="42" spans="1:19" s="501" customFormat="1" ht="45" customHeight="1" thickBot="1">
      <c r="A42" s="869" t="s">
        <v>371</v>
      </c>
      <c r="B42" s="870"/>
      <c r="C42" s="870"/>
      <c r="D42" s="870"/>
      <c r="E42" s="870"/>
      <c r="F42" s="870"/>
      <c r="G42" s="870"/>
      <c r="H42" s="870"/>
      <c r="I42" s="870"/>
      <c r="J42" s="870"/>
      <c r="K42" s="870"/>
      <c r="L42" s="870"/>
      <c r="M42" s="870"/>
      <c r="N42" s="870"/>
      <c r="O42" s="870"/>
      <c r="P42" s="870"/>
      <c r="Q42" s="870"/>
      <c r="R42" s="871"/>
      <c r="S42" s="500"/>
    </row>
    <row r="43" spans="1:19" s="501" customFormat="1" ht="45" customHeight="1">
      <c r="A43" s="872" t="s">
        <v>7</v>
      </c>
      <c r="B43" s="875" t="s">
        <v>374</v>
      </c>
      <c r="C43" s="878" t="s">
        <v>379</v>
      </c>
      <c r="D43" s="878"/>
      <c r="E43" s="878"/>
      <c r="F43" s="867" t="s">
        <v>541</v>
      </c>
      <c r="G43" s="867"/>
      <c r="H43" s="867"/>
      <c r="I43" s="867"/>
      <c r="J43" s="867" t="s">
        <v>542</v>
      </c>
      <c r="K43" s="861" t="s">
        <v>545</v>
      </c>
      <c r="L43" s="867" t="s">
        <v>365</v>
      </c>
      <c r="M43" s="867" t="s">
        <v>368</v>
      </c>
      <c r="N43" s="865" t="s">
        <v>366</v>
      </c>
      <c r="O43" s="865" t="s">
        <v>543</v>
      </c>
      <c r="P43" s="865" t="s">
        <v>633</v>
      </c>
      <c r="Q43" s="865" t="s">
        <v>544</v>
      </c>
      <c r="R43" s="859" t="s">
        <v>369</v>
      </c>
      <c r="S43" s="500"/>
    </row>
    <row r="44" spans="1:19" s="501" customFormat="1" ht="45" customHeight="1">
      <c r="A44" s="873"/>
      <c r="B44" s="876"/>
      <c r="C44" s="879"/>
      <c r="D44" s="879"/>
      <c r="E44" s="879"/>
      <c r="F44" s="868"/>
      <c r="G44" s="868"/>
      <c r="H44" s="868"/>
      <c r="I44" s="868"/>
      <c r="J44" s="868"/>
      <c r="K44" s="862"/>
      <c r="L44" s="868"/>
      <c r="M44" s="868"/>
      <c r="N44" s="880"/>
      <c r="O44" s="866"/>
      <c r="P44" s="866"/>
      <c r="Q44" s="880"/>
      <c r="R44" s="860"/>
      <c r="S44" s="500"/>
    </row>
    <row r="45" spans="1:19" s="501" customFormat="1" ht="61.5">
      <c r="A45" s="873"/>
      <c r="B45" s="876"/>
      <c r="C45" s="504" t="s">
        <v>154</v>
      </c>
      <c r="D45" s="505" t="s">
        <v>581</v>
      </c>
      <c r="E45" s="504" t="s">
        <v>363</v>
      </c>
      <c r="F45" s="504" t="s">
        <v>357</v>
      </c>
      <c r="G45" s="504" t="s">
        <v>362</v>
      </c>
      <c r="H45" s="504" t="s">
        <v>364</v>
      </c>
      <c r="I45" s="504" t="s">
        <v>24</v>
      </c>
      <c r="J45" s="868"/>
      <c r="K45" s="862"/>
      <c r="L45" s="868"/>
      <c r="M45" s="868"/>
      <c r="N45" s="866"/>
      <c r="O45" s="504" t="s">
        <v>24</v>
      </c>
      <c r="P45" s="504" t="s">
        <v>24</v>
      </c>
      <c r="Q45" s="866"/>
      <c r="R45" s="860"/>
      <c r="S45" s="500"/>
    </row>
    <row r="46" spans="1:30" s="501" customFormat="1" ht="45" customHeight="1">
      <c r="A46" s="873"/>
      <c r="B46" s="876"/>
      <c r="C46" s="615"/>
      <c r="D46" s="615"/>
      <c r="E46" s="615" t="s">
        <v>55</v>
      </c>
      <c r="F46" s="615" t="s">
        <v>58</v>
      </c>
      <c r="G46" s="615" t="s">
        <v>16</v>
      </c>
      <c r="H46" s="615" t="s">
        <v>8</v>
      </c>
      <c r="I46" s="615" t="s">
        <v>367</v>
      </c>
      <c r="J46" s="615" t="s">
        <v>609</v>
      </c>
      <c r="K46" s="616" t="s">
        <v>546</v>
      </c>
      <c r="L46" s="615" t="s">
        <v>547</v>
      </c>
      <c r="M46" s="615" t="s">
        <v>548</v>
      </c>
      <c r="N46" s="615" t="s">
        <v>549</v>
      </c>
      <c r="O46" s="615" t="s">
        <v>636</v>
      </c>
      <c r="P46" s="615" t="s">
        <v>637</v>
      </c>
      <c r="Q46" s="615" t="s">
        <v>634</v>
      </c>
      <c r="R46" s="648" t="s">
        <v>635</v>
      </c>
      <c r="S46" s="500"/>
      <c r="T46" s="893" t="s">
        <v>562</v>
      </c>
      <c r="U46" s="894"/>
      <c r="V46" s="894"/>
      <c r="W46" s="894"/>
      <c r="X46" s="894"/>
      <c r="Y46" s="894"/>
      <c r="Z46" s="894"/>
      <c r="AA46" s="894"/>
      <c r="AB46" s="894"/>
      <c r="AC46" s="894"/>
      <c r="AD46" s="895"/>
    </row>
    <row r="47" spans="1:30" s="501" customFormat="1" ht="45" customHeight="1" thickBot="1">
      <c r="A47" s="874"/>
      <c r="B47" s="877"/>
      <c r="C47" s="507" t="s">
        <v>361</v>
      </c>
      <c r="D47" s="507" t="s">
        <v>358</v>
      </c>
      <c r="E47" s="507" t="s">
        <v>358</v>
      </c>
      <c r="F47" s="507" t="s">
        <v>610</v>
      </c>
      <c r="G47" s="507" t="s">
        <v>611</v>
      </c>
      <c r="H47" s="507"/>
      <c r="I47" s="507"/>
      <c r="J47" s="507"/>
      <c r="K47" s="508">
        <v>10</v>
      </c>
      <c r="L47" s="507"/>
      <c r="M47" s="507"/>
      <c r="N47" s="507"/>
      <c r="O47" s="507"/>
      <c r="P47" s="509"/>
      <c r="Q47" s="509" t="s">
        <v>631</v>
      </c>
      <c r="R47" s="649"/>
      <c r="S47" s="510"/>
      <c r="T47" s="505" t="s">
        <v>557</v>
      </c>
      <c r="U47" s="505" t="s">
        <v>558</v>
      </c>
      <c r="V47" s="505" t="s">
        <v>559</v>
      </c>
      <c r="W47" s="505" t="s">
        <v>560</v>
      </c>
      <c r="X47" s="505" t="s">
        <v>561</v>
      </c>
      <c r="Y47" s="505" t="s">
        <v>375</v>
      </c>
      <c r="Z47" s="504" t="s">
        <v>543</v>
      </c>
      <c r="AA47" s="504" t="s">
        <v>633</v>
      </c>
      <c r="AB47" s="504" t="s">
        <v>544</v>
      </c>
      <c r="AC47" s="504" t="s">
        <v>369</v>
      </c>
      <c r="AD47" s="511" t="s">
        <v>24</v>
      </c>
    </row>
    <row r="48" spans="1:30" s="501" customFormat="1" ht="79.5" customHeight="1">
      <c r="A48" s="512">
        <v>1</v>
      </c>
      <c r="B48" s="513" t="str">
        <f>B20</f>
        <v>PASS. NS. DO CARMO</v>
      </c>
      <c r="C48" s="514">
        <v>1</v>
      </c>
      <c r="D48" s="515">
        <f>75+75+61+20</f>
        <v>231</v>
      </c>
      <c r="E48" s="514">
        <f>C48*D48</f>
        <v>231</v>
      </c>
      <c r="F48" s="516">
        <f>0.72+0.5</f>
        <v>1.22</v>
      </c>
      <c r="G48" s="516">
        <f>0.72+0.6</f>
        <v>1.32</v>
      </c>
      <c r="H48" s="516">
        <v>0.05</v>
      </c>
      <c r="I48" s="516">
        <f>(E48*F48*G48)+(E48*G48*H48)</f>
        <v>387.25</v>
      </c>
      <c r="J48" s="517">
        <f>N48</f>
        <v>65.28</v>
      </c>
      <c r="K48" s="518">
        <f>J48*1.25*$K$19</f>
        <v>816</v>
      </c>
      <c r="L48" s="516">
        <f>E48*F48</f>
        <v>281.82</v>
      </c>
      <c r="M48" s="517">
        <f>L48</f>
        <v>281.82</v>
      </c>
      <c r="N48" s="516">
        <f>(3.14*0.3^2)*E48</f>
        <v>65.28</v>
      </c>
      <c r="O48" s="516">
        <f>(I48-N48)*70%</f>
        <v>225.38</v>
      </c>
      <c r="P48" s="516">
        <f>(I48-N48)*30%</f>
        <v>96.59</v>
      </c>
      <c r="Q48" s="516">
        <v>0</v>
      </c>
      <c r="R48" s="650">
        <f>E48</f>
        <v>231</v>
      </c>
      <c r="S48" s="519"/>
      <c r="T48" s="529">
        <f>'ORÇAMENTO GERAL'!$J$45</f>
        <v>350.11</v>
      </c>
      <c r="U48" s="529">
        <f>'ORÇAMENTO GERAL'!$J$46</f>
        <v>14.63</v>
      </c>
      <c r="V48" s="529">
        <f>'ORÇAMENTO GERAL'!$J$47</f>
        <v>8.06</v>
      </c>
      <c r="W48" s="529">
        <f>'ORÇAMENTO GERAL'!$J$48</f>
        <v>3.54</v>
      </c>
      <c r="X48" s="529">
        <f>'ORÇAMENTO GERAL'!$J$49</f>
        <v>7.09</v>
      </c>
      <c r="Y48" s="529">
        <f>'ORÇAMENTO GERAL'!$J$50</f>
        <v>48.92</v>
      </c>
      <c r="Z48" s="529">
        <f>'ORÇAMENTO GERAL'!$J$51</f>
        <v>169.7</v>
      </c>
      <c r="AA48" s="529">
        <f>'ORÇAMENTO GERAL'!$J$52</f>
        <v>22.71</v>
      </c>
      <c r="AB48" s="529">
        <f>'ORÇAMENTO GERAL'!$J$53</f>
        <v>46.13</v>
      </c>
      <c r="AC48" s="529">
        <f>'ORÇAMENTO GERAL'!$J$54</f>
        <v>113.31</v>
      </c>
      <c r="AD48" s="520">
        <f>(E48*T48)+(I48*U48)+(J48*V48)+(K48*W48)+(L48*X48)+(M48*Y48)+(O48*Z48)+(P48*AA48)+(Q48*AB48)+(R48*AC48)</f>
        <v>172355.57</v>
      </c>
    </row>
    <row r="49" spans="1:30" s="501" customFormat="1" ht="79.5" customHeight="1">
      <c r="A49" s="512">
        <v>2</v>
      </c>
      <c r="B49" s="513" t="str">
        <f aca="true" t="shared" si="14" ref="B49:B67">B21</f>
        <v>PASS. KENEDY</v>
      </c>
      <c r="C49" s="521">
        <v>1</v>
      </c>
      <c r="D49" s="517">
        <f>75+75</f>
        <v>150</v>
      </c>
      <c r="E49" s="516">
        <f>C49*D49</f>
        <v>150</v>
      </c>
      <c r="F49" s="516">
        <f aca="true" t="shared" si="15" ref="F49:F67">0.72+0.5</f>
        <v>1.22</v>
      </c>
      <c r="G49" s="516">
        <f aca="true" t="shared" si="16" ref="G49:G67">0.72+0.6</f>
        <v>1.32</v>
      </c>
      <c r="H49" s="516">
        <v>0.05</v>
      </c>
      <c r="I49" s="516">
        <f>(E49*F49*G49)+(E49*G49*H49)</f>
        <v>251.46</v>
      </c>
      <c r="J49" s="517">
        <f aca="true" t="shared" si="17" ref="J49:J67">N49</f>
        <v>42.39</v>
      </c>
      <c r="K49" s="518">
        <f aca="true" t="shared" si="18" ref="K49:K67">J49*1.25*$K$19</f>
        <v>529.88</v>
      </c>
      <c r="L49" s="516">
        <f aca="true" t="shared" si="19" ref="L49:L67">E49*F49</f>
        <v>183</v>
      </c>
      <c r="M49" s="517">
        <f aca="true" t="shared" si="20" ref="M49:M67">L49</f>
        <v>183</v>
      </c>
      <c r="N49" s="516">
        <f aca="true" t="shared" si="21" ref="N49:N67">(3.14*0.3^2)*E49</f>
        <v>42.39</v>
      </c>
      <c r="O49" s="516">
        <f aca="true" t="shared" si="22" ref="O49:O67">(I49-N49)*70%</f>
        <v>146.35</v>
      </c>
      <c r="P49" s="516">
        <f aca="true" t="shared" si="23" ref="P49:P67">(I49-N49)*30%</f>
        <v>62.72</v>
      </c>
      <c r="Q49" s="516">
        <v>0</v>
      </c>
      <c r="R49" s="650">
        <f aca="true" t="shared" si="24" ref="R49:R67">E49</f>
        <v>150</v>
      </c>
      <c r="S49" s="519"/>
      <c r="T49" s="529">
        <f>'ORÇAMENTO GERAL'!$J$45</f>
        <v>350.11</v>
      </c>
      <c r="U49" s="529">
        <f>'ORÇAMENTO GERAL'!$J$46</f>
        <v>14.63</v>
      </c>
      <c r="V49" s="529">
        <f>'ORÇAMENTO GERAL'!$J$47</f>
        <v>8.06</v>
      </c>
      <c r="W49" s="529">
        <f>'ORÇAMENTO GERAL'!$J$48</f>
        <v>3.54</v>
      </c>
      <c r="X49" s="529">
        <f>'ORÇAMENTO GERAL'!$J$49</f>
        <v>7.09</v>
      </c>
      <c r="Y49" s="529">
        <f>'ORÇAMENTO GERAL'!$J$50</f>
        <v>48.92</v>
      </c>
      <c r="Z49" s="529">
        <f>'ORÇAMENTO GERAL'!$J$51</f>
        <v>169.7</v>
      </c>
      <c r="AA49" s="529">
        <f>'ORÇAMENTO GERAL'!$J$52</f>
        <v>22.71</v>
      </c>
      <c r="AB49" s="529">
        <f>'ORÇAMENTO GERAL'!$J$53</f>
        <v>46.13</v>
      </c>
      <c r="AC49" s="529">
        <f>'ORÇAMENTO GERAL'!$J$54</f>
        <v>113.31</v>
      </c>
      <c r="AD49" s="520">
        <f aca="true" t="shared" si="25" ref="AD49:AD67">(E49*T49)+(I49*U49)+(J49*V49)+(K49*W49)+(L49*X49)+(M49*Y49)+(O49*Z49)+(P49*AA49)+(Q49*AB49)+(R49*AC49)</f>
        <v>111919.09</v>
      </c>
    </row>
    <row r="50" spans="1:30" s="501" customFormat="1" ht="79.5" customHeight="1">
      <c r="A50" s="512">
        <v>3</v>
      </c>
      <c r="B50" s="513" t="str">
        <f t="shared" si="14"/>
        <v>PASS. UBIRATAN MACIEL</v>
      </c>
      <c r="C50" s="521">
        <v>1</v>
      </c>
      <c r="D50" s="517">
        <f>75+75</f>
        <v>150</v>
      </c>
      <c r="E50" s="516">
        <f aca="true" t="shared" si="26" ref="E50:E67">C50*D50</f>
        <v>150</v>
      </c>
      <c r="F50" s="516">
        <f t="shared" si="15"/>
        <v>1.22</v>
      </c>
      <c r="G50" s="516">
        <f t="shared" si="16"/>
        <v>1.32</v>
      </c>
      <c r="H50" s="516">
        <v>0.05</v>
      </c>
      <c r="I50" s="516">
        <f aca="true" t="shared" si="27" ref="I50:I67">(E50*F50*G50)+(E50*G50*H50)</f>
        <v>251.46</v>
      </c>
      <c r="J50" s="517">
        <f t="shared" si="17"/>
        <v>42.39</v>
      </c>
      <c r="K50" s="518">
        <f t="shared" si="18"/>
        <v>529.88</v>
      </c>
      <c r="L50" s="516">
        <f t="shared" si="19"/>
        <v>183</v>
      </c>
      <c r="M50" s="517">
        <f t="shared" si="20"/>
        <v>183</v>
      </c>
      <c r="N50" s="516">
        <f t="shared" si="21"/>
        <v>42.39</v>
      </c>
      <c r="O50" s="516">
        <f t="shared" si="22"/>
        <v>146.35</v>
      </c>
      <c r="P50" s="516">
        <f t="shared" si="23"/>
        <v>62.72</v>
      </c>
      <c r="Q50" s="516">
        <v>0</v>
      </c>
      <c r="R50" s="650">
        <f t="shared" si="24"/>
        <v>150</v>
      </c>
      <c r="S50" s="519"/>
      <c r="T50" s="529">
        <f>'ORÇAMENTO GERAL'!$J$45</f>
        <v>350.11</v>
      </c>
      <c r="U50" s="529">
        <f>'ORÇAMENTO GERAL'!$J$46</f>
        <v>14.63</v>
      </c>
      <c r="V50" s="529">
        <f>'ORÇAMENTO GERAL'!$J$47</f>
        <v>8.06</v>
      </c>
      <c r="W50" s="529">
        <f>'ORÇAMENTO GERAL'!$J$48</f>
        <v>3.54</v>
      </c>
      <c r="X50" s="529">
        <f>'ORÇAMENTO GERAL'!$J$49</f>
        <v>7.09</v>
      </c>
      <c r="Y50" s="529">
        <f>'ORÇAMENTO GERAL'!$J$50</f>
        <v>48.92</v>
      </c>
      <c r="Z50" s="529">
        <f>'ORÇAMENTO GERAL'!$J$51</f>
        <v>169.7</v>
      </c>
      <c r="AA50" s="529">
        <f>'ORÇAMENTO GERAL'!$J$52</f>
        <v>22.71</v>
      </c>
      <c r="AB50" s="529">
        <f>'ORÇAMENTO GERAL'!$J$53</f>
        <v>46.13</v>
      </c>
      <c r="AC50" s="529">
        <f>'ORÇAMENTO GERAL'!$J$54</f>
        <v>113.31</v>
      </c>
      <c r="AD50" s="520">
        <f t="shared" si="25"/>
        <v>111919.09</v>
      </c>
    </row>
    <row r="51" spans="1:30" s="501" customFormat="1" ht="79.5" customHeight="1" thickBot="1">
      <c r="A51" s="512">
        <v>4</v>
      </c>
      <c r="B51" s="513" t="str">
        <f t="shared" si="14"/>
        <v>PASS. ALEGRE </v>
      </c>
      <c r="C51" s="521">
        <v>1</v>
      </c>
      <c r="D51" s="517">
        <f>64+53+62+35</f>
        <v>214</v>
      </c>
      <c r="E51" s="516">
        <f t="shared" si="26"/>
        <v>214</v>
      </c>
      <c r="F51" s="516">
        <f t="shared" si="15"/>
        <v>1.22</v>
      </c>
      <c r="G51" s="516">
        <f t="shared" si="16"/>
        <v>1.32</v>
      </c>
      <c r="H51" s="516">
        <v>0.05</v>
      </c>
      <c r="I51" s="516">
        <f t="shared" si="27"/>
        <v>358.75</v>
      </c>
      <c r="J51" s="517">
        <f t="shared" si="17"/>
        <v>60.48</v>
      </c>
      <c r="K51" s="518">
        <f t="shared" si="18"/>
        <v>756</v>
      </c>
      <c r="L51" s="516">
        <f t="shared" si="19"/>
        <v>261.08</v>
      </c>
      <c r="M51" s="517">
        <f t="shared" si="20"/>
        <v>261.08</v>
      </c>
      <c r="N51" s="516">
        <f t="shared" si="21"/>
        <v>60.48</v>
      </c>
      <c r="O51" s="516">
        <f t="shared" si="22"/>
        <v>208.79</v>
      </c>
      <c r="P51" s="516">
        <f t="shared" si="23"/>
        <v>89.48</v>
      </c>
      <c r="Q51" s="516">
        <v>0</v>
      </c>
      <c r="R51" s="650">
        <f t="shared" si="24"/>
        <v>214</v>
      </c>
      <c r="S51" s="519"/>
      <c r="T51" s="529">
        <f>'ORÇAMENTO GERAL'!$J$45</f>
        <v>350.11</v>
      </c>
      <c r="U51" s="529">
        <f>'ORÇAMENTO GERAL'!$J$46</f>
        <v>14.63</v>
      </c>
      <c r="V51" s="529">
        <f>'ORÇAMENTO GERAL'!$J$47</f>
        <v>8.06</v>
      </c>
      <c r="W51" s="529">
        <f>'ORÇAMENTO GERAL'!$J$48</f>
        <v>3.54</v>
      </c>
      <c r="X51" s="529">
        <f>'ORÇAMENTO GERAL'!$J$49</f>
        <v>7.09</v>
      </c>
      <c r="Y51" s="529">
        <f>'ORÇAMENTO GERAL'!$J$50</f>
        <v>48.92</v>
      </c>
      <c r="Z51" s="529">
        <f>'ORÇAMENTO GERAL'!$J$51</f>
        <v>169.7</v>
      </c>
      <c r="AA51" s="529">
        <f>'ORÇAMENTO GERAL'!$J$52</f>
        <v>22.71</v>
      </c>
      <c r="AB51" s="529">
        <f>'ORÇAMENTO GERAL'!$J$53</f>
        <v>46.13</v>
      </c>
      <c r="AC51" s="529">
        <f>'ORÇAMENTO GERAL'!$J$54</f>
        <v>113.31</v>
      </c>
      <c r="AD51" s="520">
        <f t="shared" si="25"/>
        <v>159670.95</v>
      </c>
    </row>
    <row r="52" spans="1:30" s="501" customFormat="1" ht="45" customHeight="1" hidden="1">
      <c r="A52" s="512">
        <v>5</v>
      </c>
      <c r="B52" s="513">
        <f t="shared" si="14"/>
        <v>0</v>
      </c>
      <c r="C52" s="521">
        <v>1</v>
      </c>
      <c r="D52" s="517"/>
      <c r="E52" s="516">
        <f t="shared" si="26"/>
        <v>0</v>
      </c>
      <c r="F52" s="516">
        <f t="shared" si="15"/>
        <v>1.22</v>
      </c>
      <c r="G52" s="516">
        <f t="shared" si="16"/>
        <v>1.32</v>
      </c>
      <c r="H52" s="516">
        <v>0.05</v>
      </c>
      <c r="I52" s="516">
        <f t="shared" si="27"/>
        <v>0</v>
      </c>
      <c r="J52" s="517">
        <f t="shared" si="17"/>
        <v>0</v>
      </c>
      <c r="K52" s="518">
        <f t="shared" si="18"/>
        <v>0</v>
      </c>
      <c r="L52" s="516">
        <f t="shared" si="19"/>
        <v>0</v>
      </c>
      <c r="M52" s="517">
        <f t="shared" si="20"/>
        <v>0</v>
      </c>
      <c r="N52" s="516">
        <f t="shared" si="21"/>
        <v>0</v>
      </c>
      <c r="O52" s="516">
        <f t="shared" si="22"/>
        <v>0</v>
      </c>
      <c r="P52" s="516">
        <f t="shared" si="23"/>
        <v>0</v>
      </c>
      <c r="Q52" s="516">
        <v>0</v>
      </c>
      <c r="R52" s="650">
        <f t="shared" si="24"/>
        <v>0</v>
      </c>
      <c r="S52" s="519"/>
      <c r="T52" s="529">
        <f>'ORÇAMENTO GERAL'!$J$45</f>
        <v>350.11</v>
      </c>
      <c r="U52" s="529">
        <f>'ORÇAMENTO GERAL'!$J$46</f>
        <v>14.63</v>
      </c>
      <c r="V52" s="529">
        <f>'ORÇAMENTO GERAL'!$J$47</f>
        <v>8.06</v>
      </c>
      <c r="W52" s="529">
        <f>'ORÇAMENTO GERAL'!$J$48</f>
        <v>3.54</v>
      </c>
      <c r="X52" s="529">
        <f>'ORÇAMENTO GERAL'!$J$49</f>
        <v>7.09</v>
      </c>
      <c r="Y52" s="529">
        <f>'ORÇAMENTO GERAL'!$J$50</f>
        <v>48.92</v>
      </c>
      <c r="Z52" s="529">
        <f>'ORÇAMENTO GERAL'!$J$51</f>
        <v>169.7</v>
      </c>
      <c r="AA52" s="529">
        <f>'ORÇAMENTO GERAL'!$J$52</f>
        <v>22.71</v>
      </c>
      <c r="AB52" s="529">
        <f>'ORÇAMENTO GERAL'!$J$53</f>
        <v>46.13</v>
      </c>
      <c r="AC52" s="529">
        <f>'ORÇAMENTO GERAL'!$J$54</f>
        <v>113.31</v>
      </c>
      <c r="AD52" s="520">
        <f t="shared" si="25"/>
        <v>0</v>
      </c>
    </row>
    <row r="53" spans="1:30" s="501" customFormat="1" ht="45" customHeight="1" hidden="1">
      <c r="A53" s="512">
        <v>6</v>
      </c>
      <c r="B53" s="513">
        <f t="shared" si="14"/>
        <v>0</v>
      </c>
      <c r="C53" s="521">
        <v>1</v>
      </c>
      <c r="D53" s="517"/>
      <c r="E53" s="516">
        <f t="shared" si="26"/>
        <v>0</v>
      </c>
      <c r="F53" s="516">
        <f t="shared" si="15"/>
        <v>1.22</v>
      </c>
      <c r="G53" s="516">
        <f t="shared" si="16"/>
        <v>1.32</v>
      </c>
      <c r="H53" s="516">
        <v>0.05</v>
      </c>
      <c r="I53" s="516">
        <f t="shared" si="27"/>
        <v>0</v>
      </c>
      <c r="J53" s="517">
        <f t="shared" si="17"/>
        <v>0</v>
      </c>
      <c r="K53" s="518">
        <f t="shared" si="18"/>
        <v>0</v>
      </c>
      <c r="L53" s="516">
        <f t="shared" si="19"/>
        <v>0</v>
      </c>
      <c r="M53" s="517">
        <f t="shared" si="20"/>
        <v>0</v>
      </c>
      <c r="N53" s="516">
        <f t="shared" si="21"/>
        <v>0</v>
      </c>
      <c r="O53" s="516">
        <f t="shared" si="22"/>
        <v>0</v>
      </c>
      <c r="P53" s="516">
        <f t="shared" si="23"/>
        <v>0</v>
      </c>
      <c r="Q53" s="516">
        <v>0</v>
      </c>
      <c r="R53" s="650">
        <f t="shared" si="24"/>
        <v>0</v>
      </c>
      <c r="S53" s="519"/>
      <c r="T53" s="529">
        <f>'ORÇAMENTO GERAL'!$J$45</f>
        <v>350.11</v>
      </c>
      <c r="U53" s="529">
        <f>'ORÇAMENTO GERAL'!$J$46</f>
        <v>14.63</v>
      </c>
      <c r="V53" s="529">
        <f>'ORÇAMENTO GERAL'!$J$47</f>
        <v>8.06</v>
      </c>
      <c r="W53" s="529">
        <f>'ORÇAMENTO GERAL'!$J$48</f>
        <v>3.54</v>
      </c>
      <c r="X53" s="529">
        <f>'ORÇAMENTO GERAL'!$J$49</f>
        <v>7.09</v>
      </c>
      <c r="Y53" s="529">
        <f>'ORÇAMENTO GERAL'!$J$50</f>
        <v>48.92</v>
      </c>
      <c r="Z53" s="529">
        <f>'ORÇAMENTO GERAL'!$J$51</f>
        <v>169.7</v>
      </c>
      <c r="AA53" s="529">
        <f>'ORÇAMENTO GERAL'!$J$52</f>
        <v>22.71</v>
      </c>
      <c r="AB53" s="529">
        <f>'ORÇAMENTO GERAL'!$J$53</f>
        <v>46.13</v>
      </c>
      <c r="AC53" s="529">
        <f>'ORÇAMENTO GERAL'!$J$54</f>
        <v>113.31</v>
      </c>
      <c r="AD53" s="520">
        <f t="shared" si="25"/>
        <v>0</v>
      </c>
    </row>
    <row r="54" spans="1:30" s="501" customFormat="1" ht="45" customHeight="1" hidden="1">
      <c r="A54" s="512">
        <v>7</v>
      </c>
      <c r="B54" s="513">
        <f t="shared" si="14"/>
        <v>0</v>
      </c>
      <c r="C54" s="521">
        <v>1</v>
      </c>
      <c r="D54" s="517"/>
      <c r="E54" s="516">
        <f t="shared" si="26"/>
        <v>0</v>
      </c>
      <c r="F54" s="516">
        <f t="shared" si="15"/>
        <v>1.22</v>
      </c>
      <c r="G54" s="516">
        <f t="shared" si="16"/>
        <v>1.32</v>
      </c>
      <c r="H54" s="516">
        <v>0.05</v>
      </c>
      <c r="I54" s="516">
        <f t="shared" si="27"/>
        <v>0</v>
      </c>
      <c r="J54" s="517">
        <f t="shared" si="17"/>
        <v>0</v>
      </c>
      <c r="K54" s="518">
        <f t="shared" si="18"/>
        <v>0</v>
      </c>
      <c r="L54" s="516">
        <f t="shared" si="19"/>
        <v>0</v>
      </c>
      <c r="M54" s="517">
        <f t="shared" si="20"/>
        <v>0</v>
      </c>
      <c r="N54" s="516">
        <f t="shared" si="21"/>
        <v>0</v>
      </c>
      <c r="O54" s="516">
        <f t="shared" si="22"/>
        <v>0</v>
      </c>
      <c r="P54" s="516">
        <f t="shared" si="23"/>
        <v>0</v>
      </c>
      <c r="Q54" s="516">
        <v>0</v>
      </c>
      <c r="R54" s="650">
        <f t="shared" si="24"/>
        <v>0</v>
      </c>
      <c r="S54" s="519"/>
      <c r="T54" s="529">
        <f>'ORÇAMENTO GERAL'!$J$45</f>
        <v>350.11</v>
      </c>
      <c r="U54" s="529">
        <f>'ORÇAMENTO GERAL'!$J$46</f>
        <v>14.63</v>
      </c>
      <c r="V54" s="529">
        <f>'ORÇAMENTO GERAL'!$J$47</f>
        <v>8.06</v>
      </c>
      <c r="W54" s="529">
        <f>'ORÇAMENTO GERAL'!$J$48</f>
        <v>3.54</v>
      </c>
      <c r="X54" s="529">
        <f>'ORÇAMENTO GERAL'!$J$49</f>
        <v>7.09</v>
      </c>
      <c r="Y54" s="529">
        <f>'ORÇAMENTO GERAL'!$J$50</f>
        <v>48.92</v>
      </c>
      <c r="Z54" s="529">
        <f>'ORÇAMENTO GERAL'!$J$51</f>
        <v>169.7</v>
      </c>
      <c r="AA54" s="529">
        <f>'ORÇAMENTO GERAL'!$J$52</f>
        <v>22.71</v>
      </c>
      <c r="AB54" s="529">
        <f>'ORÇAMENTO GERAL'!$J$53</f>
        <v>46.13</v>
      </c>
      <c r="AC54" s="529">
        <f>'ORÇAMENTO GERAL'!$J$54</f>
        <v>113.31</v>
      </c>
      <c r="AD54" s="520">
        <f t="shared" si="25"/>
        <v>0</v>
      </c>
    </row>
    <row r="55" spans="1:30" s="501" customFormat="1" ht="45" customHeight="1" hidden="1">
      <c r="A55" s="512">
        <v>8</v>
      </c>
      <c r="B55" s="513">
        <f t="shared" si="14"/>
        <v>0</v>
      </c>
      <c r="C55" s="521">
        <v>1</v>
      </c>
      <c r="D55" s="517"/>
      <c r="E55" s="516">
        <f t="shared" si="26"/>
        <v>0</v>
      </c>
      <c r="F55" s="516">
        <f t="shared" si="15"/>
        <v>1.22</v>
      </c>
      <c r="G55" s="516">
        <f t="shared" si="16"/>
        <v>1.32</v>
      </c>
      <c r="H55" s="516">
        <v>0.05</v>
      </c>
      <c r="I55" s="516">
        <f t="shared" si="27"/>
        <v>0</v>
      </c>
      <c r="J55" s="517">
        <f t="shared" si="17"/>
        <v>0</v>
      </c>
      <c r="K55" s="518">
        <f t="shared" si="18"/>
        <v>0</v>
      </c>
      <c r="L55" s="516">
        <f t="shared" si="19"/>
        <v>0</v>
      </c>
      <c r="M55" s="517">
        <f t="shared" si="20"/>
        <v>0</v>
      </c>
      <c r="N55" s="516">
        <f t="shared" si="21"/>
        <v>0</v>
      </c>
      <c r="O55" s="516">
        <f t="shared" si="22"/>
        <v>0</v>
      </c>
      <c r="P55" s="516">
        <f t="shared" si="23"/>
        <v>0</v>
      </c>
      <c r="Q55" s="516">
        <v>0</v>
      </c>
      <c r="R55" s="650">
        <f t="shared" si="24"/>
        <v>0</v>
      </c>
      <c r="S55" s="519"/>
      <c r="T55" s="529">
        <f>'ORÇAMENTO GERAL'!$J$45</f>
        <v>350.11</v>
      </c>
      <c r="U55" s="529">
        <f>'ORÇAMENTO GERAL'!$J$46</f>
        <v>14.63</v>
      </c>
      <c r="V55" s="529">
        <f>'ORÇAMENTO GERAL'!$J$47</f>
        <v>8.06</v>
      </c>
      <c r="W55" s="529">
        <f>'ORÇAMENTO GERAL'!$J$48</f>
        <v>3.54</v>
      </c>
      <c r="X55" s="529">
        <f>'ORÇAMENTO GERAL'!$J$49</f>
        <v>7.09</v>
      </c>
      <c r="Y55" s="529">
        <f>'ORÇAMENTO GERAL'!$J$50</f>
        <v>48.92</v>
      </c>
      <c r="Z55" s="529">
        <f>'ORÇAMENTO GERAL'!$J$51</f>
        <v>169.7</v>
      </c>
      <c r="AA55" s="529">
        <f>'ORÇAMENTO GERAL'!$J$52</f>
        <v>22.71</v>
      </c>
      <c r="AB55" s="529">
        <f>'ORÇAMENTO GERAL'!$J$53</f>
        <v>46.13</v>
      </c>
      <c r="AC55" s="529">
        <f>'ORÇAMENTO GERAL'!$J$54</f>
        <v>113.31</v>
      </c>
      <c r="AD55" s="520">
        <f t="shared" si="25"/>
        <v>0</v>
      </c>
    </row>
    <row r="56" spans="1:30" s="501" customFormat="1" ht="45" customHeight="1" hidden="1">
      <c r="A56" s="512">
        <v>9</v>
      </c>
      <c r="B56" s="513">
        <f t="shared" si="14"/>
        <v>0</v>
      </c>
      <c r="C56" s="521">
        <v>1</v>
      </c>
      <c r="D56" s="517"/>
      <c r="E56" s="516">
        <f t="shared" si="26"/>
        <v>0</v>
      </c>
      <c r="F56" s="516">
        <f t="shared" si="15"/>
        <v>1.22</v>
      </c>
      <c r="G56" s="516">
        <f t="shared" si="16"/>
        <v>1.32</v>
      </c>
      <c r="H56" s="516">
        <v>0.05</v>
      </c>
      <c r="I56" s="516">
        <f t="shared" si="27"/>
        <v>0</v>
      </c>
      <c r="J56" s="517">
        <f t="shared" si="17"/>
        <v>0</v>
      </c>
      <c r="K56" s="518">
        <f t="shared" si="18"/>
        <v>0</v>
      </c>
      <c r="L56" s="516">
        <f t="shared" si="19"/>
        <v>0</v>
      </c>
      <c r="M56" s="517">
        <f t="shared" si="20"/>
        <v>0</v>
      </c>
      <c r="N56" s="516">
        <f t="shared" si="21"/>
        <v>0</v>
      </c>
      <c r="O56" s="516">
        <f t="shared" si="22"/>
        <v>0</v>
      </c>
      <c r="P56" s="516">
        <f t="shared" si="23"/>
        <v>0</v>
      </c>
      <c r="Q56" s="516">
        <v>0</v>
      </c>
      <c r="R56" s="650">
        <f t="shared" si="24"/>
        <v>0</v>
      </c>
      <c r="S56" s="519"/>
      <c r="T56" s="529">
        <f>'ORÇAMENTO GERAL'!$J$45</f>
        <v>350.11</v>
      </c>
      <c r="U56" s="529">
        <f>'ORÇAMENTO GERAL'!$J$46</f>
        <v>14.63</v>
      </c>
      <c r="V56" s="529">
        <f>'ORÇAMENTO GERAL'!$J$47</f>
        <v>8.06</v>
      </c>
      <c r="W56" s="529">
        <f>'ORÇAMENTO GERAL'!$J$48</f>
        <v>3.54</v>
      </c>
      <c r="X56" s="529">
        <f>'ORÇAMENTO GERAL'!$J$49</f>
        <v>7.09</v>
      </c>
      <c r="Y56" s="529">
        <f>'ORÇAMENTO GERAL'!$J$50</f>
        <v>48.92</v>
      </c>
      <c r="Z56" s="529">
        <f>'ORÇAMENTO GERAL'!$J$51</f>
        <v>169.7</v>
      </c>
      <c r="AA56" s="529">
        <f>'ORÇAMENTO GERAL'!$J$52</f>
        <v>22.71</v>
      </c>
      <c r="AB56" s="529">
        <f>'ORÇAMENTO GERAL'!$J$53</f>
        <v>46.13</v>
      </c>
      <c r="AC56" s="529">
        <f>'ORÇAMENTO GERAL'!$J$54</f>
        <v>113.31</v>
      </c>
      <c r="AD56" s="520">
        <f t="shared" si="25"/>
        <v>0</v>
      </c>
    </row>
    <row r="57" spans="1:30" s="501" customFormat="1" ht="45" customHeight="1" hidden="1">
      <c r="A57" s="512">
        <v>10</v>
      </c>
      <c r="B57" s="513">
        <f t="shared" si="14"/>
        <v>0</v>
      </c>
      <c r="C57" s="521">
        <v>1</v>
      </c>
      <c r="D57" s="517"/>
      <c r="E57" s="516">
        <f t="shared" si="26"/>
        <v>0</v>
      </c>
      <c r="F57" s="516">
        <f t="shared" si="15"/>
        <v>1.22</v>
      </c>
      <c r="G57" s="516">
        <f t="shared" si="16"/>
        <v>1.32</v>
      </c>
      <c r="H57" s="516">
        <v>0.05</v>
      </c>
      <c r="I57" s="516">
        <f t="shared" si="27"/>
        <v>0</v>
      </c>
      <c r="J57" s="517">
        <f t="shared" si="17"/>
        <v>0</v>
      </c>
      <c r="K57" s="518">
        <f t="shared" si="18"/>
        <v>0</v>
      </c>
      <c r="L57" s="516">
        <f t="shared" si="19"/>
        <v>0</v>
      </c>
      <c r="M57" s="517">
        <f t="shared" si="20"/>
        <v>0</v>
      </c>
      <c r="N57" s="516">
        <f t="shared" si="21"/>
        <v>0</v>
      </c>
      <c r="O57" s="516">
        <f t="shared" si="22"/>
        <v>0</v>
      </c>
      <c r="P57" s="516">
        <f t="shared" si="23"/>
        <v>0</v>
      </c>
      <c r="Q57" s="516">
        <v>0</v>
      </c>
      <c r="R57" s="650">
        <f t="shared" si="24"/>
        <v>0</v>
      </c>
      <c r="S57" s="519"/>
      <c r="T57" s="529">
        <f>'ORÇAMENTO GERAL'!$J$45</f>
        <v>350.11</v>
      </c>
      <c r="U57" s="529">
        <f>'ORÇAMENTO GERAL'!$J$46</f>
        <v>14.63</v>
      </c>
      <c r="V57" s="529">
        <f>'ORÇAMENTO GERAL'!$J$47</f>
        <v>8.06</v>
      </c>
      <c r="W57" s="529">
        <f>'ORÇAMENTO GERAL'!$J$48</f>
        <v>3.54</v>
      </c>
      <c r="X57" s="529">
        <f>'ORÇAMENTO GERAL'!$J$49</f>
        <v>7.09</v>
      </c>
      <c r="Y57" s="529">
        <f>'ORÇAMENTO GERAL'!$J$50</f>
        <v>48.92</v>
      </c>
      <c r="Z57" s="529">
        <f>'ORÇAMENTO GERAL'!$J$51</f>
        <v>169.7</v>
      </c>
      <c r="AA57" s="529">
        <f>'ORÇAMENTO GERAL'!$J$52</f>
        <v>22.71</v>
      </c>
      <c r="AB57" s="529">
        <f>'ORÇAMENTO GERAL'!$J$53</f>
        <v>46.13</v>
      </c>
      <c r="AC57" s="529">
        <f>'ORÇAMENTO GERAL'!$J$54</f>
        <v>113.31</v>
      </c>
      <c r="AD57" s="520">
        <f t="shared" si="25"/>
        <v>0</v>
      </c>
    </row>
    <row r="58" spans="1:30" s="501" customFormat="1" ht="45" customHeight="1" hidden="1">
      <c r="A58" s="512">
        <v>11</v>
      </c>
      <c r="B58" s="513">
        <f t="shared" si="14"/>
        <v>0</v>
      </c>
      <c r="C58" s="521">
        <v>1</v>
      </c>
      <c r="D58" s="517"/>
      <c r="E58" s="516">
        <f t="shared" si="26"/>
        <v>0</v>
      </c>
      <c r="F58" s="516">
        <f t="shared" si="15"/>
        <v>1.22</v>
      </c>
      <c r="G58" s="516">
        <f t="shared" si="16"/>
        <v>1.32</v>
      </c>
      <c r="H58" s="516">
        <v>0.05</v>
      </c>
      <c r="I58" s="516">
        <f t="shared" si="27"/>
        <v>0</v>
      </c>
      <c r="J58" s="517">
        <f t="shared" si="17"/>
        <v>0</v>
      </c>
      <c r="K58" s="518">
        <f t="shared" si="18"/>
        <v>0</v>
      </c>
      <c r="L58" s="516">
        <f t="shared" si="19"/>
        <v>0</v>
      </c>
      <c r="M58" s="517">
        <f t="shared" si="20"/>
        <v>0</v>
      </c>
      <c r="N58" s="516">
        <f t="shared" si="21"/>
        <v>0</v>
      </c>
      <c r="O58" s="516">
        <f t="shared" si="22"/>
        <v>0</v>
      </c>
      <c r="P58" s="516">
        <f t="shared" si="23"/>
        <v>0</v>
      </c>
      <c r="Q58" s="516">
        <v>0</v>
      </c>
      <c r="R58" s="650">
        <f t="shared" si="24"/>
        <v>0</v>
      </c>
      <c r="S58" s="519"/>
      <c r="T58" s="529">
        <f>'ORÇAMENTO GERAL'!$J$45</f>
        <v>350.11</v>
      </c>
      <c r="U58" s="529">
        <f>'ORÇAMENTO GERAL'!$J$46</f>
        <v>14.63</v>
      </c>
      <c r="V58" s="529">
        <f>'ORÇAMENTO GERAL'!$J$47</f>
        <v>8.06</v>
      </c>
      <c r="W58" s="529">
        <f>'ORÇAMENTO GERAL'!$J$48</f>
        <v>3.54</v>
      </c>
      <c r="X58" s="529">
        <f>'ORÇAMENTO GERAL'!$J$49</f>
        <v>7.09</v>
      </c>
      <c r="Y58" s="529">
        <f>'ORÇAMENTO GERAL'!$J$50</f>
        <v>48.92</v>
      </c>
      <c r="Z58" s="529">
        <f>'ORÇAMENTO GERAL'!$J$51</f>
        <v>169.7</v>
      </c>
      <c r="AA58" s="529">
        <f>'ORÇAMENTO GERAL'!$J$52</f>
        <v>22.71</v>
      </c>
      <c r="AB58" s="529">
        <f>'ORÇAMENTO GERAL'!$J$53</f>
        <v>46.13</v>
      </c>
      <c r="AC58" s="529">
        <f>'ORÇAMENTO GERAL'!$J$54</f>
        <v>113.31</v>
      </c>
      <c r="AD58" s="520">
        <f t="shared" si="25"/>
        <v>0</v>
      </c>
    </row>
    <row r="59" spans="1:30" s="501" customFormat="1" ht="45" customHeight="1" hidden="1">
      <c r="A59" s="512">
        <v>12</v>
      </c>
      <c r="B59" s="513">
        <f t="shared" si="14"/>
        <v>0</v>
      </c>
      <c r="C59" s="521">
        <v>1</v>
      </c>
      <c r="D59" s="517"/>
      <c r="E59" s="516">
        <f t="shared" si="26"/>
        <v>0</v>
      </c>
      <c r="F59" s="516">
        <f t="shared" si="15"/>
        <v>1.22</v>
      </c>
      <c r="G59" s="516">
        <f t="shared" si="16"/>
        <v>1.32</v>
      </c>
      <c r="H59" s="516">
        <v>0.05</v>
      </c>
      <c r="I59" s="516">
        <f t="shared" si="27"/>
        <v>0</v>
      </c>
      <c r="J59" s="517">
        <f t="shared" si="17"/>
        <v>0</v>
      </c>
      <c r="K59" s="518">
        <f t="shared" si="18"/>
        <v>0</v>
      </c>
      <c r="L59" s="516">
        <f t="shared" si="19"/>
        <v>0</v>
      </c>
      <c r="M59" s="517">
        <f t="shared" si="20"/>
        <v>0</v>
      </c>
      <c r="N59" s="516">
        <f t="shared" si="21"/>
        <v>0</v>
      </c>
      <c r="O59" s="516">
        <f t="shared" si="22"/>
        <v>0</v>
      </c>
      <c r="P59" s="516">
        <f t="shared" si="23"/>
        <v>0</v>
      </c>
      <c r="Q59" s="516">
        <v>0</v>
      </c>
      <c r="R59" s="650">
        <f t="shared" si="24"/>
        <v>0</v>
      </c>
      <c r="S59" s="519"/>
      <c r="T59" s="529">
        <f>'ORÇAMENTO GERAL'!$J$45</f>
        <v>350.11</v>
      </c>
      <c r="U59" s="529">
        <f>'ORÇAMENTO GERAL'!$J$46</f>
        <v>14.63</v>
      </c>
      <c r="V59" s="529">
        <f>'ORÇAMENTO GERAL'!$J$47</f>
        <v>8.06</v>
      </c>
      <c r="W59" s="529">
        <f>'ORÇAMENTO GERAL'!$J$48</f>
        <v>3.54</v>
      </c>
      <c r="X59" s="529">
        <f>'ORÇAMENTO GERAL'!$J$49</f>
        <v>7.09</v>
      </c>
      <c r="Y59" s="529">
        <f>'ORÇAMENTO GERAL'!$J$50</f>
        <v>48.92</v>
      </c>
      <c r="Z59" s="529">
        <f>'ORÇAMENTO GERAL'!$J$51</f>
        <v>169.7</v>
      </c>
      <c r="AA59" s="529">
        <f>'ORÇAMENTO GERAL'!$J$52</f>
        <v>22.71</v>
      </c>
      <c r="AB59" s="529">
        <f>'ORÇAMENTO GERAL'!$J$53</f>
        <v>46.13</v>
      </c>
      <c r="AC59" s="529">
        <f>'ORÇAMENTO GERAL'!$J$54</f>
        <v>113.31</v>
      </c>
      <c r="AD59" s="520">
        <f t="shared" si="25"/>
        <v>0</v>
      </c>
    </row>
    <row r="60" spans="1:30" s="501" customFormat="1" ht="45" customHeight="1" hidden="1">
      <c r="A60" s="512">
        <v>13</v>
      </c>
      <c r="B60" s="513">
        <f t="shared" si="14"/>
        <v>0</v>
      </c>
      <c r="C60" s="521">
        <v>1</v>
      </c>
      <c r="D60" s="517"/>
      <c r="E60" s="516">
        <f t="shared" si="26"/>
        <v>0</v>
      </c>
      <c r="F60" s="516">
        <f t="shared" si="15"/>
        <v>1.22</v>
      </c>
      <c r="G60" s="516">
        <f t="shared" si="16"/>
        <v>1.32</v>
      </c>
      <c r="H60" s="516">
        <v>0.05</v>
      </c>
      <c r="I60" s="516">
        <f t="shared" si="27"/>
        <v>0</v>
      </c>
      <c r="J60" s="517">
        <f t="shared" si="17"/>
        <v>0</v>
      </c>
      <c r="K60" s="518">
        <f t="shared" si="18"/>
        <v>0</v>
      </c>
      <c r="L60" s="516">
        <f t="shared" si="19"/>
        <v>0</v>
      </c>
      <c r="M60" s="517">
        <f t="shared" si="20"/>
        <v>0</v>
      </c>
      <c r="N60" s="516">
        <f t="shared" si="21"/>
        <v>0</v>
      </c>
      <c r="O60" s="516">
        <f t="shared" si="22"/>
        <v>0</v>
      </c>
      <c r="P60" s="516">
        <f t="shared" si="23"/>
        <v>0</v>
      </c>
      <c r="Q60" s="516">
        <v>0</v>
      </c>
      <c r="R60" s="650">
        <f t="shared" si="24"/>
        <v>0</v>
      </c>
      <c r="S60" s="519"/>
      <c r="T60" s="529">
        <f>'ORÇAMENTO GERAL'!$J$45</f>
        <v>350.11</v>
      </c>
      <c r="U60" s="529">
        <f>'ORÇAMENTO GERAL'!$J$46</f>
        <v>14.63</v>
      </c>
      <c r="V60" s="529">
        <f>'ORÇAMENTO GERAL'!$J$47</f>
        <v>8.06</v>
      </c>
      <c r="W60" s="529">
        <f>'ORÇAMENTO GERAL'!$J$48</f>
        <v>3.54</v>
      </c>
      <c r="X60" s="529">
        <f>'ORÇAMENTO GERAL'!$J$49</f>
        <v>7.09</v>
      </c>
      <c r="Y60" s="529">
        <f>'ORÇAMENTO GERAL'!$J$50</f>
        <v>48.92</v>
      </c>
      <c r="Z60" s="529">
        <f>'ORÇAMENTO GERAL'!$J$51</f>
        <v>169.7</v>
      </c>
      <c r="AA60" s="529">
        <f>'ORÇAMENTO GERAL'!$J$52</f>
        <v>22.71</v>
      </c>
      <c r="AB60" s="529">
        <f>'ORÇAMENTO GERAL'!$J$53</f>
        <v>46.13</v>
      </c>
      <c r="AC60" s="529">
        <f>'ORÇAMENTO GERAL'!$J$54</f>
        <v>113.31</v>
      </c>
      <c r="AD60" s="520">
        <f t="shared" si="25"/>
        <v>0</v>
      </c>
    </row>
    <row r="61" spans="1:30" s="501" customFormat="1" ht="45" customHeight="1" hidden="1">
      <c r="A61" s="512">
        <v>14</v>
      </c>
      <c r="B61" s="513">
        <f t="shared" si="14"/>
        <v>0</v>
      </c>
      <c r="C61" s="521">
        <v>1</v>
      </c>
      <c r="D61" s="517"/>
      <c r="E61" s="516">
        <f t="shared" si="26"/>
        <v>0</v>
      </c>
      <c r="F61" s="516">
        <f t="shared" si="15"/>
        <v>1.22</v>
      </c>
      <c r="G61" s="516">
        <f t="shared" si="16"/>
        <v>1.32</v>
      </c>
      <c r="H61" s="516">
        <v>0.05</v>
      </c>
      <c r="I61" s="516">
        <f t="shared" si="27"/>
        <v>0</v>
      </c>
      <c r="J61" s="517">
        <f t="shared" si="17"/>
        <v>0</v>
      </c>
      <c r="K61" s="518">
        <f t="shared" si="18"/>
        <v>0</v>
      </c>
      <c r="L61" s="516">
        <f t="shared" si="19"/>
        <v>0</v>
      </c>
      <c r="M61" s="517">
        <f t="shared" si="20"/>
        <v>0</v>
      </c>
      <c r="N61" s="516">
        <f t="shared" si="21"/>
        <v>0</v>
      </c>
      <c r="O61" s="516">
        <f t="shared" si="22"/>
        <v>0</v>
      </c>
      <c r="P61" s="516">
        <f t="shared" si="23"/>
        <v>0</v>
      </c>
      <c r="Q61" s="516">
        <v>0</v>
      </c>
      <c r="R61" s="650">
        <f t="shared" si="24"/>
        <v>0</v>
      </c>
      <c r="S61" s="519"/>
      <c r="T61" s="529">
        <f>'ORÇAMENTO GERAL'!$J$45</f>
        <v>350.11</v>
      </c>
      <c r="U61" s="529">
        <f>'ORÇAMENTO GERAL'!$J$46</f>
        <v>14.63</v>
      </c>
      <c r="V61" s="529">
        <f>'ORÇAMENTO GERAL'!$J$47</f>
        <v>8.06</v>
      </c>
      <c r="W61" s="529">
        <f>'ORÇAMENTO GERAL'!$J$48</f>
        <v>3.54</v>
      </c>
      <c r="X61" s="529">
        <f>'ORÇAMENTO GERAL'!$J$49</f>
        <v>7.09</v>
      </c>
      <c r="Y61" s="529">
        <f>'ORÇAMENTO GERAL'!$J$50</f>
        <v>48.92</v>
      </c>
      <c r="Z61" s="529">
        <f>'ORÇAMENTO GERAL'!$J$51</f>
        <v>169.7</v>
      </c>
      <c r="AA61" s="529">
        <f>'ORÇAMENTO GERAL'!$J$52</f>
        <v>22.71</v>
      </c>
      <c r="AB61" s="529">
        <f>'ORÇAMENTO GERAL'!$J$53</f>
        <v>46.13</v>
      </c>
      <c r="AC61" s="529">
        <f>'ORÇAMENTO GERAL'!$J$54</f>
        <v>113.31</v>
      </c>
      <c r="AD61" s="520">
        <f t="shared" si="25"/>
        <v>0</v>
      </c>
    </row>
    <row r="62" spans="1:30" s="501" customFormat="1" ht="45" customHeight="1" hidden="1">
      <c r="A62" s="512">
        <v>15</v>
      </c>
      <c r="B62" s="513">
        <f t="shared" si="14"/>
        <v>0</v>
      </c>
      <c r="C62" s="521">
        <v>1</v>
      </c>
      <c r="D62" s="517"/>
      <c r="E62" s="516">
        <f t="shared" si="26"/>
        <v>0</v>
      </c>
      <c r="F62" s="516">
        <f t="shared" si="15"/>
        <v>1.22</v>
      </c>
      <c r="G62" s="516">
        <f t="shared" si="16"/>
        <v>1.32</v>
      </c>
      <c r="H62" s="516">
        <v>0.05</v>
      </c>
      <c r="I62" s="516">
        <f t="shared" si="27"/>
        <v>0</v>
      </c>
      <c r="J62" s="517">
        <f t="shared" si="17"/>
        <v>0</v>
      </c>
      <c r="K62" s="518">
        <f t="shared" si="18"/>
        <v>0</v>
      </c>
      <c r="L62" s="516">
        <f t="shared" si="19"/>
        <v>0</v>
      </c>
      <c r="M62" s="517">
        <f t="shared" si="20"/>
        <v>0</v>
      </c>
      <c r="N62" s="516">
        <f t="shared" si="21"/>
        <v>0</v>
      </c>
      <c r="O62" s="516">
        <f t="shared" si="22"/>
        <v>0</v>
      </c>
      <c r="P62" s="516">
        <f t="shared" si="23"/>
        <v>0</v>
      </c>
      <c r="Q62" s="516">
        <v>0</v>
      </c>
      <c r="R62" s="650">
        <f t="shared" si="24"/>
        <v>0</v>
      </c>
      <c r="S62" s="519"/>
      <c r="T62" s="529">
        <f>'ORÇAMENTO GERAL'!$J$45</f>
        <v>350.11</v>
      </c>
      <c r="U62" s="529">
        <f>'ORÇAMENTO GERAL'!$J$46</f>
        <v>14.63</v>
      </c>
      <c r="V62" s="529">
        <f>'ORÇAMENTO GERAL'!$J$47</f>
        <v>8.06</v>
      </c>
      <c r="W62" s="529">
        <f>'ORÇAMENTO GERAL'!$J$48</f>
        <v>3.54</v>
      </c>
      <c r="X62" s="529">
        <f>'ORÇAMENTO GERAL'!$J$49</f>
        <v>7.09</v>
      </c>
      <c r="Y62" s="529">
        <f>'ORÇAMENTO GERAL'!$J$50</f>
        <v>48.92</v>
      </c>
      <c r="Z62" s="529">
        <f>'ORÇAMENTO GERAL'!$J$51</f>
        <v>169.7</v>
      </c>
      <c r="AA62" s="529">
        <f>'ORÇAMENTO GERAL'!$J$52</f>
        <v>22.71</v>
      </c>
      <c r="AB62" s="529">
        <f>'ORÇAMENTO GERAL'!$J$53</f>
        <v>46.13</v>
      </c>
      <c r="AC62" s="529">
        <f>'ORÇAMENTO GERAL'!$J$54</f>
        <v>113.31</v>
      </c>
      <c r="AD62" s="520">
        <f t="shared" si="25"/>
        <v>0</v>
      </c>
    </row>
    <row r="63" spans="1:30" s="501" customFormat="1" ht="45" customHeight="1" hidden="1">
      <c r="A63" s="512">
        <v>16</v>
      </c>
      <c r="B63" s="513">
        <f t="shared" si="14"/>
        <v>0</v>
      </c>
      <c r="C63" s="521">
        <v>1</v>
      </c>
      <c r="D63" s="517"/>
      <c r="E63" s="516">
        <f t="shared" si="26"/>
        <v>0</v>
      </c>
      <c r="F63" s="516">
        <f t="shared" si="15"/>
        <v>1.22</v>
      </c>
      <c r="G63" s="516">
        <f t="shared" si="16"/>
        <v>1.32</v>
      </c>
      <c r="H63" s="516">
        <v>0.05</v>
      </c>
      <c r="I63" s="516">
        <f t="shared" si="27"/>
        <v>0</v>
      </c>
      <c r="J63" s="517">
        <f t="shared" si="17"/>
        <v>0</v>
      </c>
      <c r="K63" s="518">
        <f t="shared" si="18"/>
        <v>0</v>
      </c>
      <c r="L63" s="516">
        <f t="shared" si="19"/>
        <v>0</v>
      </c>
      <c r="M63" s="517">
        <f t="shared" si="20"/>
        <v>0</v>
      </c>
      <c r="N63" s="516">
        <f t="shared" si="21"/>
        <v>0</v>
      </c>
      <c r="O63" s="516">
        <f t="shared" si="22"/>
        <v>0</v>
      </c>
      <c r="P63" s="516">
        <f t="shared" si="23"/>
        <v>0</v>
      </c>
      <c r="Q63" s="516">
        <v>0</v>
      </c>
      <c r="R63" s="650">
        <f t="shared" si="24"/>
        <v>0</v>
      </c>
      <c r="S63" s="519"/>
      <c r="T63" s="529">
        <f>'ORÇAMENTO GERAL'!$J$45</f>
        <v>350.11</v>
      </c>
      <c r="U63" s="529">
        <f>'ORÇAMENTO GERAL'!$J$46</f>
        <v>14.63</v>
      </c>
      <c r="V63" s="529">
        <f>'ORÇAMENTO GERAL'!$J$47</f>
        <v>8.06</v>
      </c>
      <c r="W63" s="529">
        <f>'ORÇAMENTO GERAL'!$J$48</f>
        <v>3.54</v>
      </c>
      <c r="X63" s="529">
        <f>'ORÇAMENTO GERAL'!$J$49</f>
        <v>7.09</v>
      </c>
      <c r="Y63" s="529">
        <f>'ORÇAMENTO GERAL'!$J$50</f>
        <v>48.92</v>
      </c>
      <c r="Z63" s="529">
        <f>'ORÇAMENTO GERAL'!$J$51</f>
        <v>169.7</v>
      </c>
      <c r="AA63" s="529">
        <f>'ORÇAMENTO GERAL'!$J$52</f>
        <v>22.71</v>
      </c>
      <c r="AB63" s="529">
        <f>'ORÇAMENTO GERAL'!$J$53</f>
        <v>46.13</v>
      </c>
      <c r="AC63" s="529">
        <f>'ORÇAMENTO GERAL'!$J$54</f>
        <v>113.31</v>
      </c>
      <c r="AD63" s="520">
        <f t="shared" si="25"/>
        <v>0</v>
      </c>
    </row>
    <row r="64" spans="1:30" s="501" customFormat="1" ht="45" customHeight="1" hidden="1">
      <c r="A64" s="512">
        <v>17</v>
      </c>
      <c r="B64" s="513">
        <f t="shared" si="14"/>
        <v>0</v>
      </c>
      <c r="C64" s="521">
        <v>1</v>
      </c>
      <c r="D64" s="517"/>
      <c r="E64" s="516">
        <f t="shared" si="26"/>
        <v>0</v>
      </c>
      <c r="F64" s="516">
        <f t="shared" si="15"/>
        <v>1.22</v>
      </c>
      <c r="G64" s="516">
        <f t="shared" si="16"/>
        <v>1.32</v>
      </c>
      <c r="H64" s="516">
        <v>0.05</v>
      </c>
      <c r="I64" s="516">
        <f t="shared" si="27"/>
        <v>0</v>
      </c>
      <c r="J64" s="517">
        <f t="shared" si="17"/>
        <v>0</v>
      </c>
      <c r="K64" s="518">
        <f t="shared" si="18"/>
        <v>0</v>
      </c>
      <c r="L64" s="516">
        <f t="shared" si="19"/>
        <v>0</v>
      </c>
      <c r="M64" s="517">
        <f t="shared" si="20"/>
        <v>0</v>
      </c>
      <c r="N64" s="516">
        <f t="shared" si="21"/>
        <v>0</v>
      </c>
      <c r="O64" s="516">
        <f t="shared" si="22"/>
        <v>0</v>
      </c>
      <c r="P64" s="516">
        <f t="shared" si="23"/>
        <v>0</v>
      </c>
      <c r="Q64" s="516">
        <v>0</v>
      </c>
      <c r="R64" s="650">
        <f t="shared" si="24"/>
        <v>0</v>
      </c>
      <c r="S64" s="519"/>
      <c r="T64" s="529">
        <f>'ORÇAMENTO GERAL'!$J$45</f>
        <v>350.11</v>
      </c>
      <c r="U64" s="529">
        <f>'ORÇAMENTO GERAL'!$J$46</f>
        <v>14.63</v>
      </c>
      <c r="V64" s="529">
        <f>'ORÇAMENTO GERAL'!$J$47</f>
        <v>8.06</v>
      </c>
      <c r="W64" s="529">
        <f>'ORÇAMENTO GERAL'!$J$48</f>
        <v>3.54</v>
      </c>
      <c r="X64" s="529">
        <f>'ORÇAMENTO GERAL'!$J$49</f>
        <v>7.09</v>
      </c>
      <c r="Y64" s="529">
        <f>'ORÇAMENTO GERAL'!$J$50</f>
        <v>48.92</v>
      </c>
      <c r="Z64" s="529">
        <f>'ORÇAMENTO GERAL'!$J$51</f>
        <v>169.7</v>
      </c>
      <c r="AA64" s="529">
        <f>'ORÇAMENTO GERAL'!$J$52</f>
        <v>22.71</v>
      </c>
      <c r="AB64" s="529">
        <f>'ORÇAMENTO GERAL'!$J$53</f>
        <v>46.13</v>
      </c>
      <c r="AC64" s="529">
        <f>'ORÇAMENTO GERAL'!$J$54</f>
        <v>113.31</v>
      </c>
      <c r="AD64" s="520">
        <f t="shared" si="25"/>
        <v>0</v>
      </c>
    </row>
    <row r="65" spans="1:30" s="501" customFormat="1" ht="45" customHeight="1" hidden="1">
      <c r="A65" s="512">
        <v>18</v>
      </c>
      <c r="B65" s="513">
        <f t="shared" si="14"/>
        <v>0</v>
      </c>
      <c r="C65" s="521">
        <v>1</v>
      </c>
      <c r="D65" s="517"/>
      <c r="E65" s="516">
        <f t="shared" si="26"/>
        <v>0</v>
      </c>
      <c r="F65" s="516">
        <f t="shared" si="15"/>
        <v>1.22</v>
      </c>
      <c r="G65" s="516">
        <f t="shared" si="16"/>
        <v>1.32</v>
      </c>
      <c r="H65" s="516">
        <v>0.05</v>
      </c>
      <c r="I65" s="516">
        <f t="shared" si="27"/>
        <v>0</v>
      </c>
      <c r="J65" s="517">
        <f t="shared" si="17"/>
        <v>0</v>
      </c>
      <c r="K65" s="518">
        <f t="shared" si="18"/>
        <v>0</v>
      </c>
      <c r="L65" s="516">
        <f t="shared" si="19"/>
        <v>0</v>
      </c>
      <c r="M65" s="517">
        <f t="shared" si="20"/>
        <v>0</v>
      </c>
      <c r="N65" s="516">
        <f t="shared" si="21"/>
        <v>0</v>
      </c>
      <c r="O65" s="516">
        <f t="shared" si="22"/>
        <v>0</v>
      </c>
      <c r="P65" s="516">
        <f t="shared" si="23"/>
        <v>0</v>
      </c>
      <c r="Q65" s="516">
        <v>0</v>
      </c>
      <c r="R65" s="650">
        <f t="shared" si="24"/>
        <v>0</v>
      </c>
      <c r="S65" s="519"/>
      <c r="T65" s="529">
        <f>'ORÇAMENTO GERAL'!$J$45</f>
        <v>350.11</v>
      </c>
      <c r="U65" s="529">
        <f>'ORÇAMENTO GERAL'!$J$46</f>
        <v>14.63</v>
      </c>
      <c r="V65" s="529">
        <f>'ORÇAMENTO GERAL'!$J$47</f>
        <v>8.06</v>
      </c>
      <c r="W65" s="529">
        <f>'ORÇAMENTO GERAL'!$J$48</f>
        <v>3.54</v>
      </c>
      <c r="X65" s="529">
        <f>'ORÇAMENTO GERAL'!$J$49</f>
        <v>7.09</v>
      </c>
      <c r="Y65" s="529">
        <f>'ORÇAMENTO GERAL'!$J$50</f>
        <v>48.92</v>
      </c>
      <c r="Z65" s="529">
        <f>'ORÇAMENTO GERAL'!$J$51</f>
        <v>169.7</v>
      </c>
      <c r="AA65" s="529">
        <f>'ORÇAMENTO GERAL'!$J$52</f>
        <v>22.71</v>
      </c>
      <c r="AB65" s="529">
        <f>'ORÇAMENTO GERAL'!$J$53</f>
        <v>46.13</v>
      </c>
      <c r="AC65" s="529">
        <f>'ORÇAMENTO GERAL'!$J$54</f>
        <v>113.31</v>
      </c>
      <c r="AD65" s="520">
        <f t="shared" si="25"/>
        <v>0</v>
      </c>
    </row>
    <row r="66" spans="1:30" s="501" customFormat="1" ht="45" customHeight="1" hidden="1">
      <c r="A66" s="512">
        <v>19</v>
      </c>
      <c r="B66" s="513">
        <f t="shared" si="14"/>
        <v>0</v>
      </c>
      <c r="C66" s="521">
        <v>1</v>
      </c>
      <c r="D66" s="517"/>
      <c r="E66" s="516">
        <f t="shared" si="26"/>
        <v>0</v>
      </c>
      <c r="F66" s="516">
        <f t="shared" si="15"/>
        <v>1.22</v>
      </c>
      <c r="G66" s="516">
        <f t="shared" si="16"/>
        <v>1.32</v>
      </c>
      <c r="H66" s="516">
        <v>0.05</v>
      </c>
      <c r="I66" s="516">
        <f t="shared" si="27"/>
        <v>0</v>
      </c>
      <c r="J66" s="517">
        <f t="shared" si="17"/>
        <v>0</v>
      </c>
      <c r="K66" s="518">
        <f t="shared" si="18"/>
        <v>0</v>
      </c>
      <c r="L66" s="516">
        <f t="shared" si="19"/>
        <v>0</v>
      </c>
      <c r="M66" s="517">
        <f t="shared" si="20"/>
        <v>0</v>
      </c>
      <c r="N66" s="516">
        <f t="shared" si="21"/>
        <v>0</v>
      </c>
      <c r="O66" s="516">
        <f t="shared" si="22"/>
        <v>0</v>
      </c>
      <c r="P66" s="516">
        <f t="shared" si="23"/>
        <v>0</v>
      </c>
      <c r="Q66" s="516">
        <v>0</v>
      </c>
      <c r="R66" s="650">
        <f t="shared" si="24"/>
        <v>0</v>
      </c>
      <c r="S66" s="519"/>
      <c r="T66" s="529">
        <f>'ORÇAMENTO GERAL'!$J$45</f>
        <v>350.11</v>
      </c>
      <c r="U66" s="529">
        <f>'ORÇAMENTO GERAL'!$J$46</f>
        <v>14.63</v>
      </c>
      <c r="V66" s="529">
        <f>'ORÇAMENTO GERAL'!$J$47</f>
        <v>8.06</v>
      </c>
      <c r="W66" s="529">
        <f>'ORÇAMENTO GERAL'!$J$48</f>
        <v>3.54</v>
      </c>
      <c r="X66" s="529">
        <f>'ORÇAMENTO GERAL'!$J$49</f>
        <v>7.09</v>
      </c>
      <c r="Y66" s="529">
        <f>'ORÇAMENTO GERAL'!$J$50</f>
        <v>48.92</v>
      </c>
      <c r="Z66" s="529">
        <f>'ORÇAMENTO GERAL'!$J$51</f>
        <v>169.7</v>
      </c>
      <c r="AA66" s="529">
        <f>'ORÇAMENTO GERAL'!$J$52</f>
        <v>22.71</v>
      </c>
      <c r="AB66" s="529">
        <f>'ORÇAMENTO GERAL'!$J$53</f>
        <v>46.13</v>
      </c>
      <c r="AC66" s="529">
        <f>'ORÇAMENTO GERAL'!$J$54</f>
        <v>113.31</v>
      </c>
      <c r="AD66" s="520">
        <f t="shared" si="25"/>
        <v>0</v>
      </c>
    </row>
    <row r="67" spans="1:30" s="501" customFormat="1" ht="45" customHeight="1" hidden="1" thickBot="1">
      <c r="A67" s="530">
        <v>20</v>
      </c>
      <c r="B67" s="513">
        <f t="shared" si="14"/>
        <v>0</v>
      </c>
      <c r="C67" s="521">
        <v>1</v>
      </c>
      <c r="D67" s="517"/>
      <c r="E67" s="516">
        <f t="shared" si="26"/>
        <v>0</v>
      </c>
      <c r="F67" s="516">
        <f t="shared" si="15"/>
        <v>1.22</v>
      </c>
      <c r="G67" s="516">
        <f t="shared" si="16"/>
        <v>1.32</v>
      </c>
      <c r="H67" s="516">
        <v>0.05</v>
      </c>
      <c r="I67" s="516">
        <f t="shared" si="27"/>
        <v>0</v>
      </c>
      <c r="J67" s="517">
        <f t="shared" si="17"/>
        <v>0</v>
      </c>
      <c r="K67" s="518">
        <f t="shared" si="18"/>
        <v>0</v>
      </c>
      <c r="L67" s="516">
        <f t="shared" si="19"/>
        <v>0</v>
      </c>
      <c r="M67" s="517">
        <f t="shared" si="20"/>
        <v>0</v>
      </c>
      <c r="N67" s="516">
        <f t="shared" si="21"/>
        <v>0</v>
      </c>
      <c r="O67" s="516">
        <f t="shared" si="22"/>
        <v>0</v>
      </c>
      <c r="P67" s="516">
        <f t="shared" si="23"/>
        <v>0</v>
      </c>
      <c r="Q67" s="516">
        <v>0</v>
      </c>
      <c r="R67" s="650">
        <f t="shared" si="24"/>
        <v>0</v>
      </c>
      <c r="S67" s="519"/>
      <c r="T67" s="529">
        <f>'ORÇAMENTO GERAL'!$J$45</f>
        <v>350.11</v>
      </c>
      <c r="U67" s="529">
        <f>'ORÇAMENTO GERAL'!$J$46</f>
        <v>14.63</v>
      </c>
      <c r="V67" s="529">
        <f>'ORÇAMENTO GERAL'!$J$47</f>
        <v>8.06</v>
      </c>
      <c r="W67" s="529">
        <f>'ORÇAMENTO GERAL'!$J$48</f>
        <v>3.54</v>
      </c>
      <c r="X67" s="529">
        <f>'ORÇAMENTO GERAL'!$J$49</f>
        <v>7.09</v>
      </c>
      <c r="Y67" s="529">
        <f>'ORÇAMENTO GERAL'!$J$50</f>
        <v>48.92</v>
      </c>
      <c r="Z67" s="529">
        <f>'ORÇAMENTO GERAL'!$J$51</f>
        <v>169.7</v>
      </c>
      <c r="AA67" s="529">
        <f>'ORÇAMENTO GERAL'!$J$52</f>
        <v>22.71</v>
      </c>
      <c r="AB67" s="529">
        <f>'ORÇAMENTO GERAL'!$J$53</f>
        <v>46.13</v>
      </c>
      <c r="AC67" s="529">
        <f>'ORÇAMENTO GERAL'!$J$54</f>
        <v>113.31</v>
      </c>
      <c r="AD67" s="520">
        <f t="shared" si="25"/>
        <v>0</v>
      </c>
    </row>
    <row r="68" spans="1:19" s="501" customFormat="1" ht="79.5" customHeight="1" thickBot="1">
      <c r="A68" s="854" t="s">
        <v>24</v>
      </c>
      <c r="B68" s="855"/>
      <c r="C68" s="523"/>
      <c r="D68" s="523"/>
      <c r="E68" s="523">
        <f>SUM(E48:E67)</f>
        <v>745</v>
      </c>
      <c r="F68" s="523"/>
      <c r="G68" s="523"/>
      <c r="H68" s="523"/>
      <c r="I68" s="523">
        <f>SUM(I48:I67)</f>
        <v>1248.92</v>
      </c>
      <c r="J68" s="523">
        <f aca="true" t="shared" si="28" ref="J68:R68">SUM(J48:J67)</f>
        <v>210.54</v>
      </c>
      <c r="K68" s="523">
        <f t="shared" si="28"/>
        <v>2631.76</v>
      </c>
      <c r="L68" s="523">
        <f t="shared" si="28"/>
        <v>908.9</v>
      </c>
      <c r="M68" s="523">
        <f t="shared" si="28"/>
        <v>908.9</v>
      </c>
      <c r="N68" s="523">
        <f t="shared" si="28"/>
        <v>210.54</v>
      </c>
      <c r="O68" s="523">
        <f t="shared" si="28"/>
        <v>726.87</v>
      </c>
      <c r="P68" s="523">
        <f t="shared" si="28"/>
        <v>311.51</v>
      </c>
      <c r="Q68" s="523">
        <f t="shared" si="28"/>
        <v>0</v>
      </c>
      <c r="R68" s="523">
        <f t="shared" si="28"/>
        <v>745</v>
      </c>
      <c r="S68" s="524"/>
    </row>
    <row r="69" spans="1:18" s="501" customFormat="1" ht="45" customHeight="1">
      <c r="A69" s="654"/>
      <c r="B69" s="652"/>
      <c r="C69" s="655"/>
      <c r="D69" s="655"/>
      <c r="E69" s="655"/>
      <c r="F69" s="655"/>
      <c r="G69" s="655"/>
      <c r="H69" s="655"/>
      <c r="I69" s="652"/>
      <c r="J69" s="652"/>
      <c r="K69" s="652"/>
      <c r="L69" s="652"/>
      <c r="M69" s="652"/>
      <c r="N69" s="652"/>
      <c r="O69" s="652"/>
      <c r="P69" s="652"/>
      <c r="Q69" s="652"/>
      <c r="R69" s="653"/>
    </row>
    <row r="70" spans="1:19" s="501" customFormat="1" ht="45" customHeight="1" hidden="1" thickBot="1">
      <c r="A70" s="869" t="s">
        <v>372</v>
      </c>
      <c r="B70" s="870"/>
      <c r="C70" s="870"/>
      <c r="D70" s="870"/>
      <c r="E70" s="870"/>
      <c r="F70" s="870"/>
      <c r="G70" s="870"/>
      <c r="H70" s="870"/>
      <c r="I70" s="870"/>
      <c r="J70" s="870"/>
      <c r="K70" s="870"/>
      <c r="L70" s="870"/>
      <c r="M70" s="870"/>
      <c r="N70" s="870"/>
      <c r="O70" s="870"/>
      <c r="P70" s="870"/>
      <c r="Q70" s="870"/>
      <c r="R70" s="871"/>
      <c r="S70" s="500"/>
    </row>
    <row r="71" spans="1:19" s="501" customFormat="1" ht="45" customHeight="1" hidden="1">
      <c r="A71" s="872" t="s">
        <v>7</v>
      </c>
      <c r="B71" s="875" t="s">
        <v>374</v>
      </c>
      <c r="C71" s="878" t="s">
        <v>584</v>
      </c>
      <c r="D71" s="878"/>
      <c r="E71" s="878"/>
      <c r="F71" s="867" t="s">
        <v>541</v>
      </c>
      <c r="G71" s="867"/>
      <c r="H71" s="867"/>
      <c r="I71" s="867"/>
      <c r="J71" s="867" t="s">
        <v>542</v>
      </c>
      <c r="K71" s="861" t="s">
        <v>545</v>
      </c>
      <c r="L71" s="867" t="s">
        <v>365</v>
      </c>
      <c r="M71" s="867" t="s">
        <v>368</v>
      </c>
      <c r="N71" s="865" t="s">
        <v>366</v>
      </c>
      <c r="O71" s="865" t="s">
        <v>543</v>
      </c>
      <c r="P71" s="865" t="s">
        <v>633</v>
      </c>
      <c r="Q71" s="865" t="s">
        <v>544</v>
      </c>
      <c r="R71" s="859" t="s">
        <v>369</v>
      </c>
      <c r="S71" s="500"/>
    </row>
    <row r="72" spans="1:19" s="501" customFormat="1" ht="45" customHeight="1" hidden="1">
      <c r="A72" s="873"/>
      <c r="B72" s="876"/>
      <c r="C72" s="879"/>
      <c r="D72" s="879"/>
      <c r="E72" s="879"/>
      <c r="F72" s="868"/>
      <c r="G72" s="868"/>
      <c r="H72" s="868"/>
      <c r="I72" s="868"/>
      <c r="J72" s="868"/>
      <c r="K72" s="862"/>
      <c r="L72" s="868"/>
      <c r="M72" s="868"/>
      <c r="N72" s="880"/>
      <c r="O72" s="866"/>
      <c r="P72" s="866"/>
      <c r="Q72" s="880"/>
      <c r="R72" s="860"/>
      <c r="S72" s="500"/>
    </row>
    <row r="73" spans="1:19" s="501" customFormat="1" ht="45" customHeight="1" hidden="1">
      <c r="A73" s="873"/>
      <c r="B73" s="876"/>
      <c r="C73" s="504" t="s">
        <v>154</v>
      </c>
      <c r="D73" s="505" t="s">
        <v>581</v>
      </c>
      <c r="E73" s="504" t="s">
        <v>363</v>
      </c>
      <c r="F73" s="504" t="s">
        <v>357</v>
      </c>
      <c r="G73" s="504" t="s">
        <v>362</v>
      </c>
      <c r="H73" s="504" t="s">
        <v>364</v>
      </c>
      <c r="I73" s="504" t="s">
        <v>24</v>
      </c>
      <c r="J73" s="868"/>
      <c r="K73" s="862"/>
      <c r="L73" s="868"/>
      <c r="M73" s="868"/>
      <c r="N73" s="866"/>
      <c r="O73" s="504" t="s">
        <v>24</v>
      </c>
      <c r="P73" s="504" t="s">
        <v>24</v>
      </c>
      <c r="Q73" s="866"/>
      <c r="R73" s="860"/>
      <c r="S73" s="500"/>
    </row>
    <row r="74" spans="1:30" s="501" customFormat="1" ht="45" customHeight="1" hidden="1">
      <c r="A74" s="873"/>
      <c r="B74" s="876"/>
      <c r="C74" s="615"/>
      <c r="D74" s="615"/>
      <c r="E74" s="615" t="s">
        <v>55</v>
      </c>
      <c r="F74" s="615" t="s">
        <v>58</v>
      </c>
      <c r="G74" s="615" t="s">
        <v>16</v>
      </c>
      <c r="H74" s="615" t="s">
        <v>8</v>
      </c>
      <c r="I74" s="615" t="s">
        <v>367</v>
      </c>
      <c r="J74" s="615" t="s">
        <v>609</v>
      </c>
      <c r="K74" s="616" t="s">
        <v>546</v>
      </c>
      <c r="L74" s="615" t="s">
        <v>547</v>
      </c>
      <c r="M74" s="615" t="s">
        <v>548</v>
      </c>
      <c r="N74" s="615" t="s">
        <v>549</v>
      </c>
      <c r="O74" s="615" t="s">
        <v>636</v>
      </c>
      <c r="P74" s="615" t="s">
        <v>637</v>
      </c>
      <c r="Q74" s="615" t="s">
        <v>634</v>
      </c>
      <c r="R74" s="648" t="s">
        <v>635</v>
      </c>
      <c r="S74" s="500"/>
      <c r="T74" s="893" t="s">
        <v>563</v>
      </c>
      <c r="U74" s="894"/>
      <c r="V74" s="894"/>
      <c r="W74" s="894"/>
      <c r="X74" s="894"/>
      <c r="Y74" s="894"/>
      <c r="Z74" s="894"/>
      <c r="AA74" s="894"/>
      <c r="AB74" s="894"/>
      <c r="AC74" s="894"/>
      <c r="AD74" s="895"/>
    </row>
    <row r="75" spans="1:30" s="501" customFormat="1" ht="45" customHeight="1" hidden="1" thickBot="1">
      <c r="A75" s="874"/>
      <c r="B75" s="877"/>
      <c r="C75" s="507" t="s">
        <v>361</v>
      </c>
      <c r="D75" s="507" t="s">
        <v>358</v>
      </c>
      <c r="E75" s="507" t="s">
        <v>358</v>
      </c>
      <c r="F75" s="507" t="s">
        <v>610</v>
      </c>
      <c r="G75" s="507" t="s">
        <v>611</v>
      </c>
      <c r="H75" s="507"/>
      <c r="I75" s="507"/>
      <c r="J75" s="507"/>
      <c r="K75" s="508">
        <v>10</v>
      </c>
      <c r="L75" s="507"/>
      <c r="M75" s="507"/>
      <c r="N75" s="507"/>
      <c r="O75" s="507"/>
      <c r="P75" s="509"/>
      <c r="Q75" s="509" t="s">
        <v>631</v>
      </c>
      <c r="R75" s="649"/>
      <c r="S75" s="510"/>
      <c r="T75" s="505" t="s">
        <v>557</v>
      </c>
      <c r="U75" s="505" t="s">
        <v>558</v>
      </c>
      <c r="V75" s="505" t="s">
        <v>559</v>
      </c>
      <c r="W75" s="505" t="s">
        <v>560</v>
      </c>
      <c r="X75" s="505" t="s">
        <v>561</v>
      </c>
      <c r="Y75" s="505" t="s">
        <v>375</v>
      </c>
      <c r="Z75" s="504" t="s">
        <v>543</v>
      </c>
      <c r="AA75" s="504" t="s">
        <v>633</v>
      </c>
      <c r="AB75" s="504" t="s">
        <v>544</v>
      </c>
      <c r="AC75" s="504" t="s">
        <v>369</v>
      </c>
      <c r="AD75" s="511" t="s">
        <v>24</v>
      </c>
    </row>
    <row r="76" spans="1:30" s="501" customFormat="1" ht="45" customHeight="1" hidden="1">
      <c r="A76" s="512">
        <v>1</v>
      </c>
      <c r="B76" s="513" t="str">
        <f>B20</f>
        <v>PASS. NS. DO CARMO</v>
      </c>
      <c r="C76" s="514">
        <v>1</v>
      </c>
      <c r="D76" s="515"/>
      <c r="E76" s="514">
        <f>C76*D76</f>
        <v>0</v>
      </c>
      <c r="F76" s="516">
        <f>0.96+0.5</f>
        <v>1.46</v>
      </c>
      <c r="G76" s="516">
        <f>0.96+0.6</f>
        <v>1.56</v>
      </c>
      <c r="H76" s="516">
        <v>0.05</v>
      </c>
      <c r="I76" s="516">
        <f>(E76*F76*G76)+(E76*G76*H76)</f>
        <v>0</v>
      </c>
      <c r="J76" s="517">
        <f>N76</f>
        <v>0</v>
      </c>
      <c r="K76" s="518">
        <f>J76*1.25*$K$19</f>
        <v>0</v>
      </c>
      <c r="L76" s="516">
        <f>E76*F76</f>
        <v>0</v>
      </c>
      <c r="M76" s="517">
        <f>L76</f>
        <v>0</v>
      </c>
      <c r="N76" s="516">
        <f>(3.14*0.4^2)*E76</f>
        <v>0</v>
      </c>
      <c r="O76" s="516">
        <f>(I76-N76)*70%</f>
        <v>0</v>
      </c>
      <c r="P76" s="516">
        <f>(I76-N76)*30%</f>
        <v>0</v>
      </c>
      <c r="Q76" s="516">
        <v>0</v>
      </c>
      <c r="R76" s="650">
        <f>E76</f>
        <v>0</v>
      </c>
      <c r="S76" s="519"/>
      <c r="T76" s="511">
        <f>'ORÇAMENTO GERAL'!$J$55</f>
        <v>540.39</v>
      </c>
      <c r="U76" s="511">
        <f>'ORÇAMENTO GERAL'!$J$56</f>
        <v>14.63</v>
      </c>
      <c r="V76" s="511">
        <f>'ORÇAMENTO GERAL'!$J$57</f>
        <v>8.07</v>
      </c>
      <c r="W76" s="511">
        <f>'ORÇAMENTO GERAL'!$J$58</f>
        <v>3.54</v>
      </c>
      <c r="X76" s="511">
        <f>'ORÇAMENTO GERAL'!$J$59</f>
        <v>7.02</v>
      </c>
      <c r="Y76" s="511">
        <f>'ORÇAMENTO GERAL'!$J$60</f>
        <v>48.92</v>
      </c>
      <c r="Z76" s="511">
        <f>'ORÇAMENTO GERAL'!$J$61</f>
        <v>169.7</v>
      </c>
      <c r="AA76" s="511">
        <f>'ORÇAMENTO GERAL'!$J$62</f>
        <v>22.65</v>
      </c>
      <c r="AB76" s="511">
        <f>'ORÇAMENTO GERAL'!$J$63</f>
        <v>46.13</v>
      </c>
      <c r="AC76" s="511">
        <f>'ORÇAMENTO GERAL'!$J$64</f>
        <v>152.03</v>
      </c>
      <c r="AD76" s="520">
        <f>(E76*T76)+(I76*U76)+(J76*V76)+(K76*W76)+(L76*X76)+(M76*Y76)+(O76*Z76)+(P76*AA76)+(Q76*AB76)+(R76*AC76)</f>
        <v>0</v>
      </c>
    </row>
    <row r="77" spans="1:30" s="501" customFormat="1" ht="45" customHeight="1" hidden="1">
      <c r="A77" s="512">
        <v>2</v>
      </c>
      <c r="B77" s="513" t="str">
        <f aca="true" t="shared" si="29" ref="B77:B95">B21</f>
        <v>PASS. KENEDY</v>
      </c>
      <c r="C77" s="521">
        <v>1</v>
      </c>
      <c r="D77" s="517"/>
      <c r="E77" s="516">
        <f>C77*D77</f>
        <v>0</v>
      </c>
      <c r="F77" s="516">
        <f aca="true" t="shared" si="30" ref="F77:F95">0.96+0.5</f>
        <v>1.46</v>
      </c>
      <c r="G77" s="516">
        <f aca="true" t="shared" si="31" ref="G77:G95">0.96+0.6</f>
        <v>1.56</v>
      </c>
      <c r="H77" s="516">
        <v>0.05</v>
      </c>
      <c r="I77" s="516">
        <f aca="true" t="shared" si="32" ref="I77:I95">(E77*F77*G77)+(E77*G77*H77)</f>
        <v>0</v>
      </c>
      <c r="J77" s="517">
        <f aca="true" t="shared" si="33" ref="J77:J95">N77</f>
        <v>0</v>
      </c>
      <c r="K77" s="518">
        <f aca="true" t="shared" si="34" ref="K77:K95">J77*1.25*$K$19</f>
        <v>0</v>
      </c>
      <c r="L77" s="516">
        <f aca="true" t="shared" si="35" ref="L77:L95">E77*F77</f>
        <v>0</v>
      </c>
      <c r="M77" s="517">
        <f aca="true" t="shared" si="36" ref="M77:M95">L77</f>
        <v>0</v>
      </c>
      <c r="N77" s="516">
        <f aca="true" t="shared" si="37" ref="N77:N95">(3.14*0.4^2)*E77</f>
        <v>0</v>
      </c>
      <c r="O77" s="516">
        <f aca="true" t="shared" si="38" ref="O77:O95">(I77-N77)*70%</f>
        <v>0</v>
      </c>
      <c r="P77" s="516">
        <f aca="true" t="shared" si="39" ref="P77:P95">(I77-N77)*30%</f>
        <v>0</v>
      </c>
      <c r="Q77" s="516">
        <v>0</v>
      </c>
      <c r="R77" s="650">
        <f aca="true" t="shared" si="40" ref="R77:R95">E77</f>
        <v>0</v>
      </c>
      <c r="S77" s="519"/>
      <c r="T77" s="511">
        <f>'ORÇAMENTO GERAL'!$J$55</f>
        <v>540.39</v>
      </c>
      <c r="U77" s="511">
        <f>'ORÇAMENTO GERAL'!$J$56</f>
        <v>14.63</v>
      </c>
      <c r="V77" s="511">
        <f>'ORÇAMENTO GERAL'!$J$57</f>
        <v>8.07</v>
      </c>
      <c r="W77" s="511">
        <f>'ORÇAMENTO GERAL'!$J$58</f>
        <v>3.54</v>
      </c>
      <c r="X77" s="511">
        <f>'ORÇAMENTO GERAL'!$J$59</f>
        <v>7.02</v>
      </c>
      <c r="Y77" s="511">
        <f>'ORÇAMENTO GERAL'!$J$60</f>
        <v>48.92</v>
      </c>
      <c r="Z77" s="511">
        <f>'ORÇAMENTO GERAL'!$J$61</f>
        <v>169.7</v>
      </c>
      <c r="AA77" s="511">
        <f>'ORÇAMENTO GERAL'!$J$62</f>
        <v>22.65</v>
      </c>
      <c r="AB77" s="511">
        <f>'ORÇAMENTO GERAL'!$J$63</f>
        <v>46.13</v>
      </c>
      <c r="AC77" s="511">
        <f>'ORÇAMENTO GERAL'!$J$64</f>
        <v>152.03</v>
      </c>
      <c r="AD77" s="520">
        <f aca="true" t="shared" si="41" ref="AD77:AD95">(E77*T77)+(I77*U77)+(J77*V77)+(K77*W77)+(L77*X77)+(M77*Y77)+(O77*Z77)+(P77*AA77)+(Q77*AB77)+(R77*AC77)</f>
        <v>0</v>
      </c>
    </row>
    <row r="78" spans="1:30" s="501" customFormat="1" ht="45" customHeight="1" hidden="1">
      <c r="A78" s="512">
        <v>3</v>
      </c>
      <c r="B78" s="513" t="str">
        <f t="shared" si="29"/>
        <v>PASS. UBIRATAN MACIEL</v>
      </c>
      <c r="C78" s="521">
        <v>1</v>
      </c>
      <c r="D78" s="517"/>
      <c r="E78" s="516">
        <f aca="true" t="shared" si="42" ref="E78:E95">C78*D78</f>
        <v>0</v>
      </c>
      <c r="F78" s="516">
        <f t="shared" si="30"/>
        <v>1.46</v>
      </c>
      <c r="G78" s="516">
        <f t="shared" si="31"/>
        <v>1.56</v>
      </c>
      <c r="H78" s="516">
        <v>0.05</v>
      </c>
      <c r="I78" s="516">
        <f t="shared" si="32"/>
        <v>0</v>
      </c>
      <c r="J78" s="517">
        <f t="shared" si="33"/>
        <v>0</v>
      </c>
      <c r="K78" s="518">
        <f t="shared" si="34"/>
        <v>0</v>
      </c>
      <c r="L78" s="516">
        <f t="shared" si="35"/>
        <v>0</v>
      </c>
      <c r="M78" s="517">
        <f t="shared" si="36"/>
        <v>0</v>
      </c>
      <c r="N78" s="516">
        <f t="shared" si="37"/>
        <v>0</v>
      </c>
      <c r="O78" s="516">
        <f t="shared" si="38"/>
        <v>0</v>
      </c>
      <c r="P78" s="516">
        <f t="shared" si="39"/>
        <v>0</v>
      </c>
      <c r="Q78" s="516">
        <v>0</v>
      </c>
      <c r="R78" s="650">
        <f t="shared" si="40"/>
        <v>0</v>
      </c>
      <c r="S78" s="519"/>
      <c r="T78" s="511">
        <f>'ORÇAMENTO GERAL'!$J$55</f>
        <v>540.39</v>
      </c>
      <c r="U78" s="511">
        <f>'ORÇAMENTO GERAL'!$J$56</f>
        <v>14.63</v>
      </c>
      <c r="V78" s="511">
        <f>'ORÇAMENTO GERAL'!$J$57</f>
        <v>8.07</v>
      </c>
      <c r="W78" s="511">
        <f>'ORÇAMENTO GERAL'!$J$58</f>
        <v>3.54</v>
      </c>
      <c r="X78" s="511">
        <f>'ORÇAMENTO GERAL'!$J$59</f>
        <v>7.02</v>
      </c>
      <c r="Y78" s="511">
        <f>'ORÇAMENTO GERAL'!$J$60</f>
        <v>48.92</v>
      </c>
      <c r="Z78" s="511">
        <f>'ORÇAMENTO GERAL'!$J$61</f>
        <v>169.7</v>
      </c>
      <c r="AA78" s="511">
        <f>'ORÇAMENTO GERAL'!$J$62</f>
        <v>22.65</v>
      </c>
      <c r="AB78" s="511">
        <f>'ORÇAMENTO GERAL'!$J$63</f>
        <v>46.13</v>
      </c>
      <c r="AC78" s="511">
        <f>'ORÇAMENTO GERAL'!$J$64</f>
        <v>152.03</v>
      </c>
      <c r="AD78" s="520">
        <f t="shared" si="41"/>
        <v>0</v>
      </c>
    </row>
    <row r="79" spans="1:30" s="501" customFormat="1" ht="45" customHeight="1" hidden="1">
      <c r="A79" s="512">
        <v>4</v>
      </c>
      <c r="B79" s="513" t="str">
        <f t="shared" si="29"/>
        <v>PASS. ALEGRE </v>
      </c>
      <c r="C79" s="521">
        <v>1</v>
      </c>
      <c r="D79" s="517"/>
      <c r="E79" s="516">
        <f t="shared" si="42"/>
        <v>0</v>
      </c>
      <c r="F79" s="516">
        <f t="shared" si="30"/>
        <v>1.46</v>
      </c>
      <c r="G79" s="516">
        <f t="shared" si="31"/>
        <v>1.56</v>
      </c>
      <c r="H79" s="516">
        <v>0.05</v>
      </c>
      <c r="I79" s="516">
        <f t="shared" si="32"/>
        <v>0</v>
      </c>
      <c r="J79" s="517">
        <f t="shared" si="33"/>
        <v>0</v>
      </c>
      <c r="K79" s="518">
        <f t="shared" si="34"/>
        <v>0</v>
      </c>
      <c r="L79" s="516">
        <f t="shared" si="35"/>
        <v>0</v>
      </c>
      <c r="M79" s="517">
        <f t="shared" si="36"/>
        <v>0</v>
      </c>
      <c r="N79" s="516">
        <f t="shared" si="37"/>
        <v>0</v>
      </c>
      <c r="O79" s="516">
        <f t="shared" si="38"/>
        <v>0</v>
      </c>
      <c r="P79" s="516">
        <f t="shared" si="39"/>
        <v>0</v>
      </c>
      <c r="Q79" s="516">
        <v>0</v>
      </c>
      <c r="R79" s="650">
        <f t="shared" si="40"/>
        <v>0</v>
      </c>
      <c r="S79" s="519"/>
      <c r="T79" s="511">
        <f>'ORÇAMENTO GERAL'!$J$55</f>
        <v>540.39</v>
      </c>
      <c r="U79" s="511">
        <f>'ORÇAMENTO GERAL'!$J$56</f>
        <v>14.63</v>
      </c>
      <c r="V79" s="511">
        <f>'ORÇAMENTO GERAL'!$J$57</f>
        <v>8.07</v>
      </c>
      <c r="W79" s="511">
        <f>'ORÇAMENTO GERAL'!$J$58</f>
        <v>3.54</v>
      </c>
      <c r="X79" s="511">
        <f>'ORÇAMENTO GERAL'!$J$59</f>
        <v>7.02</v>
      </c>
      <c r="Y79" s="511">
        <f>'ORÇAMENTO GERAL'!$J$60</f>
        <v>48.92</v>
      </c>
      <c r="Z79" s="511">
        <f>'ORÇAMENTO GERAL'!$J$61</f>
        <v>169.7</v>
      </c>
      <c r="AA79" s="511">
        <f>'ORÇAMENTO GERAL'!$J$62</f>
        <v>22.65</v>
      </c>
      <c r="AB79" s="511">
        <f>'ORÇAMENTO GERAL'!$J$63</f>
        <v>46.13</v>
      </c>
      <c r="AC79" s="511">
        <f>'ORÇAMENTO GERAL'!$J$64</f>
        <v>152.03</v>
      </c>
      <c r="AD79" s="520">
        <f t="shared" si="41"/>
        <v>0</v>
      </c>
    </row>
    <row r="80" spans="1:30" s="501" customFormat="1" ht="45" customHeight="1" hidden="1">
      <c r="A80" s="512">
        <v>5</v>
      </c>
      <c r="B80" s="513">
        <f t="shared" si="29"/>
        <v>0</v>
      </c>
      <c r="C80" s="521">
        <v>1</v>
      </c>
      <c r="D80" s="517"/>
      <c r="E80" s="516">
        <f t="shared" si="42"/>
        <v>0</v>
      </c>
      <c r="F80" s="516">
        <f t="shared" si="30"/>
        <v>1.46</v>
      </c>
      <c r="G80" s="516">
        <f t="shared" si="31"/>
        <v>1.56</v>
      </c>
      <c r="H80" s="516">
        <v>0.05</v>
      </c>
      <c r="I80" s="516">
        <f t="shared" si="32"/>
        <v>0</v>
      </c>
      <c r="J80" s="517">
        <f t="shared" si="33"/>
        <v>0</v>
      </c>
      <c r="K80" s="518">
        <f t="shared" si="34"/>
        <v>0</v>
      </c>
      <c r="L80" s="516">
        <f t="shared" si="35"/>
        <v>0</v>
      </c>
      <c r="M80" s="517">
        <f t="shared" si="36"/>
        <v>0</v>
      </c>
      <c r="N80" s="516">
        <f t="shared" si="37"/>
        <v>0</v>
      </c>
      <c r="O80" s="516">
        <f t="shared" si="38"/>
        <v>0</v>
      </c>
      <c r="P80" s="516">
        <f t="shared" si="39"/>
        <v>0</v>
      </c>
      <c r="Q80" s="516">
        <v>0</v>
      </c>
      <c r="R80" s="650">
        <f t="shared" si="40"/>
        <v>0</v>
      </c>
      <c r="S80" s="519"/>
      <c r="T80" s="511">
        <f>'ORÇAMENTO GERAL'!$J$55</f>
        <v>540.39</v>
      </c>
      <c r="U80" s="511">
        <f>'ORÇAMENTO GERAL'!$J$56</f>
        <v>14.63</v>
      </c>
      <c r="V80" s="511">
        <f>'ORÇAMENTO GERAL'!$J$57</f>
        <v>8.07</v>
      </c>
      <c r="W80" s="511">
        <f>'ORÇAMENTO GERAL'!$J$58</f>
        <v>3.54</v>
      </c>
      <c r="X80" s="511">
        <f>'ORÇAMENTO GERAL'!$J$59</f>
        <v>7.02</v>
      </c>
      <c r="Y80" s="511">
        <f>'ORÇAMENTO GERAL'!$J$60</f>
        <v>48.92</v>
      </c>
      <c r="Z80" s="511">
        <f>'ORÇAMENTO GERAL'!$J$61</f>
        <v>169.7</v>
      </c>
      <c r="AA80" s="511">
        <f>'ORÇAMENTO GERAL'!$J$62</f>
        <v>22.65</v>
      </c>
      <c r="AB80" s="511">
        <f>'ORÇAMENTO GERAL'!$J$63</f>
        <v>46.13</v>
      </c>
      <c r="AC80" s="511">
        <f>'ORÇAMENTO GERAL'!$J$64</f>
        <v>152.03</v>
      </c>
      <c r="AD80" s="520">
        <f t="shared" si="41"/>
        <v>0</v>
      </c>
    </row>
    <row r="81" spans="1:30" s="501" customFormat="1" ht="45" customHeight="1" hidden="1">
      <c r="A81" s="512">
        <v>6</v>
      </c>
      <c r="B81" s="513">
        <f t="shared" si="29"/>
        <v>0</v>
      </c>
      <c r="C81" s="521">
        <v>1</v>
      </c>
      <c r="D81" s="517"/>
      <c r="E81" s="516">
        <f t="shared" si="42"/>
        <v>0</v>
      </c>
      <c r="F81" s="516">
        <f t="shared" si="30"/>
        <v>1.46</v>
      </c>
      <c r="G81" s="516">
        <f t="shared" si="31"/>
        <v>1.56</v>
      </c>
      <c r="H81" s="516">
        <v>0.05</v>
      </c>
      <c r="I81" s="516">
        <f t="shared" si="32"/>
        <v>0</v>
      </c>
      <c r="J81" s="517">
        <f t="shared" si="33"/>
        <v>0</v>
      </c>
      <c r="K81" s="518">
        <f t="shared" si="34"/>
        <v>0</v>
      </c>
      <c r="L81" s="516">
        <f t="shared" si="35"/>
        <v>0</v>
      </c>
      <c r="M81" s="517">
        <f t="shared" si="36"/>
        <v>0</v>
      </c>
      <c r="N81" s="516">
        <f t="shared" si="37"/>
        <v>0</v>
      </c>
      <c r="O81" s="516">
        <f t="shared" si="38"/>
        <v>0</v>
      </c>
      <c r="P81" s="516">
        <f t="shared" si="39"/>
        <v>0</v>
      </c>
      <c r="Q81" s="516">
        <v>0</v>
      </c>
      <c r="R81" s="650">
        <f t="shared" si="40"/>
        <v>0</v>
      </c>
      <c r="S81" s="519"/>
      <c r="T81" s="511">
        <f>'ORÇAMENTO GERAL'!$J$55</f>
        <v>540.39</v>
      </c>
      <c r="U81" s="511">
        <f>'ORÇAMENTO GERAL'!$J$56</f>
        <v>14.63</v>
      </c>
      <c r="V81" s="511">
        <f>'ORÇAMENTO GERAL'!$J$57</f>
        <v>8.07</v>
      </c>
      <c r="W81" s="511">
        <f>'ORÇAMENTO GERAL'!$J$58</f>
        <v>3.54</v>
      </c>
      <c r="X81" s="511">
        <f>'ORÇAMENTO GERAL'!$J$59</f>
        <v>7.02</v>
      </c>
      <c r="Y81" s="511">
        <f>'ORÇAMENTO GERAL'!$J$60</f>
        <v>48.92</v>
      </c>
      <c r="Z81" s="511">
        <f>'ORÇAMENTO GERAL'!$J$61</f>
        <v>169.7</v>
      </c>
      <c r="AA81" s="511">
        <f>'ORÇAMENTO GERAL'!$J$62</f>
        <v>22.65</v>
      </c>
      <c r="AB81" s="511">
        <f>'ORÇAMENTO GERAL'!$J$63</f>
        <v>46.13</v>
      </c>
      <c r="AC81" s="511">
        <f>'ORÇAMENTO GERAL'!$J$64</f>
        <v>152.03</v>
      </c>
      <c r="AD81" s="520">
        <f t="shared" si="41"/>
        <v>0</v>
      </c>
    </row>
    <row r="82" spans="1:30" s="501" customFormat="1" ht="45" customHeight="1" hidden="1">
      <c r="A82" s="512">
        <v>7</v>
      </c>
      <c r="B82" s="513">
        <f t="shared" si="29"/>
        <v>0</v>
      </c>
      <c r="C82" s="521">
        <v>1</v>
      </c>
      <c r="D82" s="517"/>
      <c r="E82" s="516">
        <f t="shared" si="42"/>
        <v>0</v>
      </c>
      <c r="F82" s="516">
        <f t="shared" si="30"/>
        <v>1.46</v>
      </c>
      <c r="G82" s="516">
        <f t="shared" si="31"/>
        <v>1.56</v>
      </c>
      <c r="H82" s="516">
        <v>0.05</v>
      </c>
      <c r="I82" s="516">
        <f t="shared" si="32"/>
        <v>0</v>
      </c>
      <c r="J82" s="517">
        <f t="shared" si="33"/>
        <v>0</v>
      </c>
      <c r="K82" s="518">
        <f t="shared" si="34"/>
        <v>0</v>
      </c>
      <c r="L82" s="516">
        <f t="shared" si="35"/>
        <v>0</v>
      </c>
      <c r="M82" s="517">
        <f t="shared" si="36"/>
        <v>0</v>
      </c>
      <c r="N82" s="516">
        <f t="shared" si="37"/>
        <v>0</v>
      </c>
      <c r="O82" s="516">
        <f t="shared" si="38"/>
        <v>0</v>
      </c>
      <c r="P82" s="516">
        <f t="shared" si="39"/>
        <v>0</v>
      </c>
      <c r="Q82" s="516">
        <v>0</v>
      </c>
      <c r="R82" s="650">
        <f t="shared" si="40"/>
        <v>0</v>
      </c>
      <c r="S82" s="519"/>
      <c r="T82" s="511">
        <f>'ORÇAMENTO GERAL'!$J$55</f>
        <v>540.39</v>
      </c>
      <c r="U82" s="511">
        <f>'ORÇAMENTO GERAL'!$J$56</f>
        <v>14.63</v>
      </c>
      <c r="V82" s="511">
        <f>'ORÇAMENTO GERAL'!$J$57</f>
        <v>8.07</v>
      </c>
      <c r="W82" s="511">
        <f>'ORÇAMENTO GERAL'!$J$58</f>
        <v>3.54</v>
      </c>
      <c r="X82" s="511">
        <f>'ORÇAMENTO GERAL'!$J$59</f>
        <v>7.02</v>
      </c>
      <c r="Y82" s="511">
        <f>'ORÇAMENTO GERAL'!$J$60</f>
        <v>48.92</v>
      </c>
      <c r="Z82" s="511">
        <f>'ORÇAMENTO GERAL'!$J$61</f>
        <v>169.7</v>
      </c>
      <c r="AA82" s="511">
        <f>'ORÇAMENTO GERAL'!$J$62</f>
        <v>22.65</v>
      </c>
      <c r="AB82" s="511">
        <f>'ORÇAMENTO GERAL'!$J$63</f>
        <v>46.13</v>
      </c>
      <c r="AC82" s="511">
        <f>'ORÇAMENTO GERAL'!$J$64</f>
        <v>152.03</v>
      </c>
      <c r="AD82" s="520">
        <f t="shared" si="41"/>
        <v>0</v>
      </c>
    </row>
    <row r="83" spans="1:30" s="501" customFormat="1" ht="45" customHeight="1" hidden="1">
      <c r="A83" s="512">
        <v>8</v>
      </c>
      <c r="B83" s="513">
        <f t="shared" si="29"/>
        <v>0</v>
      </c>
      <c r="C83" s="521">
        <v>1</v>
      </c>
      <c r="D83" s="517"/>
      <c r="E83" s="516">
        <f t="shared" si="42"/>
        <v>0</v>
      </c>
      <c r="F83" s="516">
        <f t="shared" si="30"/>
        <v>1.46</v>
      </c>
      <c r="G83" s="516">
        <f t="shared" si="31"/>
        <v>1.56</v>
      </c>
      <c r="H83" s="516">
        <v>0.05</v>
      </c>
      <c r="I83" s="516">
        <f t="shared" si="32"/>
        <v>0</v>
      </c>
      <c r="J83" s="517">
        <f t="shared" si="33"/>
        <v>0</v>
      </c>
      <c r="K83" s="518">
        <f t="shared" si="34"/>
        <v>0</v>
      </c>
      <c r="L83" s="516">
        <f t="shared" si="35"/>
        <v>0</v>
      </c>
      <c r="M83" s="517">
        <f t="shared" si="36"/>
        <v>0</v>
      </c>
      <c r="N83" s="516">
        <f t="shared" si="37"/>
        <v>0</v>
      </c>
      <c r="O83" s="516">
        <f t="shared" si="38"/>
        <v>0</v>
      </c>
      <c r="P83" s="516">
        <f t="shared" si="39"/>
        <v>0</v>
      </c>
      <c r="Q83" s="516">
        <v>0</v>
      </c>
      <c r="R83" s="650">
        <f t="shared" si="40"/>
        <v>0</v>
      </c>
      <c r="S83" s="519"/>
      <c r="T83" s="511">
        <f>'ORÇAMENTO GERAL'!$J$55</f>
        <v>540.39</v>
      </c>
      <c r="U83" s="511">
        <f>'ORÇAMENTO GERAL'!$J$56</f>
        <v>14.63</v>
      </c>
      <c r="V83" s="511">
        <f>'ORÇAMENTO GERAL'!$J$57</f>
        <v>8.07</v>
      </c>
      <c r="W83" s="511">
        <f>'ORÇAMENTO GERAL'!$J$58</f>
        <v>3.54</v>
      </c>
      <c r="X83" s="511">
        <f>'ORÇAMENTO GERAL'!$J$59</f>
        <v>7.02</v>
      </c>
      <c r="Y83" s="511">
        <f>'ORÇAMENTO GERAL'!$J$60</f>
        <v>48.92</v>
      </c>
      <c r="Z83" s="511">
        <f>'ORÇAMENTO GERAL'!$J$61</f>
        <v>169.7</v>
      </c>
      <c r="AA83" s="511">
        <f>'ORÇAMENTO GERAL'!$J$62</f>
        <v>22.65</v>
      </c>
      <c r="AB83" s="511">
        <f>'ORÇAMENTO GERAL'!$J$63</f>
        <v>46.13</v>
      </c>
      <c r="AC83" s="511">
        <f>'ORÇAMENTO GERAL'!$J$64</f>
        <v>152.03</v>
      </c>
      <c r="AD83" s="520">
        <f t="shared" si="41"/>
        <v>0</v>
      </c>
    </row>
    <row r="84" spans="1:30" s="501" customFormat="1" ht="45" customHeight="1" hidden="1">
      <c r="A84" s="512">
        <v>9</v>
      </c>
      <c r="B84" s="513">
        <f t="shared" si="29"/>
        <v>0</v>
      </c>
      <c r="C84" s="521">
        <v>1</v>
      </c>
      <c r="D84" s="517"/>
      <c r="E84" s="516">
        <f t="shared" si="42"/>
        <v>0</v>
      </c>
      <c r="F84" s="516">
        <f t="shared" si="30"/>
        <v>1.46</v>
      </c>
      <c r="G84" s="516">
        <f t="shared" si="31"/>
        <v>1.56</v>
      </c>
      <c r="H84" s="516">
        <v>0.05</v>
      </c>
      <c r="I84" s="516">
        <f t="shared" si="32"/>
        <v>0</v>
      </c>
      <c r="J84" s="517">
        <f t="shared" si="33"/>
        <v>0</v>
      </c>
      <c r="K84" s="518">
        <f t="shared" si="34"/>
        <v>0</v>
      </c>
      <c r="L84" s="516">
        <f t="shared" si="35"/>
        <v>0</v>
      </c>
      <c r="M84" s="517">
        <f t="shared" si="36"/>
        <v>0</v>
      </c>
      <c r="N84" s="516">
        <f t="shared" si="37"/>
        <v>0</v>
      </c>
      <c r="O84" s="516">
        <f t="shared" si="38"/>
        <v>0</v>
      </c>
      <c r="P84" s="516">
        <f t="shared" si="39"/>
        <v>0</v>
      </c>
      <c r="Q84" s="516">
        <v>0</v>
      </c>
      <c r="R84" s="650">
        <f t="shared" si="40"/>
        <v>0</v>
      </c>
      <c r="S84" s="519"/>
      <c r="T84" s="511">
        <f>'ORÇAMENTO GERAL'!$J$55</f>
        <v>540.39</v>
      </c>
      <c r="U84" s="511">
        <f>'ORÇAMENTO GERAL'!$J$56</f>
        <v>14.63</v>
      </c>
      <c r="V84" s="511">
        <f>'ORÇAMENTO GERAL'!$J$57</f>
        <v>8.07</v>
      </c>
      <c r="W84" s="511">
        <f>'ORÇAMENTO GERAL'!$J$58</f>
        <v>3.54</v>
      </c>
      <c r="X84" s="511">
        <f>'ORÇAMENTO GERAL'!$J$59</f>
        <v>7.02</v>
      </c>
      <c r="Y84" s="511">
        <f>'ORÇAMENTO GERAL'!$J$60</f>
        <v>48.92</v>
      </c>
      <c r="Z84" s="511">
        <f>'ORÇAMENTO GERAL'!$J$61</f>
        <v>169.7</v>
      </c>
      <c r="AA84" s="511">
        <f>'ORÇAMENTO GERAL'!$J$62</f>
        <v>22.65</v>
      </c>
      <c r="AB84" s="511">
        <f>'ORÇAMENTO GERAL'!$J$63</f>
        <v>46.13</v>
      </c>
      <c r="AC84" s="511">
        <f>'ORÇAMENTO GERAL'!$J$64</f>
        <v>152.03</v>
      </c>
      <c r="AD84" s="520">
        <f t="shared" si="41"/>
        <v>0</v>
      </c>
    </row>
    <row r="85" spans="1:30" s="501" customFormat="1" ht="45" customHeight="1" hidden="1">
      <c r="A85" s="512">
        <v>10</v>
      </c>
      <c r="B85" s="513">
        <f t="shared" si="29"/>
        <v>0</v>
      </c>
      <c r="C85" s="521">
        <v>1</v>
      </c>
      <c r="D85" s="517"/>
      <c r="E85" s="516">
        <f t="shared" si="42"/>
        <v>0</v>
      </c>
      <c r="F85" s="516">
        <f t="shared" si="30"/>
        <v>1.46</v>
      </c>
      <c r="G85" s="516">
        <f t="shared" si="31"/>
        <v>1.56</v>
      </c>
      <c r="H85" s="516">
        <v>0.05</v>
      </c>
      <c r="I85" s="516">
        <f t="shared" si="32"/>
        <v>0</v>
      </c>
      <c r="J85" s="517">
        <f t="shared" si="33"/>
        <v>0</v>
      </c>
      <c r="K85" s="518">
        <f t="shared" si="34"/>
        <v>0</v>
      </c>
      <c r="L85" s="516">
        <f t="shared" si="35"/>
        <v>0</v>
      </c>
      <c r="M85" s="517">
        <f t="shared" si="36"/>
        <v>0</v>
      </c>
      <c r="N85" s="516">
        <f t="shared" si="37"/>
        <v>0</v>
      </c>
      <c r="O85" s="516">
        <f t="shared" si="38"/>
        <v>0</v>
      </c>
      <c r="P85" s="516">
        <f t="shared" si="39"/>
        <v>0</v>
      </c>
      <c r="Q85" s="516">
        <v>0</v>
      </c>
      <c r="R85" s="650">
        <f t="shared" si="40"/>
        <v>0</v>
      </c>
      <c r="S85" s="519"/>
      <c r="T85" s="511">
        <f>'ORÇAMENTO GERAL'!$J$55</f>
        <v>540.39</v>
      </c>
      <c r="U85" s="511">
        <f>'ORÇAMENTO GERAL'!$J$56</f>
        <v>14.63</v>
      </c>
      <c r="V85" s="511">
        <f>'ORÇAMENTO GERAL'!$J$57</f>
        <v>8.07</v>
      </c>
      <c r="W85" s="511">
        <f>'ORÇAMENTO GERAL'!$J$58</f>
        <v>3.54</v>
      </c>
      <c r="X85" s="511">
        <f>'ORÇAMENTO GERAL'!$J$59</f>
        <v>7.02</v>
      </c>
      <c r="Y85" s="511">
        <f>'ORÇAMENTO GERAL'!$J$60</f>
        <v>48.92</v>
      </c>
      <c r="Z85" s="511">
        <f>'ORÇAMENTO GERAL'!$J$61</f>
        <v>169.7</v>
      </c>
      <c r="AA85" s="511">
        <f>'ORÇAMENTO GERAL'!$J$62</f>
        <v>22.65</v>
      </c>
      <c r="AB85" s="511">
        <f>'ORÇAMENTO GERAL'!$J$63</f>
        <v>46.13</v>
      </c>
      <c r="AC85" s="511">
        <f>'ORÇAMENTO GERAL'!$J$64</f>
        <v>152.03</v>
      </c>
      <c r="AD85" s="520">
        <f t="shared" si="41"/>
        <v>0</v>
      </c>
    </row>
    <row r="86" spans="1:30" s="501" customFormat="1" ht="45" customHeight="1" hidden="1">
      <c r="A86" s="512">
        <v>11</v>
      </c>
      <c r="B86" s="513">
        <f t="shared" si="29"/>
        <v>0</v>
      </c>
      <c r="C86" s="521">
        <v>1</v>
      </c>
      <c r="D86" s="517"/>
      <c r="E86" s="516">
        <f t="shared" si="42"/>
        <v>0</v>
      </c>
      <c r="F86" s="516">
        <f t="shared" si="30"/>
        <v>1.46</v>
      </c>
      <c r="G86" s="516">
        <f t="shared" si="31"/>
        <v>1.56</v>
      </c>
      <c r="H86" s="516">
        <v>0.05</v>
      </c>
      <c r="I86" s="516">
        <f t="shared" si="32"/>
        <v>0</v>
      </c>
      <c r="J86" s="517">
        <f t="shared" si="33"/>
        <v>0</v>
      </c>
      <c r="K86" s="518">
        <f t="shared" si="34"/>
        <v>0</v>
      </c>
      <c r="L86" s="516">
        <f t="shared" si="35"/>
        <v>0</v>
      </c>
      <c r="M86" s="517">
        <f t="shared" si="36"/>
        <v>0</v>
      </c>
      <c r="N86" s="516">
        <f t="shared" si="37"/>
        <v>0</v>
      </c>
      <c r="O86" s="516">
        <f t="shared" si="38"/>
        <v>0</v>
      </c>
      <c r="P86" s="516">
        <f t="shared" si="39"/>
        <v>0</v>
      </c>
      <c r="Q86" s="516">
        <v>0</v>
      </c>
      <c r="R86" s="650">
        <f t="shared" si="40"/>
        <v>0</v>
      </c>
      <c r="S86" s="519"/>
      <c r="T86" s="511">
        <f>'ORÇAMENTO GERAL'!$J$55</f>
        <v>540.39</v>
      </c>
      <c r="U86" s="511">
        <f>'ORÇAMENTO GERAL'!$J$56</f>
        <v>14.63</v>
      </c>
      <c r="V86" s="511">
        <f>'ORÇAMENTO GERAL'!$J$57</f>
        <v>8.07</v>
      </c>
      <c r="W86" s="511">
        <f>'ORÇAMENTO GERAL'!$J$58</f>
        <v>3.54</v>
      </c>
      <c r="X86" s="511">
        <f>'ORÇAMENTO GERAL'!$J$59</f>
        <v>7.02</v>
      </c>
      <c r="Y86" s="511">
        <f>'ORÇAMENTO GERAL'!$J$60</f>
        <v>48.92</v>
      </c>
      <c r="Z86" s="511">
        <f>'ORÇAMENTO GERAL'!$J$61</f>
        <v>169.7</v>
      </c>
      <c r="AA86" s="511">
        <f>'ORÇAMENTO GERAL'!$J$62</f>
        <v>22.65</v>
      </c>
      <c r="AB86" s="511">
        <f>'ORÇAMENTO GERAL'!$J$63</f>
        <v>46.13</v>
      </c>
      <c r="AC86" s="511">
        <f>'ORÇAMENTO GERAL'!$J$64</f>
        <v>152.03</v>
      </c>
      <c r="AD86" s="520">
        <f t="shared" si="41"/>
        <v>0</v>
      </c>
    </row>
    <row r="87" spans="1:30" s="501" customFormat="1" ht="45" customHeight="1" hidden="1">
      <c r="A87" s="512">
        <v>12</v>
      </c>
      <c r="B87" s="513">
        <f t="shared" si="29"/>
        <v>0</v>
      </c>
      <c r="C87" s="521">
        <v>1</v>
      </c>
      <c r="D87" s="517"/>
      <c r="E87" s="516">
        <f t="shared" si="42"/>
        <v>0</v>
      </c>
      <c r="F87" s="516">
        <f t="shared" si="30"/>
        <v>1.46</v>
      </c>
      <c r="G87" s="516">
        <f t="shared" si="31"/>
        <v>1.56</v>
      </c>
      <c r="H87" s="516">
        <v>0.05</v>
      </c>
      <c r="I87" s="516">
        <f t="shared" si="32"/>
        <v>0</v>
      </c>
      <c r="J87" s="517">
        <f t="shared" si="33"/>
        <v>0</v>
      </c>
      <c r="K87" s="518">
        <f t="shared" si="34"/>
        <v>0</v>
      </c>
      <c r="L87" s="516">
        <f t="shared" si="35"/>
        <v>0</v>
      </c>
      <c r="M87" s="517">
        <f t="shared" si="36"/>
        <v>0</v>
      </c>
      <c r="N87" s="516">
        <f t="shared" si="37"/>
        <v>0</v>
      </c>
      <c r="O87" s="516">
        <f t="shared" si="38"/>
        <v>0</v>
      </c>
      <c r="P87" s="516">
        <f t="shared" si="39"/>
        <v>0</v>
      </c>
      <c r="Q87" s="516">
        <v>0</v>
      </c>
      <c r="R87" s="650">
        <f t="shared" si="40"/>
        <v>0</v>
      </c>
      <c r="S87" s="519"/>
      <c r="T87" s="511">
        <f>'ORÇAMENTO GERAL'!$J$55</f>
        <v>540.39</v>
      </c>
      <c r="U87" s="511">
        <f>'ORÇAMENTO GERAL'!$J$56</f>
        <v>14.63</v>
      </c>
      <c r="V87" s="511">
        <f>'ORÇAMENTO GERAL'!$J$57</f>
        <v>8.07</v>
      </c>
      <c r="W87" s="511">
        <f>'ORÇAMENTO GERAL'!$J$58</f>
        <v>3.54</v>
      </c>
      <c r="X87" s="511">
        <f>'ORÇAMENTO GERAL'!$J$59</f>
        <v>7.02</v>
      </c>
      <c r="Y87" s="511">
        <f>'ORÇAMENTO GERAL'!$J$60</f>
        <v>48.92</v>
      </c>
      <c r="Z87" s="511">
        <f>'ORÇAMENTO GERAL'!$J$61</f>
        <v>169.7</v>
      </c>
      <c r="AA87" s="511">
        <f>'ORÇAMENTO GERAL'!$J$62</f>
        <v>22.65</v>
      </c>
      <c r="AB87" s="511">
        <f>'ORÇAMENTO GERAL'!$J$63</f>
        <v>46.13</v>
      </c>
      <c r="AC87" s="511">
        <f>'ORÇAMENTO GERAL'!$J$64</f>
        <v>152.03</v>
      </c>
      <c r="AD87" s="520">
        <f t="shared" si="41"/>
        <v>0</v>
      </c>
    </row>
    <row r="88" spans="1:30" s="501" customFormat="1" ht="45" customHeight="1" hidden="1">
      <c r="A88" s="512">
        <v>13</v>
      </c>
      <c r="B88" s="513">
        <f t="shared" si="29"/>
        <v>0</v>
      </c>
      <c r="C88" s="521">
        <v>1</v>
      </c>
      <c r="D88" s="517"/>
      <c r="E88" s="516">
        <f t="shared" si="42"/>
        <v>0</v>
      </c>
      <c r="F88" s="516">
        <f t="shared" si="30"/>
        <v>1.46</v>
      </c>
      <c r="G88" s="516">
        <f t="shared" si="31"/>
        <v>1.56</v>
      </c>
      <c r="H88" s="516">
        <v>0.05</v>
      </c>
      <c r="I88" s="516">
        <f t="shared" si="32"/>
        <v>0</v>
      </c>
      <c r="J88" s="517">
        <f t="shared" si="33"/>
        <v>0</v>
      </c>
      <c r="K88" s="518">
        <f t="shared" si="34"/>
        <v>0</v>
      </c>
      <c r="L88" s="516">
        <f t="shared" si="35"/>
        <v>0</v>
      </c>
      <c r="M88" s="517">
        <f t="shared" si="36"/>
        <v>0</v>
      </c>
      <c r="N88" s="516">
        <f t="shared" si="37"/>
        <v>0</v>
      </c>
      <c r="O88" s="516">
        <f t="shared" si="38"/>
        <v>0</v>
      </c>
      <c r="P88" s="516">
        <f t="shared" si="39"/>
        <v>0</v>
      </c>
      <c r="Q88" s="516">
        <v>0</v>
      </c>
      <c r="R88" s="650">
        <f t="shared" si="40"/>
        <v>0</v>
      </c>
      <c r="S88" s="519"/>
      <c r="T88" s="511">
        <f>'ORÇAMENTO GERAL'!$J$55</f>
        <v>540.39</v>
      </c>
      <c r="U88" s="511">
        <f>'ORÇAMENTO GERAL'!$J$56</f>
        <v>14.63</v>
      </c>
      <c r="V88" s="511">
        <f>'ORÇAMENTO GERAL'!$J$57</f>
        <v>8.07</v>
      </c>
      <c r="W88" s="511">
        <f>'ORÇAMENTO GERAL'!$J$58</f>
        <v>3.54</v>
      </c>
      <c r="X88" s="511">
        <f>'ORÇAMENTO GERAL'!$J$59</f>
        <v>7.02</v>
      </c>
      <c r="Y88" s="511">
        <f>'ORÇAMENTO GERAL'!$J$60</f>
        <v>48.92</v>
      </c>
      <c r="Z88" s="511">
        <f>'ORÇAMENTO GERAL'!$J$61</f>
        <v>169.7</v>
      </c>
      <c r="AA88" s="511">
        <f>'ORÇAMENTO GERAL'!$J$62</f>
        <v>22.65</v>
      </c>
      <c r="AB88" s="511">
        <f>'ORÇAMENTO GERAL'!$J$63</f>
        <v>46.13</v>
      </c>
      <c r="AC88" s="511">
        <f>'ORÇAMENTO GERAL'!$J$64</f>
        <v>152.03</v>
      </c>
      <c r="AD88" s="520">
        <f t="shared" si="41"/>
        <v>0</v>
      </c>
    </row>
    <row r="89" spans="1:30" s="501" customFormat="1" ht="45" customHeight="1" hidden="1">
      <c r="A89" s="512">
        <v>14</v>
      </c>
      <c r="B89" s="513">
        <f t="shared" si="29"/>
        <v>0</v>
      </c>
      <c r="C89" s="521">
        <v>1</v>
      </c>
      <c r="D89" s="517"/>
      <c r="E89" s="516">
        <f t="shared" si="42"/>
        <v>0</v>
      </c>
      <c r="F89" s="516">
        <f t="shared" si="30"/>
        <v>1.46</v>
      </c>
      <c r="G89" s="516">
        <f t="shared" si="31"/>
        <v>1.56</v>
      </c>
      <c r="H89" s="516">
        <v>0.05</v>
      </c>
      <c r="I89" s="516">
        <f t="shared" si="32"/>
        <v>0</v>
      </c>
      <c r="J89" s="517">
        <f t="shared" si="33"/>
        <v>0</v>
      </c>
      <c r="K89" s="518">
        <f t="shared" si="34"/>
        <v>0</v>
      </c>
      <c r="L89" s="516">
        <f t="shared" si="35"/>
        <v>0</v>
      </c>
      <c r="M89" s="517">
        <f t="shared" si="36"/>
        <v>0</v>
      </c>
      <c r="N89" s="516">
        <f t="shared" si="37"/>
        <v>0</v>
      </c>
      <c r="O89" s="516">
        <f t="shared" si="38"/>
        <v>0</v>
      </c>
      <c r="P89" s="516">
        <f t="shared" si="39"/>
        <v>0</v>
      </c>
      <c r="Q89" s="516">
        <v>0</v>
      </c>
      <c r="R89" s="650">
        <f t="shared" si="40"/>
        <v>0</v>
      </c>
      <c r="S89" s="519"/>
      <c r="T89" s="511">
        <f>'ORÇAMENTO GERAL'!$J$55</f>
        <v>540.39</v>
      </c>
      <c r="U89" s="511">
        <f>'ORÇAMENTO GERAL'!$J$56</f>
        <v>14.63</v>
      </c>
      <c r="V89" s="511">
        <f>'ORÇAMENTO GERAL'!$J$57</f>
        <v>8.07</v>
      </c>
      <c r="W89" s="511">
        <f>'ORÇAMENTO GERAL'!$J$58</f>
        <v>3.54</v>
      </c>
      <c r="X89" s="511">
        <f>'ORÇAMENTO GERAL'!$J$59</f>
        <v>7.02</v>
      </c>
      <c r="Y89" s="511">
        <f>'ORÇAMENTO GERAL'!$J$60</f>
        <v>48.92</v>
      </c>
      <c r="Z89" s="511">
        <f>'ORÇAMENTO GERAL'!$J$61</f>
        <v>169.7</v>
      </c>
      <c r="AA89" s="511">
        <f>'ORÇAMENTO GERAL'!$J$62</f>
        <v>22.65</v>
      </c>
      <c r="AB89" s="511">
        <f>'ORÇAMENTO GERAL'!$J$63</f>
        <v>46.13</v>
      </c>
      <c r="AC89" s="511">
        <f>'ORÇAMENTO GERAL'!$J$64</f>
        <v>152.03</v>
      </c>
      <c r="AD89" s="520">
        <f t="shared" si="41"/>
        <v>0</v>
      </c>
    </row>
    <row r="90" spans="1:30" s="501" customFormat="1" ht="45" customHeight="1" hidden="1">
      <c r="A90" s="512">
        <v>15</v>
      </c>
      <c r="B90" s="513">
        <f t="shared" si="29"/>
        <v>0</v>
      </c>
      <c r="C90" s="521">
        <v>1</v>
      </c>
      <c r="D90" s="517"/>
      <c r="E90" s="516">
        <f t="shared" si="42"/>
        <v>0</v>
      </c>
      <c r="F90" s="516">
        <f t="shared" si="30"/>
        <v>1.46</v>
      </c>
      <c r="G90" s="516">
        <f t="shared" si="31"/>
        <v>1.56</v>
      </c>
      <c r="H90" s="516">
        <v>0.05</v>
      </c>
      <c r="I90" s="516">
        <f t="shared" si="32"/>
        <v>0</v>
      </c>
      <c r="J90" s="517">
        <f t="shared" si="33"/>
        <v>0</v>
      </c>
      <c r="K90" s="518">
        <f t="shared" si="34"/>
        <v>0</v>
      </c>
      <c r="L90" s="516">
        <f t="shared" si="35"/>
        <v>0</v>
      </c>
      <c r="M90" s="517">
        <f t="shared" si="36"/>
        <v>0</v>
      </c>
      <c r="N90" s="516">
        <f t="shared" si="37"/>
        <v>0</v>
      </c>
      <c r="O90" s="516">
        <f t="shared" si="38"/>
        <v>0</v>
      </c>
      <c r="P90" s="516">
        <f t="shared" si="39"/>
        <v>0</v>
      </c>
      <c r="Q90" s="516">
        <v>0</v>
      </c>
      <c r="R90" s="650">
        <f t="shared" si="40"/>
        <v>0</v>
      </c>
      <c r="S90" s="519"/>
      <c r="T90" s="511">
        <f>'ORÇAMENTO GERAL'!$J$55</f>
        <v>540.39</v>
      </c>
      <c r="U90" s="511">
        <f>'ORÇAMENTO GERAL'!$J$56</f>
        <v>14.63</v>
      </c>
      <c r="V90" s="511">
        <f>'ORÇAMENTO GERAL'!$J$57</f>
        <v>8.07</v>
      </c>
      <c r="W90" s="511">
        <f>'ORÇAMENTO GERAL'!$J$58</f>
        <v>3.54</v>
      </c>
      <c r="X90" s="511">
        <f>'ORÇAMENTO GERAL'!$J$59</f>
        <v>7.02</v>
      </c>
      <c r="Y90" s="511">
        <f>'ORÇAMENTO GERAL'!$J$60</f>
        <v>48.92</v>
      </c>
      <c r="Z90" s="511">
        <f>'ORÇAMENTO GERAL'!$J$61</f>
        <v>169.7</v>
      </c>
      <c r="AA90" s="511">
        <f>'ORÇAMENTO GERAL'!$J$62</f>
        <v>22.65</v>
      </c>
      <c r="AB90" s="511">
        <f>'ORÇAMENTO GERAL'!$J$63</f>
        <v>46.13</v>
      </c>
      <c r="AC90" s="511">
        <f>'ORÇAMENTO GERAL'!$J$64</f>
        <v>152.03</v>
      </c>
      <c r="AD90" s="520">
        <f t="shared" si="41"/>
        <v>0</v>
      </c>
    </row>
    <row r="91" spans="1:30" s="501" customFormat="1" ht="45" customHeight="1" hidden="1">
      <c r="A91" s="512">
        <v>16</v>
      </c>
      <c r="B91" s="513">
        <f t="shared" si="29"/>
        <v>0</v>
      </c>
      <c r="C91" s="521">
        <v>1</v>
      </c>
      <c r="D91" s="517"/>
      <c r="E91" s="516">
        <f t="shared" si="42"/>
        <v>0</v>
      </c>
      <c r="F91" s="516">
        <f t="shared" si="30"/>
        <v>1.46</v>
      </c>
      <c r="G91" s="516">
        <f t="shared" si="31"/>
        <v>1.56</v>
      </c>
      <c r="H91" s="516">
        <v>0.05</v>
      </c>
      <c r="I91" s="516">
        <f t="shared" si="32"/>
        <v>0</v>
      </c>
      <c r="J91" s="517">
        <f t="shared" si="33"/>
        <v>0</v>
      </c>
      <c r="K91" s="518">
        <f t="shared" si="34"/>
        <v>0</v>
      </c>
      <c r="L91" s="516">
        <f t="shared" si="35"/>
        <v>0</v>
      </c>
      <c r="M91" s="517">
        <f t="shared" si="36"/>
        <v>0</v>
      </c>
      <c r="N91" s="516">
        <f t="shared" si="37"/>
        <v>0</v>
      </c>
      <c r="O91" s="516">
        <f t="shared" si="38"/>
        <v>0</v>
      </c>
      <c r="P91" s="516">
        <f t="shared" si="39"/>
        <v>0</v>
      </c>
      <c r="Q91" s="516">
        <v>0</v>
      </c>
      <c r="R91" s="650">
        <f t="shared" si="40"/>
        <v>0</v>
      </c>
      <c r="S91" s="519"/>
      <c r="T91" s="511">
        <f>'ORÇAMENTO GERAL'!$J$55</f>
        <v>540.39</v>
      </c>
      <c r="U91" s="511">
        <f>'ORÇAMENTO GERAL'!$J$56</f>
        <v>14.63</v>
      </c>
      <c r="V91" s="511">
        <f>'ORÇAMENTO GERAL'!$J$57</f>
        <v>8.07</v>
      </c>
      <c r="W91" s="511">
        <f>'ORÇAMENTO GERAL'!$J$58</f>
        <v>3.54</v>
      </c>
      <c r="X91" s="511">
        <f>'ORÇAMENTO GERAL'!$J$59</f>
        <v>7.02</v>
      </c>
      <c r="Y91" s="511">
        <f>'ORÇAMENTO GERAL'!$J$60</f>
        <v>48.92</v>
      </c>
      <c r="Z91" s="511">
        <f>'ORÇAMENTO GERAL'!$J$61</f>
        <v>169.7</v>
      </c>
      <c r="AA91" s="511">
        <f>'ORÇAMENTO GERAL'!$J$62</f>
        <v>22.65</v>
      </c>
      <c r="AB91" s="511">
        <f>'ORÇAMENTO GERAL'!$J$63</f>
        <v>46.13</v>
      </c>
      <c r="AC91" s="511">
        <f>'ORÇAMENTO GERAL'!$J$64</f>
        <v>152.03</v>
      </c>
      <c r="AD91" s="520">
        <f t="shared" si="41"/>
        <v>0</v>
      </c>
    </row>
    <row r="92" spans="1:30" s="501" customFormat="1" ht="45" customHeight="1" hidden="1">
      <c r="A92" s="512">
        <v>17</v>
      </c>
      <c r="B92" s="513">
        <f t="shared" si="29"/>
        <v>0</v>
      </c>
      <c r="C92" s="521">
        <v>1</v>
      </c>
      <c r="D92" s="517"/>
      <c r="E92" s="516">
        <f t="shared" si="42"/>
        <v>0</v>
      </c>
      <c r="F92" s="516">
        <f t="shared" si="30"/>
        <v>1.46</v>
      </c>
      <c r="G92" s="516">
        <f t="shared" si="31"/>
        <v>1.56</v>
      </c>
      <c r="H92" s="516">
        <v>0.05</v>
      </c>
      <c r="I92" s="516">
        <f t="shared" si="32"/>
        <v>0</v>
      </c>
      <c r="J92" s="517">
        <f t="shared" si="33"/>
        <v>0</v>
      </c>
      <c r="K92" s="518">
        <f t="shared" si="34"/>
        <v>0</v>
      </c>
      <c r="L92" s="516">
        <f t="shared" si="35"/>
        <v>0</v>
      </c>
      <c r="M92" s="517">
        <f t="shared" si="36"/>
        <v>0</v>
      </c>
      <c r="N92" s="516">
        <f t="shared" si="37"/>
        <v>0</v>
      </c>
      <c r="O92" s="516">
        <f t="shared" si="38"/>
        <v>0</v>
      </c>
      <c r="P92" s="516">
        <f t="shared" si="39"/>
        <v>0</v>
      </c>
      <c r="Q92" s="516">
        <v>0</v>
      </c>
      <c r="R92" s="650">
        <f t="shared" si="40"/>
        <v>0</v>
      </c>
      <c r="S92" s="519"/>
      <c r="T92" s="511">
        <f>'ORÇAMENTO GERAL'!$J$55</f>
        <v>540.39</v>
      </c>
      <c r="U92" s="511">
        <f>'ORÇAMENTO GERAL'!$J$56</f>
        <v>14.63</v>
      </c>
      <c r="V92" s="511">
        <f>'ORÇAMENTO GERAL'!$J$57</f>
        <v>8.07</v>
      </c>
      <c r="W92" s="511">
        <f>'ORÇAMENTO GERAL'!$J$58</f>
        <v>3.54</v>
      </c>
      <c r="X92" s="511">
        <f>'ORÇAMENTO GERAL'!$J$59</f>
        <v>7.02</v>
      </c>
      <c r="Y92" s="511">
        <f>'ORÇAMENTO GERAL'!$J$60</f>
        <v>48.92</v>
      </c>
      <c r="Z92" s="511">
        <f>'ORÇAMENTO GERAL'!$J$61</f>
        <v>169.7</v>
      </c>
      <c r="AA92" s="511">
        <f>'ORÇAMENTO GERAL'!$J$62</f>
        <v>22.65</v>
      </c>
      <c r="AB92" s="511">
        <f>'ORÇAMENTO GERAL'!$J$63</f>
        <v>46.13</v>
      </c>
      <c r="AC92" s="511">
        <f>'ORÇAMENTO GERAL'!$J$64</f>
        <v>152.03</v>
      </c>
      <c r="AD92" s="520">
        <f t="shared" si="41"/>
        <v>0</v>
      </c>
    </row>
    <row r="93" spans="1:30" s="501" customFormat="1" ht="45" customHeight="1" hidden="1">
      <c r="A93" s="512">
        <v>18</v>
      </c>
      <c r="B93" s="513">
        <f t="shared" si="29"/>
        <v>0</v>
      </c>
      <c r="C93" s="521">
        <v>1</v>
      </c>
      <c r="D93" s="517"/>
      <c r="E93" s="516">
        <f t="shared" si="42"/>
        <v>0</v>
      </c>
      <c r="F93" s="516">
        <f t="shared" si="30"/>
        <v>1.46</v>
      </c>
      <c r="G93" s="516">
        <f t="shared" si="31"/>
        <v>1.56</v>
      </c>
      <c r="H93" s="516">
        <v>0.05</v>
      </c>
      <c r="I93" s="516">
        <f t="shared" si="32"/>
        <v>0</v>
      </c>
      <c r="J93" s="517">
        <f t="shared" si="33"/>
        <v>0</v>
      </c>
      <c r="K93" s="518">
        <f t="shared" si="34"/>
        <v>0</v>
      </c>
      <c r="L93" s="516">
        <f t="shared" si="35"/>
        <v>0</v>
      </c>
      <c r="M93" s="517">
        <f t="shared" si="36"/>
        <v>0</v>
      </c>
      <c r="N93" s="516">
        <f t="shared" si="37"/>
        <v>0</v>
      </c>
      <c r="O93" s="516">
        <f t="shared" si="38"/>
        <v>0</v>
      </c>
      <c r="P93" s="516">
        <f t="shared" si="39"/>
        <v>0</v>
      </c>
      <c r="Q93" s="516">
        <v>0</v>
      </c>
      <c r="R93" s="650">
        <f t="shared" si="40"/>
        <v>0</v>
      </c>
      <c r="S93" s="519"/>
      <c r="T93" s="511">
        <f>'ORÇAMENTO GERAL'!$J$55</f>
        <v>540.39</v>
      </c>
      <c r="U93" s="511">
        <f>'ORÇAMENTO GERAL'!$J$56</f>
        <v>14.63</v>
      </c>
      <c r="V93" s="511">
        <f>'ORÇAMENTO GERAL'!$J$57</f>
        <v>8.07</v>
      </c>
      <c r="W93" s="511">
        <f>'ORÇAMENTO GERAL'!$J$58</f>
        <v>3.54</v>
      </c>
      <c r="X93" s="511">
        <f>'ORÇAMENTO GERAL'!$J$59</f>
        <v>7.02</v>
      </c>
      <c r="Y93" s="511">
        <f>'ORÇAMENTO GERAL'!$J$60</f>
        <v>48.92</v>
      </c>
      <c r="Z93" s="511">
        <f>'ORÇAMENTO GERAL'!$J$61</f>
        <v>169.7</v>
      </c>
      <c r="AA93" s="511">
        <f>'ORÇAMENTO GERAL'!$J$62</f>
        <v>22.65</v>
      </c>
      <c r="AB93" s="511">
        <f>'ORÇAMENTO GERAL'!$J$63</f>
        <v>46.13</v>
      </c>
      <c r="AC93" s="511">
        <f>'ORÇAMENTO GERAL'!$J$64</f>
        <v>152.03</v>
      </c>
      <c r="AD93" s="520">
        <f t="shared" si="41"/>
        <v>0</v>
      </c>
    </row>
    <row r="94" spans="1:30" s="501" customFormat="1" ht="45" customHeight="1" hidden="1">
      <c r="A94" s="512">
        <v>19</v>
      </c>
      <c r="B94" s="513">
        <f t="shared" si="29"/>
        <v>0</v>
      </c>
      <c r="C94" s="521">
        <v>1</v>
      </c>
      <c r="D94" s="517"/>
      <c r="E94" s="516">
        <f t="shared" si="42"/>
        <v>0</v>
      </c>
      <c r="F94" s="516">
        <f t="shared" si="30"/>
        <v>1.46</v>
      </c>
      <c r="G94" s="516">
        <f t="shared" si="31"/>
        <v>1.56</v>
      </c>
      <c r="H94" s="516">
        <v>0.05</v>
      </c>
      <c r="I94" s="516">
        <f t="shared" si="32"/>
        <v>0</v>
      </c>
      <c r="J94" s="517">
        <f t="shared" si="33"/>
        <v>0</v>
      </c>
      <c r="K94" s="518">
        <f t="shared" si="34"/>
        <v>0</v>
      </c>
      <c r="L94" s="516">
        <f t="shared" si="35"/>
        <v>0</v>
      </c>
      <c r="M94" s="517">
        <f t="shared" si="36"/>
        <v>0</v>
      </c>
      <c r="N94" s="516">
        <f t="shared" si="37"/>
        <v>0</v>
      </c>
      <c r="O94" s="516">
        <f t="shared" si="38"/>
        <v>0</v>
      </c>
      <c r="P94" s="516">
        <f t="shared" si="39"/>
        <v>0</v>
      </c>
      <c r="Q94" s="516">
        <v>0</v>
      </c>
      <c r="R94" s="650">
        <f t="shared" si="40"/>
        <v>0</v>
      </c>
      <c r="S94" s="519"/>
      <c r="T94" s="511">
        <f>'ORÇAMENTO GERAL'!$J$55</f>
        <v>540.39</v>
      </c>
      <c r="U94" s="511">
        <f>'ORÇAMENTO GERAL'!$J$56</f>
        <v>14.63</v>
      </c>
      <c r="V94" s="511">
        <f>'ORÇAMENTO GERAL'!$J$57</f>
        <v>8.07</v>
      </c>
      <c r="W94" s="511">
        <f>'ORÇAMENTO GERAL'!$J$58</f>
        <v>3.54</v>
      </c>
      <c r="X94" s="511">
        <f>'ORÇAMENTO GERAL'!$J$59</f>
        <v>7.02</v>
      </c>
      <c r="Y94" s="511">
        <f>'ORÇAMENTO GERAL'!$J$60</f>
        <v>48.92</v>
      </c>
      <c r="Z94" s="511">
        <f>'ORÇAMENTO GERAL'!$J$61</f>
        <v>169.7</v>
      </c>
      <c r="AA94" s="511">
        <f>'ORÇAMENTO GERAL'!$J$62</f>
        <v>22.65</v>
      </c>
      <c r="AB94" s="511">
        <f>'ORÇAMENTO GERAL'!$J$63</f>
        <v>46.13</v>
      </c>
      <c r="AC94" s="511">
        <f>'ORÇAMENTO GERAL'!$J$64</f>
        <v>152.03</v>
      </c>
      <c r="AD94" s="520">
        <f t="shared" si="41"/>
        <v>0</v>
      </c>
    </row>
    <row r="95" spans="1:30" s="501" customFormat="1" ht="45" customHeight="1" hidden="1" thickBot="1">
      <c r="A95" s="512">
        <v>20</v>
      </c>
      <c r="B95" s="513">
        <f t="shared" si="29"/>
        <v>0</v>
      </c>
      <c r="C95" s="521">
        <v>1</v>
      </c>
      <c r="D95" s="517"/>
      <c r="E95" s="516">
        <f t="shared" si="42"/>
        <v>0</v>
      </c>
      <c r="F95" s="516">
        <f t="shared" si="30"/>
        <v>1.46</v>
      </c>
      <c r="G95" s="516">
        <f t="shared" si="31"/>
        <v>1.56</v>
      </c>
      <c r="H95" s="516">
        <v>0.05</v>
      </c>
      <c r="I95" s="516">
        <f t="shared" si="32"/>
        <v>0</v>
      </c>
      <c r="J95" s="517">
        <f t="shared" si="33"/>
        <v>0</v>
      </c>
      <c r="K95" s="518">
        <f t="shared" si="34"/>
        <v>0</v>
      </c>
      <c r="L95" s="516">
        <f t="shared" si="35"/>
        <v>0</v>
      </c>
      <c r="M95" s="517">
        <f t="shared" si="36"/>
        <v>0</v>
      </c>
      <c r="N95" s="516">
        <f t="shared" si="37"/>
        <v>0</v>
      </c>
      <c r="O95" s="516">
        <f t="shared" si="38"/>
        <v>0</v>
      </c>
      <c r="P95" s="516">
        <f t="shared" si="39"/>
        <v>0</v>
      </c>
      <c r="Q95" s="516">
        <v>0</v>
      </c>
      <c r="R95" s="650">
        <f t="shared" si="40"/>
        <v>0</v>
      </c>
      <c r="S95" s="519"/>
      <c r="T95" s="511">
        <f>'ORÇAMENTO GERAL'!$J$55</f>
        <v>540.39</v>
      </c>
      <c r="U95" s="511">
        <f>'ORÇAMENTO GERAL'!$J$56</f>
        <v>14.63</v>
      </c>
      <c r="V95" s="511">
        <f>'ORÇAMENTO GERAL'!$J$57</f>
        <v>8.07</v>
      </c>
      <c r="W95" s="511">
        <f>'ORÇAMENTO GERAL'!$J$58</f>
        <v>3.54</v>
      </c>
      <c r="X95" s="511">
        <f>'ORÇAMENTO GERAL'!$J$59</f>
        <v>7.02</v>
      </c>
      <c r="Y95" s="511">
        <f>'ORÇAMENTO GERAL'!$J$60</f>
        <v>48.92</v>
      </c>
      <c r="Z95" s="511">
        <f>'ORÇAMENTO GERAL'!$J$61</f>
        <v>169.7</v>
      </c>
      <c r="AA95" s="511">
        <f>'ORÇAMENTO GERAL'!$J$62</f>
        <v>22.65</v>
      </c>
      <c r="AB95" s="511">
        <f>'ORÇAMENTO GERAL'!$J$63</f>
        <v>46.13</v>
      </c>
      <c r="AC95" s="511">
        <f>'ORÇAMENTO GERAL'!$J$64</f>
        <v>152.03</v>
      </c>
      <c r="AD95" s="520">
        <f t="shared" si="41"/>
        <v>0</v>
      </c>
    </row>
    <row r="96" spans="1:19" s="501" customFormat="1" ht="45" customHeight="1" hidden="1" thickBot="1">
      <c r="A96" s="854" t="s">
        <v>24</v>
      </c>
      <c r="B96" s="855"/>
      <c r="C96" s="523"/>
      <c r="D96" s="523"/>
      <c r="E96" s="523">
        <f>SUM(E76:E95)</f>
        <v>0</v>
      </c>
      <c r="F96" s="523"/>
      <c r="G96" s="523"/>
      <c r="H96" s="523"/>
      <c r="I96" s="523">
        <f>SUM(I76:I95)</f>
        <v>0</v>
      </c>
      <c r="J96" s="523">
        <f aca="true" t="shared" si="43" ref="J96:R96">SUM(J76:J95)</f>
        <v>0</v>
      </c>
      <c r="K96" s="523">
        <f t="shared" si="43"/>
        <v>0</v>
      </c>
      <c r="L96" s="523">
        <f t="shared" si="43"/>
        <v>0</v>
      </c>
      <c r="M96" s="523">
        <f t="shared" si="43"/>
        <v>0</v>
      </c>
      <c r="N96" s="523">
        <f t="shared" si="43"/>
        <v>0</v>
      </c>
      <c r="O96" s="523">
        <f t="shared" si="43"/>
        <v>0</v>
      </c>
      <c r="P96" s="523">
        <f t="shared" si="43"/>
        <v>0</v>
      </c>
      <c r="Q96" s="523">
        <f t="shared" si="43"/>
        <v>0</v>
      </c>
      <c r="R96" s="523">
        <f t="shared" si="43"/>
        <v>0</v>
      </c>
      <c r="S96" s="524"/>
    </row>
    <row r="97" spans="1:18" s="501" customFormat="1" ht="45" customHeight="1" hidden="1" thickBot="1">
      <c r="A97" s="654"/>
      <c r="B97" s="652"/>
      <c r="C97" s="655"/>
      <c r="D97" s="655"/>
      <c r="E97" s="655"/>
      <c r="F97" s="655"/>
      <c r="G97" s="655"/>
      <c r="H97" s="655"/>
      <c r="I97" s="652"/>
      <c r="J97" s="652"/>
      <c r="K97" s="652"/>
      <c r="L97" s="652"/>
      <c r="M97" s="652"/>
      <c r="N97" s="652"/>
      <c r="O97" s="652"/>
      <c r="P97" s="652"/>
      <c r="Q97" s="652"/>
      <c r="R97" s="653"/>
    </row>
    <row r="98" spans="1:19" s="501" customFormat="1" ht="45" customHeight="1" hidden="1" thickBot="1">
      <c r="A98" s="869" t="s">
        <v>373</v>
      </c>
      <c r="B98" s="870"/>
      <c r="C98" s="870"/>
      <c r="D98" s="870"/>
      <c r="E98" s="870"/>
      <c r="F98" s="870"/>
      <c r="G98" s="870"/>
      <c r="H98" s="870"/>
      <c r="I98" s="870"/>
      <c r="J98" s="870"/>
      <c r="K98" s="870"/>
      <c r="L98" s="870"/>
      <c r="M98" s="870"/>
      <c r="N98" s="870"/>
      <c r="O98" s="870"/>
      <c r="P98" s="870"/>
      <c r="Q98" s="870"/>
      <c r="R98" s="871"/>
      <c r="S98" s="500"/>
    </row>
    <row r="99" spans="1:19" s="501" customFormat="1" ht="45" customHeight="1" hidden="1">
      <c r="A99" s="872" t="s">
        <v>7</v>
      </c>
      <c r="B99" s="875" t="s">
        <v>374</v>
      </c>
      <c r="C99" s="878" t="s">
        <v>583</v>
      </c>
      <c r="D99" s="878"/>
      <c r="E99" s="878"/>
      <c r="F99" s="867" t="s">
        <v>541</v>
      </c>
      <c r="G99" s="867"/>
      <c r="H99" s="867"/>
      <c r="I99" s="867"/>
      <c r="J99" s="867" t="s">
        <v>542</v>
      </c>
      <c r="K99" s="861" t="s">
        <v>545</v>
      </c>
      <c r="L99" s="867" t="s">
        <v>365</v>
      </c>
      <c r="M99" s="867" t="s">
        <v>368</v>
      </c>
      <c r="N99" s="865" t="s">
        <v>366</v>
      </c>
      <c r="O99" s="865" t="s">
        <v>543</v>
      </c>
      <c r="P99" s="865" t="s">
        <v>633</v>
      </c>
      <c r="Q99" s="865" t="s">
        <v>544</v>
      </c>
      <c r="R99" s="859" t="s">
        <v>369</v>
      </c>
      <c r="S99" s="500"/>
    </row>
    <row r="100" spans="1:19" s="501" customFormat="1" ht="45" customHeight="1" hidden="1">
      <c r="A100" s="873"/>
      <c r="B100" s="876"/>
      <c r="C100" s="879"/>
      <c r="D100" s="879"/>
      <c r="E100" s="879"/>
      <c r="F100" s="868"/>
      <c r="G100" s="868"/>
      <c r="H100" s="868"/>
      <c r="I100" s="868"/>
      <c r="J100" s="868"/>
      <c r="K100" s="862"/>
      <c r="L100" s="868"/>
      <c r="M100" s="868"/>
      <c r="N100" s="880"/>
      <c r="O100" s="866"/>
      <c r="P100" s="866"/>
      <c r="Q100" s="880"/>
      <c r="R100" s="860"/>
      <c r="S100" s="500"/>
    </row>
    <row r="101" spans="1:19" s="501" customFormat="1" ht="45" customHeight="1" hidden="1">
      <c r="A101" s="873"/>
      <c r="B101" s="876"/>
      <c r="C101" s="504" t="s">
        <v>154</v>
      </c>
      <c r="D101" s="505" t="s">
        <v>581</v>
      </c>
      <c r="E101" s="504" t="s">
        <v>363</v>
      </c>
      <c r="F101" s="504" t="s">
        <v>357</v>
      </c>
      <c r="G101" s="504" t="s">
        <v>362</v>
      </c>
      <c r="H101" s="504" t="s">
        <v>364</v>
      </c>
      <c r="I101" s="504" t="s">
        <v>24</v>
      </c>
      <c r="J101" s="868"/>
      <c r="K101" s="862"/>
      <c r="L101" s="868"/>
      <c r="M101" s="868"/>
      <c r="N101" s="866"/>
      <c r="O101" s="504" t="s">
        <v>24</v>
      </c>
      <c r="P101" s="504" t="s">
        <v>24</v>
      </c>
      <c r="Q101" s="866"/>
      <c r="R101" s="860"/>
      <c r="S101" s="500"/>
    </row>
    <row r="102" spans="1:30" s="501" customFormat="1" ht="45" customHeight="1" hidden="1">
      <c r="A102" s="873"/>
      <c r="B102" s="876"/>
      <c r="C102" s="615"/>
      <c r="D102" s="615"/>
      <c r="E102" s="615" t="s">
        <v>55</v>
      </c>
      <c r="F102" s="615" t="s">
        <v>58</v>
      </c>
      <c r="G102" s="615" t="s">
        <v>16</v>
      </c>
      <c r="H102" s="615" t="s">
        <v>8</v>
      </c>
      <c r="I102" s="615" t="s">
        <v>367</v>
      </c>
      <c r="J102" s="615" t="s">
        <v>609</v>
      </c>
      <c r="K102" s="616" t="s">
        <v>546</v>
      </c>
      <c r="L102" s="615" t="s">
        <v>547</v>
      </c>
      <c r="M102" s="615" t="s">
        <v>548</v>
      </c>
      <c r="N102" s="615" t="s">
        <v>549</v>
      </c>
      <c r="O102" s="615" t="s">
        <v>636</v>
      </c>
      <c r="P102" s="615" t="s">
        <v>637</v>
      </c>
      <c r="Q102" s="615" t="s">
        <v>634</v>
      </c>
      <c r="R102" s="648" t="s">
        <v>635</v>
      </c>
      <c r="S102" s="500"/>
      <c r="T102" s="893" t="s">
        <v>564</v>
      </c>
      <c r="U102" s="894"/>
      <c r="V102" s="894"/>
      <c r="W102" s="894"/>
      <c r="X102" s="894"/>
      <c r="Y102" s="894"/>
      <c r="Z102" s="894"/>
      <c r="AA102" s="894"/>
      <c r="AB102" s="894"/>
      <c r="AC102" s="894"/>
      <c r="AD102" s="895"/>
    </row>
    <row r="103" spans="1:30" s="501" customFormat="1" ht="45" customHeight="1" hidden="1" thickBot="1">
      <c r="A103" s="874"/>
      <c r="B103" s="877"/>
      <c r="C103" s="507" t="s">
        <v>361</v>
      </c>
      <c r="D103" s="507" t="s">
        <v>358</v>
      </c>
      <c r="E103" s="507" t="s">
        <v>358</v>
      </c>
      <c r="F103" s="507" t="s">
        <v>610</v>
      </c>
      <c r="G103" s="507" t="s">
        <v>611</v>
      </c>
      <c r="H103" s="507"/>
      <c r="I103" s="507"/>
      <c r="J103" s="507"/>
      <c r="K103" s="508">
        <v>10</v>
      </c>
      <c r="L103" s="507"/>
      <c r="M103" s="507"/>
      <c r="N103" s="507"/>
      <c r="O103" s="507"/>
      <c r="P103" s="509"/>
      <c r="Q103" s="509" t="s">
        <v>631</v>
      </c>
      <c r="R103" s="649"/>
      <c r="S103" s="510"/>
      <c r="T103" s="505" t="s">
        <v>557</v>
      </c>
      <c r="U103" s="505" t="s">
        <v>558</v>
      </c>
      <c r="V103" s="505" t="s">
        <v>559</v>
      </c>
      <c r="W103" s="505" t="s">
        <v>560</v>
      </c>
      <c r="X103" s="505" t="s">
        <v>561</v>
      </c>
      <c r="Y103" s="505" t="s">
        <v>375</v>
      </c>
      <c r="Z103" s="504" t="s">
        <v>543</v>
      </c>
      <c r="AA103" s="504" t="s">
        <v>633</v>
      </c>
      <c r="AB103" s="504" t="s">
        <v>544</v>
      </c>
      <c r="AC103" s="504" t="s">
        <v>369</v>
      </c>
      <c r="AD103" s="511" t="s">
        <v>24</v>
      </c>
    </row>
    <row r="104" spans="1:30" s="501" customFormat="1" ht="45" customHeight="1" hidden="1">
      <c r="A104" s="512">
        <v>1</v>
      </c>
      <c r="B104" s="532" t="str">
        <f>B20</f>
        <v>PASS. NS. DO CARMO</v>
      </c>
      <c r="C104" s="514">
        <v>1</v>
      </c>
      <c r="D104" s="515"/>
      <c r="E104" s="514">
        <f>C104*D104</f>
        <v>0</v>
      </c>
      <c r="F104" s="516">
        <f>1.2+0.5</f>
        <v>1.7</v>
      </c>
      <c r="G104" s="516">
        <f>1.2+0.6</f>
        <v>1.8</v>
      </c>
      <c r="H104" s="516">
        <v>0.05</v>
      </c>
      <c r="I104" s="516">
        <f>(E104*F104*G104)+(E104*G104*H104)</f>
        <v>0</v>
      </c>
      <c r="J104" s="517">
        <f>N104</f>
        <v>0</v>
      </c>
      <c r="K104" s="518">
        <f>J104*1.25*$K$19</f>
        <v>0</v>
      </c>
      <c r="L104" s="516">
        <f>E104*F104</f>
        <v>0</v>
      </c>
      <c r="M104" s="517">
        <f>L104</f>
        <v>0</v>
      </c>
      <c r="N104" s="516">
        <f>(3.14*0.5^2)*E104</f>
        <v>0</v>
      </c>
      <c r="O104" s="516">
        <f>(I104-N104)*70%</f>
        <v>0</v>
      </c>
      <c r="P104" s="516">
        <f>(I104-N104)*30%</f>
        <v>0</v>
      </c>
      <c r="Q104" s="516">
        <f>E104*G104*2</f>
        <v>0</v>
      </c>
      <c r="R104" s="650">
        <f>E104</f>
        <v>0</v>
      </c>
      <c r="S104" s="519"/>
      <c r="T104" s="520">
        <f>'ORÇAMENTO GERAL'!$J$65</f>
        <v>731.67</v>
      </c>
      <c r="U104" s="520">
        <f>'ORÇAMENTO GERAL'!$J$66</f>
        <v>14.63</v>
      </c>
      <c r="V104" s="520">
        <f>'ORÇAMENTO GERAL'!$J$67</f>
        <v>8.07</v>
      </c>
      <c r="W104" s="520">
        <f>'ORÇAMENTO GERAL'!$J$68</f>
        <v>3.54</v>
      </c>
      <c r="X104" s="520">
        <f>'ORÇAMENTO GERAL'!$J$69</f>
        <v>7.02</v>
      </c>
      <c r="Y104" s="520">
        <f>'ORÇAMENTO GERAL'!$J$70</f>
        <v>48.92</v>
      </c>
      <c r="Z104" s="520">
        <f>'ORÇAMENTO GERAL'!$J$71</f>
        <v>169.7</v>
      </c>
      <c r="AA104" s="520">
        <f>'ORÇAMENTO GERAL'!$J$72</f>
        <v>22.65</v>
      </c>
      <c r="AB104" s="520">
        <f>'ORÇAMENTO GERAL'!$J$73</f>
        <v>46.13</v>
      </c>
      <c r="AC104" s="520">
        <f>'ORÇAMENTO GERAL'!$J$74</f>
        <v>200.38</v>
      </c>
      <c r="AD104" s="520">
        <f>(E104*T104)+(I104*U104)+(J104*V104)+(K104*W104)+(L104*X104)+(M104*Y104)+(O104*Z104)+(P104*AA104)+(Q104*AB104)+(R104*AC104)</f>
        <v>0</v>
      </c>
    </row>
    <row r="105" spans="1:30" s="501" customFormat="1" ht="45" customHeight="1" hidden="1">
      <c r="A105" s="512">
        <v>2</v>
      </c>
      <c r="B105" s="532" t="str">
        <f aca="true" t="shared" si="44" ref="B105:B123">B21</f>
        <v>PASS. KENEDY</v>
      </c>
      <c r="C105" s="521">
        <v>1</v>
      </c>
      <c r="D105" s="517"/>
      <c r="E105" s="516">
        <f>C105*D105</f>
        <v>0</v>
      </c>
      <c r="F105" s="516">
        <f aca="true" t="shared" si="45" ref="F105:F123">1.2+0.5</f>
        <v>1.7</v>
      </c>
      <c r="G105" s="516">
        <f aca="true" t="shared" si="46" ref="G105:G123">1.2+0.6</f>
        <v>1.8</v>
      </c>
      <c r="H105" s="516">
        <v>0.05</v>
      </c>
      <c r="I105" s="516">
        <f aca="true" t="shared" si="47" ref="I105:I123">(E105*F105*G105)+(E105*G105*H105)</f>
        <v>0</v>
      </c>
      <c r="J105" s="517">
        <f aca="true" t="shared" si="48" ref="J105:J123">N105</f>
        <v>0</v>
      </c>
      <c r="K105" s="518">
        <f aca="true" t="shared" si="49" ref="K105:K123">J105*1.25*$K$19</f>
        <v>0</v>
      </c>
      <c r="L105" s="516">
        <f aca="true" t="shared" si="50" ref="L105:L123">E105*F105</f>
        <v>0</v>
      </c>
      <c r="M105" s="517">
        <f aca="true" t="shared" si="51" ref="M105:M123">L105</f>
        <v>0</v>
      </c>
      <c r="N105" s="516">
        <f aca="true" t="shared" si="52" ref="N105:N123">(3.14*0.5^2)*E105</f>
        <v>0</v>
      </c>
      <c r="O105" s="516">
        <f aca="true" t="shared" si="53" ref="O105:O123">(I105-N105)*70%</f>
        <v>0</v>
      </c>
      <c r="P105" s="516">
        <f aca="true" t="shared" si="54" ref="P105:P123">(I105-N105)*30%</f>
        <v>0</v>
      </c>
      <c r="Q105" s="516">
        <f aca="true" t="shared" si="55" ref="Q105:Q123">E105*G105*2</f>
        <v>0</v>
      </c>
      <c r="R105" s="650">
        <f aca="true" t="shared" si="56" ref="R105:R123">E105</f>
        <v>0</v>
      </c>
      <c r="S105" s="519"/>
      <c r="T105" s="520">
        <f>'ORÇAMENTO GERAL'!$J$65</f>
        <v>731.67</v>
      </c>
      <c r="U105" s="520">
        <f>'ORÇAMENTO GERAL'!$J$66</f>
        <v>14.63</v>
      </c>
      <c r="V105" s="520">
        <f>'ORÇAMENTO GERAL'!$J$67</f>
        <v>8.07</v>
      </c>
      <c r="W105" s="520">
        <f>'ORÇAMENTO GERAL'!$J$68</f>
        <v>3.54</v>
      </c>
      <c r="X105" s="520">
        <f>'ORÇAMENTO GERAL'!$J$69</f>
        <v>7.02</v>
      </c>
      <c r="Y105" s="520">
        <f>'ORÇAMENTO GERAL'!$J$70</f>
        <v>48.92</v>
      </c>
      <c r="Z105" s="520">
        <f>'ORÇAMENTO GERAL'!$J$71</f>
        <v>169.7</v>
      </c>
      <c r="AA105" s="520">
        <f>'ORÇAMENTO GERAL'!$J$72</f>
        <v>22.65</v>
      </c>
      <c r="AB105" s="520">
        <f>'ORÇAMENTO GERAL'!$J$73</f>
        <v>46.13</v>
      </c>
      <c r="AC105" s="520">
        <f>'ORÇAMENTO GERAL'!$J$74</f>
        <v>200.38</v>
      </c>
      <c r="AD105" s="520">
        <f aca="true" t="shared" si="57" ref="AD105:AD123">(E105*T105)+(I105*U105)+(J105*V105)+(K105*W105)+(L105*X105)+(M105*Y105)+(O105*Z105)+(P105*AA105)+(Q105*AB105)+(R105*AC105)</f>
        <v>0</v>
      </c>
    </row>
    <row r="106" spans="1:30" s="501" customFormat="1" ht="45" customHeight="1" hidden="1">
      <c r="A106" s="512">
        <v>3</v>
      </c>
      <c r="B106" s="532" t="str">
        <f t="shared" si="44"/>
        <v>PASS. UBIRATAN MACIEL</v>
      </c>
      <c r="C106" s="521">
        <v>1</v>
      </c>
      <c r="D106" s="517"/>
      <c r="E106" s="516">
        <f aca="true" t="shared" si="58" ref="E106:E123">C106*D106</f>
        <v>0</v>
      </c>
      <c r="F106" s="516">
        <f t="shared" si="45"/>
        <v>1.7</v>
      </c>
      <c r="G106" s="516">
        <f t="shared" si="46"/>
        <v>1.8</v>
      </c>
      <c r="H106" s="516">
        <v>0.05</v>
      </c>
      <c r="I106" s="516">
        <f t="shared" si="47"/>
        <v>0</v>
      </c>
      <c r="J106" s="517">
        <f t="shared" si="48"/>
        <v>0</v>
      </c>
      <c r="K106" s="518">
        <f t="shared" si="49"/>
        <v>0</v>
      </c>
      <c r="L106" s="516">
        <f t="shared" si="50"/>
        <v>0</v>
      </c>
      <c r="M106" s="517">
        <f t="shared" si="51"/>
        <v>0</v>
      </c>
      <c r="N106" s="516">
        <f t="shared" si="52"/>
        <v>0</v>
      </c>
      <c r="O106" s="516">
        <f t="shared" si="53"/>
        <v>0</v>
      </c>
      <c r="P106" s="516">
        <f t="shared" si="54"/>
        <v>0</v>
      </c>
      <c r="Q106" s="516">
        <f t="shared" si="55"/>
        <v>0</v>
      </c>
      <c r="R106" s="650">
        <f t="shared" si="56"/>
        <v>0</v>
      </c>
      <c r="S106" s="519"/>
      <c r="T106" s="520">
        <f>'ORÇAMENTO GERAL'!$J$65</f>
        <v>731.67</v>
      </c>
      <c r="U106" s="520">
        <f>'ORÇAMENTO GERAL'!$J$66</f>
        <v>14.63</v>
      </c>
      <c r="V106" s="520">
        <f>'ORÇAMENTO GERAL'!$J$67</f>
        <v>8.07</v>
      </c>
      <c r="W106" s="520">
        <f>'ORÇAMENTO GERAL'!$J$68</f>
        <v>3.54</v>
      </c>
      <c r="X106" s="520">
        <f>'ORÇAMENTO GERAL'!$J$69</f>
        <v>7.02</v>
      </c>
      <c r="Y106" s="520">
        <f>'ORÇAMENTO GERAL'!$J$70</f>
        <v>48.92</v>
      </c>
      <c r="Z106" s="520">
        <f>'ORÇAMENTO GERAL'!$J$71</f>
        <v>169.7</v>
      </c>
      <c r="AA106" s="520">
        <f>'ORÇAMENTO GERAL'!$J$72</f>
        <v>22.65</v>
      </c>
      <c r="AB106" s="520">
        <f>'ORÇAMENTO GERAL'!$J$73</f>
        <v>46.13</v>
      </c>
      <c r="AC106" s="520">
        <f>'ORÇAMENTO GERAL'!$J$74</f>
        <v>200.38</v>
      </c>
      <c r="AD106" s="520">
        <f t="shared" si="57"/>
        <v>0</v>
      </c>
    </row>
    <row r="107" spans="1:30" s="501" customFormat="1" ht="45" customHeight="1" hidden="1">
      <c r="A107" s="512">
        <v>4</v>
      </c>
      <c r="B107" s="532" t="str">
        <f t="shared" si="44"/>
        <v>PASS. ALEGRE </v>
      </c>
      <c r="C107" s="521">
        <v>1</v>
      </c>
      <c r="D107" s="517"/>
      <c r="E107" s="516">
        <f t="shared" si="58"/>
        <v>0</v>
      </c>
      <c r="F107" s="516">
        <f t="shared" si="45"/>
        <v>1.7</v>
      </c>
      <c r="G107" s="516">
        <f t="shared" si="46"/>
        <v>1.8</v>
      </c>
      <c r="H107" s="516">
        <v>0.05</v>
      </c>
      <c r="I107" s="516">
        <f t="shared" si="47"/>
        <v>0</v>
      </c>
      <c r="J107" s="517">
        <f t="shared" si="48"/>
        <v>0</v>
      </c>
      <c r="K107" s="518">
        <f t="shared" si="49"/>
        <v>0</v>
      </c>
      <c r="L107" s="516">
        <f t="shared" si="50"/>
        <v>0</v>
      </c>
      <c r="M107" s="517">
        <f t="shared" si="51"/>
        <v>0</v>
      </c>
      <c r="N107" s="516">
        <f t="shared" si="52"/>
        <v>0</v>
      </c>
      <c r="O107" s="516">
        <f t="shared" si="53"/>
        <v>0</v>
      </c>
      <c r="P107" s="516">
        <f t="shared" si="54"/>
        <v>0</v>
      </c>
      <c r="Q107" s="516">
        <f t="shared" si="55"/>
        <v>0</v>
      </c>
      <c r="R107" s="650">
        <f t="shared" si="56"/>
        <v>0</v>
      </c>
      <c r="S107" s="519"/>
      <c r="T107" s="520">
        <f>'ORÇAMENTO GERAL'!$J$65</f>
        <v>731.67</v>
      </c>
      <c r="U107" s="520">
        <f>'ORÇAMENTO GERAL'!$J$66</f>
        <v>14.63</v>
      </c>
      <c r="V107" s="520">
        <f>'ORÇAMENTO GERAL'!$J$67</f>
        <v>8.07</v>
      </c>
      <c r="W107" s="520">
        <f>'ORÇAMENTO GERAL'!$J$68</f>
        <v>3.54</v>
      </c>
      <c r="X107" s="520">
        <f>'ORÇAMENTO GERAL'!$J$69</f>
        <v>7.02</v>
      </c>
      <c r="Y107" s="520">
        <f>'ORÇAMENTO GERAL'!$J$70</f>
        <v>48.92</v>
      </c>
      <c r="Z107" s="520">
        <f>'ORÇAMENTO GERAL'!$J$71</f>
        <v>169.7</v>
      </c>
      <c r="AA107" s="520">
        <f>'ORÇAMENTO GERAL'!$J$72</f>
        <v>22.65</v>
      </c>
      <c r="AB107" s="520">
        <f>'ORÇAMENTO GERAL'!$J$73</f>
        <v>46.13</v>
      </c>
      <c r="AC107" s="520">
        <f>'ORÇAMENTO GERAL'!$J$74</f>
        <v>200.38</v>
      </c>
      <c r="AD107" s="520">
        <f t="shared" si="57"/>
        <v>0</v>
      </c>
    </row>
    <row r="108" spans="1:30" s="501" customFormat="1" ht="45" customHeight="1" hidden="1">
      <c r="A108" s="512">
        <v>5</v>
      </c>
      <c r="B108" s="532">
        <f t="shared" si="44"/>
        <v>0</v>
      </c>
      <c r="C108" s="521">
        <v>1</v>
      </c>
      <c r="D108" s="517"/>
      <c r="E108" s="516">
        <f t="shared" si="58"/>
        <v>0</v>
      </c>
      <c r="F108" s="516">
        <f t="shared" si="45"/>
        <v>1.7</v>
      </c>
      <c r="G108" s="516">
        <f t="shared" si="46"/>
        <v>1.8</v>
      </c>
      <c r="H108" s="516">
        <v>0.05</v>
      </c>
      <c r="I108" s="516">
        <f t="shared" si="47"/>
        <v>0</v>
      </c>
      <c r="J108" s="517">
        <f t="shared" si="48"/>
        <v>0</v>
      </c>
      <c r="K108" s="518">
        <f t="shared" si="49"/>
        <v>0</v>
      </c>
      <c r="L108" s="516">
        <f t="shared" si="50"/>
        <v>0</v>
      </c>
      <c r="M108" s="517">
        <f t="shared" si="51"/>
        <v>0</v>
      </c>
      <c r="N108" s="516">
        <f t="shared" si="52"/>
        <v>0</v>
      </c>
      <c r="O108" s="516">
        <f t="shared" si="53"/>
        <v>0</v>
      </c>
      <c r="P108" s="516">
        <f t="shared" si="54"/>
        <v>0</v>
      </c>
      <c r="Q108" s="516">
        <f t="shared" si="55"/>
        <v>0</v>
      </c>
      <c r="R108" s="650">
        <f t="shared" si="56"/>
        <v>0</v>
      </c>
      <c r="S108" s="519"/>
      <c r="T108" s="520">
        <f>'ORÇAMENTO GERAL'!$J$65</f>
        <v>731.67</v>
      </c>
      <c r="U108" s="520">
        <f>'ORÇAMENTO GERAL'!$J$66</f>
        <v>14.63</v>
      </c>
      <c r="V108" s="520">
        <f>'ORÇAMENTO GERAL'!$J$67</f>
        <v>8.07</v>
      </c>
      <c r="W108" s="520">
        <f>'ORÇAMENTO GERAL'!$J$68</f>
        <v>3.54</v>
      </c>
      <c r="X108" s="520">
        <f>'ORÇAMENTO GERAL'!$J$69</f>
        <v>7.02</v>
      </c>
      <c r="Y108" s="520">
        <f>'ORÇAMENTO GERAL'!$J$70</f>
        <v>48.92</v>
      </c>
      <c r="Z108" s="520">
        <f>'ORÇAMENTO GERAL'!$J$71</f>
        <v>169.7</v>
      </c>
      <c r="AA108" s="520">
        <f>'ORÇAMENTO GERAL'!$J$72</f>
        <v>22.65</v>
      </c>
      <c r="AB108" s="520">
        <f>'ORÇAMENTO GERAL'!$J$73</f>
        <v>46.13</v>
      </c>
      <c r="AC108" s="520">
        <f>'ORÇAMENTO GERAL'!$J$74</f>
        <v>200.38</v>
      </c>
      <c r="AD108" s="520">
        <f t="shared" si="57"/>
        <v>0</v>
      </c>
    </row>
    <row r="109" spans="1:30" s="501" customFormat="1" ht="45" customHeight="1" hidden="1">
      <c r="A109" s="512">
        <v>6</v>
      </c>
      <c r="B109" s="532">
        <f t="shared" si="44"/>
        <v>0</v>
      </c>
      <c r="C109" s="521">
        <v>1</v>
      </c>
      <c r="D109" s="517"/>
      <c r="E109" s="516">
        <f t="shared" si="58"/>
        <v>0</v>
      </c>
      <c r="F109" s="516">
        <f t="shared" si="45"/>
        <v>1.7</v>
      </c>
      <c r="G109" s="516">
        <f t="shared" si="46"/>
        <v>1.8</v>
      </c>
      <c r="H109" s="516">
        <v>0.05</v>
      </c>
      <c r="I109" s="516">
        <f t="shared" si="47"/>
        <v>0</v>
      </c>
      <c r="J109" s="517">
        <f t="shared" si="48"/>
        <v>0</v>
      </c>
      <c r="K109" s="518">
        <f t="shared" si="49"/>
        <v>0</v>
      </c>
      <c r="L109" s="516">
        <f t="shared" si="50"/>
        <v>0</v>
      </c>
      <c r="M109" s="517">
        <f t="shared" si="51"/>
        <v>0</v>
      </c>
      <c r="N109" s="516">
        <f t="shared" si="52"/>
        <v>0</v>
      </c>
      <c r="O109" s="516">
        <f t="shared" si="53"/>
        <v>0</v>
      </c>
      <c r="P109" s="516">
        <f t="shared" si="54"/>
        <v>0</v>
      </c>
      <c r="Q109" s="516">
        <f t="shared" si="55"/>
        <v>0</v>
      </c>
      <c r="R109" s="650">
        <f t="shared" si="56"/>
        <v>0</v>
      </c>
      <c r="S109" s="519"/>
      <c r="T109" s="520">
        <f>'ORÇAMENTO GERAL'!$J$65</f>
        <v>731.67</v>
      </c>
      <c r="U109" s="520">
        <f>'ORÇAMENTO GERAL'!$J$66</f>
        <v>14.63</v>
      </c>
      <c r="V109" s="520">
        <f>'ORÇAMENTO GERAL'!$J$67</f>
        <v>8.07</v>
      </c>
      <c r="W109" s="520">
        <f>'ORÇAMENTO GERAL'!$J$68</f>
        <v>3.54</v>
      </c>
      <c r="X109" s="520">
        <f>'ORÇAMENTO GERAL'!$J$69</f>
        <v>7.02</v>
      </c>
      <c r="Y109" s="520">
        <f>'ORÇAMENTO GERAL'!$J$70</f>
        <v>48.92</v>
      </c>
      <c r="Z109" s="520">
        <f>'ORÇAMENTO GERAL'!$J$71</f>
        <v>169.7</v>
      </c>
      <c r="AA109" s="520">
        <f>'ORÇAMENTO GERAL'!$J$72</f>
        <v>22.65</v>
      </c>
      <c r="AB109" s="520">
        <f>'ORÇAMENTO GERAL'!$J$73</f>
        <v>46.13</v>
      </c>
      <c r="AC109" s="520">
        <f>'ORÇAMENTO GERAL'!$J$74</f>
        <v>200.38</v>
      </c>
      <c r="AD109" s="520">
        <f t="shared" si="57"/>
        <v>0</v>
      </c>
    </row>
    <row r="110" spans="1:30" s="501" customFormat="1" ht="45" customHeight="1" hidden="1">
      <c r="A110" s="512">
        <v>7</v>
      </c>
      <c r="B110" s="532">
        <f t="shared" si="44"/>
        <v>0</v>
      </c>
      <c r="C110" s="521">
        <v>1</v>
      </c>
      <c r="D110" s="517"/>
      <c r="E110" s="516">
        <f t="shared" si="58"/>
        <v>0</v>
      </c>
      <c r="F110" s="516">
        <f t="shared" si="45"/>
        <v>1.7</v>
      </c>
      <c r="G110" s="516">
        <f t="shared" si="46"/>
        <v>1.8</v>
      </c>
      <c r="H110" s="516">
        <v>0.05</v>
      </c>
      <c r="I110" s="516">
        <f t="shared" si="47"/>
        <v>0</v>
      </c>
      <c r="J110" s="517">
        <f t="shared" si="48"/>
        <v>0</v>
      </c>
      <c r="K110" s="518">
        <f t="shared" si="49"/>
        <v>0</v>
      </c>
      <c r="L110" s="516">
        <f t="shared" si="50"/>
        <v>0</v>
      </c>
      <c r="M110" s="517">
        <f t="shared" si="51"/>
        <v>0</v>
      </c>
      <c r="N110" s="516">
        <f t="shared" si="52"/>
        <v>0</v>
      </c>
      <c r="O110" s="516">
        <f t="shared" si="53"/>
        <v>0</v>
      </c>
      <c r="P110" s="516">
        <f t="shared" si="54"/>
        <v>0</v>
      </c>
      <c r="Q110" s="516">
        <f t="shared" si="55"/>
        <v>0</v>
      </c>
      <c r="R110" s="650">
        <f t="shared" si="56"/>
        <v>0</v>
      </c>
      <c r="S110" s="519"/>
      <c r="T110" s="520">
        <f>'ORÇAMENTO GERAL'!$J$65</f>
        <v>731.67</v>
      </c>
      <c r="U110" s="520">
        <f>'ORÇAMENTO GERAL'!$J$66</f>
        <v>14.63</v>
      </c>
      <c r="V110" s="520">
        <f>'ORÇAMENTO GERAL'!$J$67</f>
        <v>8.07</v>
      </c>
      <c r="W110" s="520">
        <f>'ORÇAMENTO GERAL'!$J$68</f>
        <v>3.54</v>
      </c>
      <c r="X110" s="520">
        <f>'ORÇAMENTO GERAL'!$J$69</f>
        <v>7.02</v>
      </c>
      <c r="Y110" s="520">
        <f>'ORÇAMENTO GERAL'!$J$70</f>
        <v>48.92</v>
      </c>
      <c r="Z110" s="520">
        <f>'ORÇAMENTO GERAL'!$J$71</f>
        <v>169.7</v>
      </c>
      <c r="AA110" s="520">
        <f>'ORÇAMENTO GERAL'!$J$72</f>
        <v>22.65</v>
      </c>
      <c r="AB110" s="520">
        <f>'ORÇAMENTO GERAL'!$J$73</f>
        <v>46.13</v>
      </c>
      <c r="AC110" s="520">
        <f>'ORÇAMENTO GERAL'!$J$74</f>
        <v>200.38</v>
      </c>
      <c r="AD110" s="520">
        <f t="shared" si="57"/>
        <v>0</v>
      </c>
    </row>
    <row r="111" spans="1:30" s="501" customFormat="1" ht="45" customHeight="1" hidden="1">
      <c r="A111" s="512">
        <v>8</v>
      </c>
      <c r="B111" s="532">
        <f t="shared" si="44"/>
        <v>0</v>
      </c>
      <c r="C111" s="521">
        <v>1</v>
      </c>
      <c r="D111" s="517"/>
      <c r="E111" s="516">
        <f t="shared" si="58"/>
        <v>0</v>
      </c>
      <c r="F111" s="516">
        <f t="shared" si="45"/>
        <v>1.7</v>
      </c>
      <c r="G111" s="516">
        <f t="shared" si="46"/>
        <v>1.8</v>
      </c>
      <c r="H111" s="516">
        <v>0.05</v>
      </c>
      <c r="I111" s="516">
        <f t="shared" si="47"/>
        <v>0</v>
      </c>
      <c r="J111" s="517">
        <f t="shared" si="48"/>
        <v>0</v>
      </c>
      <c r="K111" s="518">
        <f t="shared" si="49"/>
        <v>0</v>
      </c>
      <c r="L111" s="516">
        <f t="shared" si="50"/>
        <v>0</v>
      </c>
      <c r="M111" s="517">
        <f t="shared" si="51"/>
        <v>0</v>
      </c>
      <c r="N111" s="516">
        <f t="shared" si="52"/>
        <v>0</v>
      </c>
      <c r="O111" s="516">
        <f t="shared" si="53"/>
        <v>0</v>
      </c>
      <c r="P111" s="516">
        <f t="shared" si="54"/>
        <v>0</v>
      </c>
      <c r="Q111" s="516">
        <f t="shared" si="55"/>
        <v>0</v>
      </c>
      <c r="R111" s="650">
        <f t="shared" si="56"/>
        <v>0</v>
      </c>
      <c r="S111" s="519"/>
      <c r="T111" s="520">
        <f>'ORÇAMENTO GERAL'!$J$65</f>
        <v>731.67</v>
      </c>
      <c r="U111" s="520">
        <f>'ORÇAMENTO GERAL'!$J$66</f>
        <v>14.63</v>
      </c>
      <c r="V111" s="520">
        <f>'ORÇAMENTO GERAL'!$J$67</f>
        <v>8.07</v>
      </c>
      <c r="W111" s="520">
        <f>'ORÇAMENTO GERAL'!$J$68</f>
        <v>3.54</v>
      </c>
      <c r="X111" s="520">
        <f>'ORÇAMENTO GERAL'!$J$69</f>
        <v>7.02</v>
      </c>
      <c r="Y111" s="520">
        <f>'ORÇAMENTO GERAL'!$J$70</f>
        <v>48.92</v>
      </c>
      <c r="Z111" s="520">
        <f>'ORÇAMENTO GERAL'!$J$71</f>
        <v>169.7</v>
      </c>
      <c r="AA111" s="520">
        <f>'ORÇAMENTO GERAL'!$J$72</f>
        <v>22.65</v>
      </c>
      <c r="AB111" s="520">
        <f>'ORÇAMENTO GERAL'!$J$73</f>
        <v>46.13</v>
      </c>
      <c r="AC111" s="520">
        <f>'ORÇAMENTO GERAL'!$J$74</f>
        <v>200.38</v>
      </c>
      <c r="AD111" s="520">
        <f t="shared" si="57"/>
        <v>0</v>
      </c>
    </row>
    <row r="112" spans="1:30" s="501" customFormat="1" ht="45" customHeight="1" hidden="1">
      <c r="A112" s="512">
        <v>9</v>
      </c>
      <c r="B112" s="532">
        <f t="shared" si="44"/>
        <v>0</v>
      </c>
      <c r="C112" s="521">
        <v>1</v>
      </c>
      <c r="D112" s="517"/>
      <c r="E112" s="516">
        <f t="shared" si="58"/>
        <v>0</v>
      </c>
      <c r="F112" s="516">
        <f t="shared" si="45"/>
        <v>1.7</v>
      </c>
      <c r="G112" s="516">
        <f t="shared" si="46"/>
        <v>1.8</v>
      </c>
      <c r="H112" s="516">
        <v>0.05</v>
      </c>
      <c r="I112" s="516">
        <f t="shared" si="47"/>
        <v>0</v>
      </c>
      <c r="J112" s="517">
        <f t="shared" si="48"/>
        <v>0</v>
      </c>
      <c r="K112" s="518">
        <f t="shared" si="49"/>
        <v>0</v>
      </c>
      <c r="L112" s="516">
        <f t="shared" si="50"/>
        <v>0</v>
      </c>
      <c r="M112" s="517">
        <f t="shared" si="51"/>
        <v>0</v>
      </c>
      <c r="N112" s="516">
        <f t="shared" si="52"/>
        <v>0</v>
      </c>
      <c r="O112" s="516">
        <f t="shared" si="53"/>
        <v>0</v>
      </c>
      <c r="P112" s="516">
        <f t="shared" si="54"/>
        <v>0</v>
      </c>
      <c r="Q112" s="516">
        <f t="shared" si="55"/>
        <v>0</v>
      </c>
      <c r="R112" s="650">
        <f t="shared" si="56"/>
        <v>0</v>
      </c>
      <c r="S112" s="519"/>
      <c r="T112" s="520">
        <f>'ORÇAMENTO GERAL'!$J$65</f>
        <v>731.67</v>
      </c>
      <c r="U112" s="520">
        <f>'ORÇAMENTO GERAL'!$J$66</f>
        <v>14.63</v>
      </c>
      <c r="V112" s="520">
        <f>'ORÇAMENTO GERAL'!$J$67</f>
        <v>8.07</v>
      </c>
      <c r="W112" s="520">
        <f>'ORÇAMENTO GERAL'!$J$68</f>
        <v>3.54</v>
      </c>
      <c r="X112" s="520">
        <f>'ORÇAMENTO GERAL'!$J$69</f>
        <v>7.02</v>
      </c>
      <c r="Y112" s="520">
        <f>'ORÇAMENTO GERAL'!$J$70</f>
        <v>48.92</v>
      </c>
      <c r="Z112" s="520">
        <f>'ORÇAMENTO GERAL'!$J$71</f>
        <v>169.7</v>
      </c>
      <c r="AA112" s="520">
        <f>'ORÇAMENTO GERAL'!$J$72</f>
        <v>22.65</v>
      </c>
      <c r="AB112" s="520">
        <f>'ORÇAMENTO GERAL'!$J$73</f>
        <v>46.13</v>
      </c>
      <c r="AC112" s="520">
        <f>'ORÇAMENTO GERAL'!$J$74</f>
        <v>200.38</v>
      </c>
      <c r="AD112" s="520">
        <f t="shared" si="57"/>
        <v>0</v>
      </c>
    </row>
    <row r="113" spans="1:30" s="501" customFormat="1" ht="45" customHeight="1" hidden="1">
      <c r="A113" s="512">
        <v>10</v>
      </c>
      <c r="B113" s="532">
        <f t="shared" si="44"/>
        <v>0</v>
      </c>
      <c r="C113" s="521">
        <v>1</v>
      </c>
      <c r="D113" s="517"/>
      <c r="E113" s="516">
        <f t="shared" si="58"/>
        <v>0</v>
      </c>
      <c r="F113" s="516">
        <f t="shared" si="45"/>
        <v>1.7</v>
      </c>
      <c r="G113" s="516">
        <f t="shared" si="46"/>
        <v>1.8</v>
      </c>
      <c r="H113" s="516">
        <v>0.05</v>
      </c>
      <c r="I113" s="516">
        <f t="shared" si="47"/>
        <v>0</v>
      </c>
      <c r="J113" s="517">
        <f t="shared" si="48"/>
        <v>0</v>
      </c>
      <c r="K113" s="518">
        <f t="shared" si="49"/>
        <v>0</v>
      </c>
      <c r="L113" s="516">
        <f t="shared" si="50"/>
        <v>0</v>
      </c>
      <c r="M113" s="517">
        <f t="shared" si="51"/>
        <v>0</v>
      </c>
      <c r="N113" s="516">
        <f t="shared" si="52"/>
        <v>0</v>
      </c>
      <c r="O113" s="516">
        <f t="shared" si="53"/>
        <v>0</v>
      </c>
      <c r="P113" s="516">
        <f t="shared" si="54"/>
        <v>0</v>
      </c>
      <c r="Q113" s="516">
        <f t="shared" si="55"/>
        <v>0</v>
      </c>
      <c r="R113" s="650">
        <f t="shared" si="56"/>
        <v>0</v>
      </c>
      <c r="S113" s="519"/>
      <c r="T113" s="520">
        <f>'ORÇAMENTO GERAL'!$J$65</f>
        <v>731.67</v>
      </c>
      <c r="U113" s="520">
        <f>'ORÇAMENTO GERAL'!$J$66</f>
        <v>14.63</v>
      </c>
      <c r="V113" s="520">
        <f>'ORÇAMENTO GERAL'!$J$67</f>
        <v>8.07</v>
      </c>
      <c r="W113" s="520">
        <f>'ORÇAMENTO GERAL'!$J$68</f>
        <v>3.54</v>
      </c>
      <c r="X113" s="520">
        <f>'ORÇAMENTO GERAL'!$J$69</f>
        <v>7.02</v>
      </c>
      <c r="Y113" s="520">
        <f>'ORÇAMENTO GERAL'!$J$70</f>
        <v>48.92</v>
      </c>
      <c r="Z113" s="520">
        <f>'ORÇAMENTO GERAL'!$J$71</f>
        <v>169.7</v>
      </c>
      <c r="AA113" s="520">
        <f>'ORÇAMENTO GERAL'!$J$72</f>
        <v>22.65</v>
      </c>
      <c r="AB113" s="520">
        <f>'ORÇAMENTO GERAL'!$J$73</f>
        <v>46.13</v>
      </c>
      <c r="AC113" s="520">
        <f>'ORÇAMENTO GERAL'!$J$74</f>
        <v>200.38</v>
      </c>
      <c r="AD113" s="520">
        <f t="shared" si="57"/>
        <v>0</v>
      </c>
    </row>
    <row r="114" spans="1:30" s="501" customFormat="1" ht="45" customHeight="1" hidden="1">
      <c r="A114" s="512">
        <v>11</v>
      </c>
      <c r="B114" s="532">
        <f t="shared" si="44"/>
        <v>0</v>
      </c>
      <c r="C114" s="521">
        <v>1</v>
      </c>
      <c r="D114" s="517"/>
      <c r="E114" s="516">
        <f t="shared" si="58"/>
        <v>0</v>
      </c>
      <c r="F114" s="516">
        <f t="shared" si="45"/>
        <v>1.7</v>
      </c>
      <c r="G114" s="516">
        <f t="shared" si="46"/>
        <v>1.8</v>
      </c>
      <c r="H114" s="516">
        <v>0.05</v>
      </c>
      <c r="I114" s="516">
        <f t="shared" si="47"/>
        <v>0</v>
      </c>
      <c r="J114" s="517">
        <f t="shared" si="48"/>
        <v>0</v>
      </c>
      <c r="K114" s="518">
        <f t="shared" si="49"/>
        <v>0</v>
      </c>
      <c r="L114" s="516">
        <f t="shared" si="50"/>
        <v>0</v>
      </c>
      <c r="M114" s="517">
        <f t="shared" si="51"/>
        <v>0</v>
      </c>
      <c r="N114" s="516">
        <f t="shared" si="52"/>
        <v>0</v>
      </c>
      <c r="O114" s="516">
        <f t="shared" si="53"/>
        <v>0</v>
      </c>
      <c r="P114" s="516">
        <f t="shared" si="54"/>
        <v>0</v>
      </c>
      <c r="Q114" s="516">
        <f t="shared" si="55"/>
        <v>0</v>
      </c>
      <c r="R114" s="650">
        <f t="shared" si="56"/>
        <v>0</v>
      </c>
      <c r="S114" s="519"/>
      <c r="T114" s="520">
        <f>'ORÇAMENTO GERAL'!$J$65</f>
        <v>731.67</v>
      </c>
      <c r="U114" s="520">
        <f>'ORÇAMENTO GERAL'!$J$66</f>
        <v>14.63</v>
      </c>
      <c r="V114" s="520">
        <f>'ORÇAMENTO GERAL'!$J$67</f>
        <v>8.07</v>
      </c>
      <c r="W114" s="520">
        <f>'ORÇAMENTO GERAL'!$J$68</f>
        <v>3.54</v>
      </c>
      <c r="X114" s="520">
        <f>'ORÇAMENTO GERAL'!$J$69</f>
        <v>7.02</v>
      </c>
      <c r="Y114" s="520">
        <f>'ORÇAMENTO GERAL'!$J$70</f>
        <v>48.92</v>
      </c>
      <c r="Z114" s="520">
        <f>'ORÇAMENTO GERAL'!$J$71</f>
        <v>169.7</v>
      </c>
      <c r="AA114" s="520">
        <f>'ORÇAMENTO GERAL'!$J$72</f>
        <v>22.65</v>
      </c>
      <c r="AB114" s="520">
        <f>'ORÇAMENTO GERAL'!$J$73</f>
        <v>46.13</v>
      </c>
      <c r="AC114" s="520">
        <f>'ORÇAMENTO GERAL'!$J$74</f>
        <v>200.38</v>
      </c>
      <c r="AD114" s="520">
        <f t="shared" si="57"/>
        <v>0</v>
      </c>
    </row>
    <row r="115" spans="1:30" s="501" customFormat="1" ht="45" customHeight="1" hidden="1">
      <c r="A115" s="512">
        <v>12</v>
      </c>
      <c r="B115" s="532">
        <f t="shared" si="44"/>
        <v>0</v>
      </c>
      <c r="C115" s="521">
        <v>1</v>
      </c>
      <c r="D115" s="517"/>
      <c r="E115" s="516">
        <f t="shared" si="58"/>
        <v>0</v>
      </c>
      <c r="F115" s="516">
        <f t="shared" si="45"/>
        <v>1.7</v>
      </c>
      <c r="G115" s="516">
        <f t="shared" si="46"/>
        <v>1.8</v>
      </c>
      <c r="H115" s="516">
        <v>0.05</v>
      </c>
      <c r="I115" s="516">
        <f t="shared" si="47"/>
        <v>0</v>
      </c>
      <c r="J115" s="517">
        <f t="shared" si="48"/>
        <v>0</v>
      </c>
      <c r="K115" s="518">
        <f t="shared" si="49"/>
        <v>0</v>
      </c>
      <c r="L115" s="516">
        <f t="shared" si="50"/>
        <v>0</v>
      </c>
      <c r="M115" s="517">
        <f t="shared" si="51"/>
        <v>0</v>
      </c>
      <c r="N115" s="516">
        <f t="shared" si="52"/>
        <v>0</v>
      </c>
      <c r="O115" s="516">
        <f t="shared" si="53"/>
        <v>0</v>
      </c>
      <c r="P115" s="516">
        <f t="shared" si="54"/>
        <v>0</v>
      </c>
      <c r="Q115" s="516">
        <f t="shared" si="55"/>
        <v>0</v>
      </c>
      <c r="R115" s="650">
        <f t="shared" si="56"/>
        <v>0</v>
      </c>
      <c r="S115" s="519"/>
      <c r="T115" s="520">
        <f>'ORÇAMENTO GERAL'!$J$65</f>
        <v>731.67</v>
      </c>
      <c r="U115" s="520">
        <f>'ORÇAMENTO GERAL'!$J$66</f>
        <v>14.63</v>
      </c>
      <c r="V115" s="520">
        <f>'ORÇAMENTO GERAL'!$J$67</f>
        <v>8.07</v>
      </c>
      <c r="W115" s="520">
        <f>'ORÇAMENTO GERAL'!$J$68</f>
        <v>3.54</v>
      </c>
      <c r="X115" s="520">
        <f>'ORÇAMENTO GERAL'!$J$69</f>
        <v>7.02</v>
      </c>
      <c r="Y115" s="520">
        <f>'ORÇAMENTO GERAL'!$J$70</f>
        <v>48.92</v>
      </c>
      <c r="Z115" s="520">
        <f>'ORÇAMENTO GERAL'!$J$71</f>
        <v>169.7</v>
      </c>
      <c r="AA115" s="520">
        <f>'ORÇAMENTO GERAL'!$J$72</f>
        <v>22.65</v>
      </c>
      <c r="AB115" s="520">
        <f>'ORÇAMENTO GERAL'!$J$73</f>
        <v>46.13</v>
      </c>
      <c r="AC115" s="520">
        <f>'ORÇAMENTO GERAL'!$J$74</f>
        <v>200.38</v>
      </c>
      <c r="AD115" s="520">
        <f t="shared" si="57"/>
        <v>0</v>
      </c>
    </row>
    <row r="116" spans="1:30" s="501" customFormat="1" ht="45" customHeight="1" hidden="1">
      <c r="A116" s="512">
        <v>13</v>
      </c>
      <c r="B116" s="532">
        <f t="shared" si="44"/>
        <v>0</v>
      </c>
      <c r="C116" s="521">
        <v>1</v>
      </c>
      <c r="D116" s="517"/>
      <c r="E116" s="516">
        <f t="shared" si="58"/>
        <v>0</v>
      </c>
      <c r="F116" s="516">
        <f t="shared" si="45"/>
        <v>1.7</v>
      </c>
      <c r="G116" s="516">
        <f t="shared" si="46"/>
        <v>1.8</v>
      </c>
      <c r="H116" s="516">
        <v>0.05</v>
      </c>
      <c r="I116" s="516">
        <f t="shared" si="47"/>
        <v>0</v>
      </c>
      <c r="J116" s="517">
        <f t="shared" si="48"/>
        <v>0</v>
      </c>
      <c r="K116" s="518">
        <f t="shared" si="49"/>
        <v>0</v>
      </c>
      <c r="L116" s="516">
        <f t="shared" si="50"/>
        <v>0</v>
      </c>
      <c r="M116" s="517">
        <f t="shared" si="51"/>
        <v>0</v>
      </c>
      <c r="N116" s="516">
        <f t="shared" si="52"/>
        <v>0</v>
      </c>
      <c r="O116" s="516">
        <f t="shared" si="53"/>
        <v>0</v>
      </c>
      <c r="P116" s="516">
        <f t="shared" si="54"/>
        <v>0</v>
      </c>
      <c r="Q116" s="516">
        <f t="shared" si="55"/>
        <v>0</v>
      </c>
      <c r="R116" s="650">
        <f t="shared" si="56"/>
        <v>0</v>
      </c>
      <c r="S116" s="519"/>
      <c r="T116" s="520">
        <f>'ORÇAMENTO GERAL'!$J$65</f>
        <v>731.67</v>
      </c>
      <c r="U116" s="520">
        <f>'ORÇAMENTO GERAL'!$J$66</f>
        <v>14.63</v>
      </c>
      <c r="V116" s="520">
        <f>'ORÇAMENTO GERAL'!$J$67</f>
        <v>8.07</v>
      </c>
      <c r="W116" s="520">
        <f>'ORÇAMENTO GERAL'!$J$68</f>
        <v>3.54</v>
      </c>
      <c r="X116" s="520">
        <f>'ORÇAMENTO GERAL'!$J$69</f>
        <v>7.02</v>
      </c>
      <c r="Y116" s="520">
        <f>'ORÇAMENTO GERAL'!$J$70</f>
        <v>48.92</v>
      </c>
      <c r="Z116" s="520">
        <f>'ORÇAMENTO GERAL'!$J$71</f>
        <v>169.7</v>
      </c>
      <c r="AA116" s="520">
        <f>'ORÇAMENTO GERAL'!$J$72</f>
        <v>22.65</v>
      </c>
      <c r="AB116" s="520">
        <f>'ORÇAMENTO GERAL'!$J$73</f>
        <v>46.13</v>
      </c>
      <c r="AC116" s="520">
        <f>'ORÇAMENTO GERAL'!$J$74</f>
        <v>200.38</v>
      </c>
      <c r="AD116" s="520">
        <f t="shared" si="57"/>
        <v>0</v>
      </c>
    </row>
    <row r="117" spans="1:30" s="501" customFormat="1" ht="45" customHeight="1" hidden="1">
      <c r="A117" s="512">
        <v>14</v>
      </c>
      <c r="B117" s="532">
        <f t="shared" si="44"/>
        <v>0</v>
      </c>
      <c r="C117" s="521">
        <v>1</v>
      </c>
      <c r="D117" s="517"/>
      <c r="E117" s="516">
        <f t="shared" si="58"/>
        <v>0</v>
      </c>
      <c r="F117" s="516">
        <f t="shared" si="45"/>
        <v>1.7</v>
      </c>
      <c r="G117" s="516">
        <f t="shared" si="46"/>
        <v>1.8</v>
      </c>
      <c r="H117" s="516">
        <v>0.05</v>
      </c>
      <c r="I117" s="516">
        <f t="shared" si="47"/>
        <v>0</v>
      </c>
      <c r="J117" s="517">
        <f t="shared" si="48"/>
        <v>0</v>
      </c>
      <c r="K117" s="518">
        <f t="shared" si="49"/>
        <v>0</v>
      </c>
      <c r="L117" s="516">
        <f t="shared" si="50"/>
        <v>0</v>
      </c>
      <c r="M117" s="517">
        <f t="shared" si="51"/>
        <v>0</v>
      </c>
      <c r="N117" s="516">
        <f t="shared" si="52"/>
        <v>0</v>
      </c>
      <c r="O117" s="516">
        <f t="shared" si="53"/>
        <v>0</v>
      </c>
      <c r="P117" s="516">
        <f t="shared" si="54"/>
        <v>0</v>
      </c>
      <c r="Q117" s="516">
        <f t="shared" si="55"/>
        <v>0</v>
      </c>
      <c r="R117" s="650">
        <f t="shared" si="56"/>
        <v>0</v>
      </c>
      <c r="S117" s="519"/>
      <c r="T117" s="520">
        <f>'ORÇAMENTO GERAL'!$J$65</f>
        <v>731.67</v>
      </c>
      <c r="U117" s="520">
        <f>'ORÇAMENTO GERAL'!$J$66</f>
        <v>14.63</v>
      </c>
      <c r="V117" s="520">
        <f>'ORÇAMENTO GERAL'!$J$67</f>
        <v>8.07</v>
      </c>
      <c r="W117" s="520">
        <f>'ORÇAMENTO GERAL'!$J$68</f>
        <v>3.54</v>
      </c>
      <c r="X117" s="520">
        <f>'ORÇAMENTO GERAL'!$J$69</f>
        <v>7.02</v>
      </c>
      <c r="Y117" s="520">
        <f>'ORÇAMENTO GERAL'!$J$70</f>
        <v>48.92</v>
      </c>
      <c r="Z117" s="520">
        <f>'ORÇAMENTO GERAL'!$J$71</f>
        <v>169.7</v>
      </c>
      <c r="AA117" s="520">
        <f>'ORÇAMENTO GERAL'!$J$72</f>
        <v>22.65</v>
      </c>
      <c r="AB117" s="520">
        <f>'ORÇAMENTO GERAL'!$J$73</f>
        <v>46.13</v>
      </c>
      <c r="AC117" s="520">
        <f>'ORÇAMENTO GERAL'!$J$74</f>
        <v>200.38</v>
      </c>
      <c r="AD117" s="520">
        <f t="shared" si="57"/>
        <v>0</v>
      </c>
    </row>
    <row r="118" spans="1:30" s="501" customFormat="1" ht="45" customHeight="1" hidden="1">
      <c r="A118" s="512">
        <v>15</v>
      </c>
      <c r="B118" s="532">
        <f t="shared" si="44"/>
        <v>0</v>
      </c>
      <c r="C118" s="521">
        <v>1</v>
      </c>
      <c r="D118" s="517"/>
      <c r="E118" s="516">
        <f t="shared" si="58"/>
        <v>0</v>
      </c>
      <c r="F118" s="516">
        <f t="shared" si="45"/>
        <v>1.7</v>
      </c>
      <c r="G118" s="516">
        <f t="shared" si="46"/>
        <v>1.8</v>
      </c>
      <c r="H118" s="516">
        <v>0.05</v>
      </c>
      <c r="I118" s="516">
        <f t="shared" si="47"/>
        <v>0</v>
      </c>
      <c r="J118" s="517">
        <f t="shared" si="48"/>
        <v>0</v>
      </c>
      <c r="K118" s="518">
        <f t="shared" si="49"/>
        <v>0</v>
      </c>
      <c r="L118" s="516">
        <f t="shared" si="50"/>
        <v>0</v>
      </c>
      <c r="M118" s="517">
        <f t="shared" si="51"/>
        <v>0</v>
      </c>
      <c r="N118" s="516">
        <f t="shared" si="52"/>
        <v>0</v>
      </c>
      <c r="O118" s="516">
        <f t="shared" si="53"/>
        <v>0</v>
      </c>
      <c r="P118" s="516">
        <f t="shared" si="54"/>
        <v>0</v>
      </c>
      <c r="Q118" s="516">
        <f t="shared" si="55"/>
        <v>0</v>
      </c>
      <c r="R118" s="650">
        <f t="shared" si="56"/>
        <v>0</v>
      </c>
      <c r="S118" s="519"/>
      <c r="T118" s="520">
        <f>'ORÇAMENTO GERAL'!$J$65</f>
        <v>731.67</v>
      </c>
      <c r="U118" s="520">
        <f>'ORÇAMENTO GERAL'!$J$66</f>
        <v>14.63</v>
      </c>
      <c r="V118" s="520">
        <f>'ORÇAMENTO GERAL'!$J$67</f>
        <v>8.07</v>
      </c>
      <c r="W118" s="520">
        <f>'ORÇAMENTO GERAL'!$J$68</f>
        <v>3.54</v>
      </c>
      <c r="X118" s="520">
        <f>'ORÇAMENTO GERAL'!$J$69</f>
        <v>7.02</v>
      </c>
      <c r="Y118" s="520">
        <f>'ORÇAMENTO GERAL'!$J$70</f>
        <v>48.92</v>
      </c>
      <c r="Z118" s="520">
        <f>'ORÇAMENTO GERAL'!$J$71</f>
        <v>169.7</v>
      </c>
      <c r="AA118" s="520">
        <f>'ORÇAMENTO GERAL'!$J$72</f>
        <v>22.65</v>
      </c>
      <c r="AB118" s="520">
        <f>'ORÇAMENTO GERAL'!$J$73</f>
        <v>46.13</v>
      </c>
      <c r="AC118" s="520">
        <f>'ORÇAMENTO GERAL'!$J$74</f>
        <v>200.38</v>
      </c>
      <c r="AD118" s="520">
        <f t="shared" si="57"/>
        <v>0</v>
      </c>
    </row>
    <row r="119" spans="1:30" s="501" customFormat="1" ht="45" customHeight="1" hidden="1">
      <c r="A119" s="512">
        <v>16</v>
      </c>
      <c r="B119" s="532">
        <f t="shared" si="44"/>
        <v>0</v>
      </c>
      <c r="C119" s="521">
        <v>1</v>
      </c>
      <c r="D119" s="517"/>
      <c r="E119" s="516">
        <f t="shared" si="58"/>
        <v>0</v>
      </c>
      <c r="F119" s="516">
        <f t="shared" si="45"/>
        <v>1.7</v>
      </c>
      <c r="G119" s="516">
        <f t="shared" si="46"/>
        <v>1.8</v>
      </c>
      <c r="H119" s="516">
        <v>0.05</v>
      </c>
      <c r="I119" s="516">
        <f t="shared" si="47"/>
        <v>0</v>
      </c>
      <c r="J119" s="517">
        <f t="shared" si="48"/>
        <v>0</v>
      </c>
      <c r="K119" s="518">
        <f t="shared" si="49"/>
        <v>0</v>
      </c>
      <c r="L119" s="516">
        <f t="shared" si="50"/>
        <v>0</v>
      </c>
      <c r="M119" s="517">
        <f t="shared" si="51"/>
        <v>0</v>
      </c>
      <c r="N119" s="516">
        <f t="shared" si="52"/>
        <v>0</v>
      </c>
      <c r="O119" s="516">
        <f t="shared" si="53"/>
        <v>0</v>
      </c>
      <c r="P119" s="516">
        <f t="shared" si="54"/>
        <v>0</v>
      </c>
      <c r="Q119" s="516">
        <f t="shared" si="55"/>
        <v>0</v>
      </c>
      <c r="R119" s="650">
        <f t="shared" si="56"/>
        <v>0</v>
      </c>
      <c r="S119" s="519"/>
      <c r="T119" s="520">
        <f>'ORÇAMENTO GERAL'!$J$65</f>
        <v>731.67</v>
      </c>
      <c r="U119" s="520">
        <f>'ORÇAMENTO GERAL'!$J$66</f>
        <v>14.63</v>
      </c>
      <c r="V119" s="520">
        <f>'ORÇAMENTO GERAL'!$J$67</f>
        <v>8.07</v>
      </c>
      <c r="W119" s="520">
        <f>'ORÇAMENTO GERAL'!$J$68</f>
        <v>3.54</v>
      </c>
      <c r="X119" s="520">
        <f>'ORÇAMENTO GERAL'!$J$69</f>
        <v>7.02</v>
      </c>
      <c r="Y119" s="520">
        <f>'ORÇAMENTO GERAL'!$J$70</f>
        <v>48.92</v>
      </c>
      <c r="Z119" s="520">
        <f>'ORÇAMENTO GERAL'!$J$71</f>
        <v>169.7</v>
      </c>
      <c r="AA119" s="520">
        <f>'ORÇAMENTO GERAL'!$J$72</f>
        <v>22.65</v>
      </c>
      <c r="AB119" s="520">
        <f>'ORÇAMENTO GERAL'!$J$73</f>
        <v>46.13</v>
      </c>
      <c r="AC119" s="520">
        <f>'ORÇAMENTO GERAL'!$J$74</f>
        <v>200.38</v>
      </c>
      <c r="AD119" s="520">
        <f t="shared" si="57"/>
        <v>0</v>
      </c>
    </row>
    <row r="120" spans="1:30" s="501" customFormat="1" ht="45" customHeight="1" hidden="1">
      <c r="A120" s="512">
        <v>17</v>
      </c>
      <c r="B120" s="532">
        <f t="shared" si="44"/>
        <v>0</v>
      </c>
      <c r="C120" s="521">
        <v>1</v>
      </c>
      <c r="D120" s="517"/>
      <c r="E120" s="516">
        <f t="shared" si="58"/>
        <v>0</v>
      </c>
      <c r="F120" s="516">
        <f t="shared" si="45"/>
        <v>1.7</v>
      </c>
      <c r="G120" s="516">
        <f t="shared" si="46"/>
        <v>1.8</v>
      </c>
      <c r="H120" s="516">
        <v>0.05</v>
      </c>
      <c r="I120" s="516">
        <f t="shared" si="47"/>
        <v>0</v>
      </c>
      <c r="J120" s="517">
        <f t="shared" si="48"/>
        <v>0</v>
      </c>
      <c r="K120" s="518">
        <f t="shared" si="49"/>
        <v>0</v>
      </c>
      <c r="L120" s="516">
        <f t="shared" si="50"/>
        <v>0</v>
      </c>
      <c r="M120" s="517">
        <f t="shared" si="51"/>
        <v>0</v>
      </c>
      <c r="N120" s="516">
        <f t="shared" si="52"/>
        <v>0</v>
      </c>
      <c r="O120" s="516">
        <f t="shared" si="53"/>
        <v>0</v>
      </c>
      <c r="P120" s="516">
        <f t="shared" si="54"/>
        <v>0</v>
      </c>
      <c r="Q120" s="516">
        <f t="shared" si="55"/>
        <v>0</v>
      </c>
      <c r="R120" s="650">
        <f t="shared" si="56"/>
        <v>0</v>
      </c>
      <c r="S120" s="519"/>
      <c r="T120" s="520">
        <f>'ORÇAMENTO GERAL'!$J$65</f>
        <v>731.67</v>
      </c>
      <c r="U120" s="520">
        <f>'ORÇAMENTO GERAL'!$J$66</f>
        <v>14.63</v>
      </c>
      <c r="V120" s="520">
        <f>'ORÇAMENTO GERAL'!$J$67</f>
        <v>8.07</v>
      </c>
      <c r="W120" s="520">
        <f>'ORÇAMENTO GERAL'!$J$68</f>
        <v>3.54</v>
      </c>
      <c r="X120" s="520">
        <f>'ORÇAMENTO GERAL'!$J$69</f>
        <v>7.02</v>
      </c>
      <c r="Y120" s="520">
        <f>'ORÇAMENTO GERAL'!$J$70</f>
        <v>48.92</v>
      </c>
      <c r="Z120" s="520">
        <f>'ORÇAMENTO GERAL'!$J$71</f>
        <v>169.7</v>
      </c>
      <c r="AA120" s="520">
        <f>'ORÇAMENTO GERAL'!$J$72</f>
        <v>22.65</v>
      </c>
      <c r="AB120" s="520">
        <f>'ORÇAMENTO GERAL'!$J$73</f>
        <v>46.13</v>
      </c>
      <c r="AC120" s="520">
        <f>'ORÇAMENTO GERAL'!$J$74</f>
        <v>200.38</v>
      </c>
      <c r="AD120" s="520">
        <f t="shared" si="57"/>
        <v>0</v>
      </c>
    </row>
    <row r="121" spans="1:30" s="501" customFormat="1" ht="45" customHeight="1" hidden="1">
      <c r="A121" s="512">
        <v>18</v>
      </c>
      <c r="B121" s="532">
        <f t="shared" si="44"/>
        <v>0</v>
      </c>
      <c r="C121" s="521">
        <v>1</v>
      </c>
      <c r="D121" s="517"/>
      <c r="E121" s="516">
        <f t="shared" si="58"/>
        <v>0</v>
      </c>
      <c r="F121" s="516">
        <f t="shared" si="45"/>
        <v>1.7</v>
      </c>
      <c r="G121" s="516">
        <f t="shared" si="46"/>
        <v>1.8</v>
      </c>
      <c r="H121" s="516">
        <v>0.05</v>
      </c>
      <c r="I121" s="516">
        <f t="shared" si="47"/>
        <v>0</v>
      </c>
      <c r="J121" s="517">
        <f t="shared" si="48"/>
        <v>0</v>
      </c>
      <c r="K121" s="518">
        <f t="shared" si="49"/>
        <v>0</v>
      </c>
      <c r="L121" s="516">
        <f t="shared" si="50"/>
        <v>0</v>
      </c>
      <c r="M121" s="517">
        <f t="shared" si="51"/>
        <v>0</v>
      </c>
      <c r="N121" s="516">
        <f t="shared" si="52"/>
        <v>0</v>
      </c>
      <c r="O121" s="516">
        <f t="shared" si="53"/>
        <v>0</v>
      </c>
      <c r="P121" s="516">
        <f t="shared" si="54"/>
        <v>0</v>
      </c>
      <c r="Q121" s="516">
        <f t="shared" si="55"/>
        <v>0</v>
      </c>
      <c r="R121" s="650">
        <f t="shared" si="56"/>
        <v>0</v>
      </c>
      <c r="S121" s="519"/>
      <c r="T121" s="520">
        <f>'ORÇAMENTO GERAL'!$J$65</f>
        <v>731.67</v>
      </c>
      <c r="U121" s="520">
        <f>'ORÇAMENTO GERAL'!$J$66</f>
        <v>14.63</v>
      </c>
      <c r="V121" s="520">
        <f>'ORÇAMENTO GERAL'!$J$67</f>
        <v>8.07</v>
      </c>
      <c r="W121" s="520">
        <f>'ORÇAMENTO GERAL'!$J$68</f>
        <v>3.54</v>
      </c>
      <c r="X121" s="520">
        <f>'ORÇAMENTO GERAL'!$J$69</f>
        <v>7.02</v>
      </c>
      <c r="Y121" s="520">
        <f>'ORÇAMENTO GERAL'!$J$70</f>
        <v>48.92</v>
      </c>
      <c r="Z121" s="520">
        <f>'ORÇAMENTO GERAL'!$J$71</f>
        <v>169.7</v>
      </c>
      <c r="AA121" s="520">
        <f>'ORÇAMENTO GERAL'!$J$72</f>
        <v>22.65</v>
      </c>
      <c r="AB121" s="520">
        <f>'ORÇAMENTO GERAL'!$J$73</f>
        <v>46.13</v>
      </c>
      <c r="AC121" s="520">
        <f>'ORÇAMENTO GERAL'!$J$74</f>
        <v>200.38</v>
      </c>
      <c r="AD121" s="520">
        <f t="shared" si="57"/>
        <v>0</v>
      </c>
    </row>
    <row r="122" spans="1:30" s="501" customFormat="1" ht="45" customHeight="1" hidden="1">
      <c r="A122" s="512">
        <v>19</v>
      </c>
      <c r="B122" s="532">
        <f t="shared" si="44"/>
        <v>0</v>
      </c>
      <c r="C122" s="521">
        <v>1</v>
      </c>
      <c r="D122" s="517"/>
      <c r="E122" s="516">
        <f t="shared" si="58"/>
        <v>0</v>
      </c>
      <c r="F122" s="516">
        <f t="shared" si="45"/>
        <v>1.7</v>
      </c>
      <c r="G122" s="516">
        <f t="shared" si="46"/>
        <v>1.8</v>
      </c>
      <c r="H122" s="516">
        <v>0.05</v>
      </c>
      <c r="I122" s="516">
        <f t="shared" si="47"/>
        <v>0</v>
      </c>
      <c r="J122" s="517">
        <f t="shared" si="48"/>
        <v>0</v>
      </c>
      <c r="K122" s="518">
        <f t="shared" si="49"/>
        <v>0</v>
      </c>
      <c r="L122" s="516">
        <f t="shared" si="50"/>
        <v>0</v>
      </c>
      <c r="M122" s="517">
        <f t="shared" si="51"/>
        <v>0</v>
      </c>
      <c r="N122" s="516">
        <f t="shared" si="52"/>
        <v>0</v>
      </c>
      <c r="O122" s="516">
        <f t="shared" si="53"/>
        <v>0</v>
      </c>
      <c r="P122" s="516">
        <f t="shared" si="54"/>
        <v>0</v>
      </c>
      <c r="Q122" s="516">
        <f t="shared" si="55"/>
        <v>0</v>
      </c>
      <c r="R122" s="650">
        <f t="shared" si="56"/>
        <v>0</v>
      </c>
      <c r="S122" s="519"/>
      <c r="T122" s="520">
        <f>'ORÇAMENTO GERAL'!$J$65</f>
        <v>731.67</v>
      </c>
      <c r="U122" s="520">
        <f>'ORÇAMENTO GERAL'!$J$66</f>
        <v>14.63</v>
      </c>
      <c r="V122" s="520">
        <f>'ORÇAMENTO GERAL'!$J$67</f>
        <v>8.07</v>
      </c>
      <c r="W122" s="520">
        <f>'ORÇAMENTO GERAL'!$J$68</f>
        <v>3.54</v>
      </c>
      <c r="X122" s="520">
        <f>'ORÇAMENTO GERAL'!$J$69</f>
        <v>7.02</v>
      </c>
      <c r="Y122" s="520">
        <f>'ORÇAMENTO GERAL'!$J$70</f>
        <v>48.92</v>
      </c>
      <c r="Z122" s="520">
        <f>'ORÇAMENTO GERAL'!$J$71</f>
        <v>169.7</v>
      </c>
      <c r="AA122" s="520">
        <f>'ORÇAMENTO GERAL'!$J$72</f>
        <v>22.65</v>
      </c>
      <c r="AB122" s="520">
        <f>'ORÇAMENTO GERAL'!$J$73</f>
        <v>46.13</v>
      </c>
      <c r="AC122" s="520">
        <f>'ORÇAMENTO GERAL'!$J$74</f>
        <v>200.38</v>
      </c>
      <c r="AD122" s="520">
        <f t="shared" si="57"/>
        <v>0</v>
      </c>
    </row>
    <row r="123" spans="1:30" s="501" customFormat="1" ht="45" customHeight="1" hidden="1" thickBot="1">
      <c r="A123" s="512">
        <v>20</v>
      </c>
      <c r="B123" s="532">
        <f t="shared" si="44"/>
        <v>0</v>
      </c>
      <c r="C123" s="521">
        <v>1</v>
      </c>
      <c r="D123" s="517"/>
      <c r="E123" s="516">
        <f t="shared" si="58"/>
        <v>0</v>
      </c>
      <c r="F123" s="516">
        <f t="shared" si="45"/>
        <v>1.7</v>
      </c>
      <c r="G123" s="516">
        <f t="shared" si="46"/>
        <v>1.8</v>
      </c>
      <c r="H123" s="516">
        <v>0.05</v>
      </c>
      <c r="I123" s="516">
        <f t="shared" si="47"/>
        <v>0</v>
      </c>
      <c r="J123" s="517">
        <f t="shared" si="48"/>
        <v>0</v>
      </c>
      <c r="K123" s="518">
        <f t="shared" si="49"/>
        <v>0</v>
      </c>
      <c r="L123" s="516">
        <f t="shared" si="50"/>
        <v>0</v>
      </c>
      <c r="M123" s="517">
        <f t="shared" si="51"/>
        <v>0</v>
      </c>
      <c r="N123" s="516">
        <f t="shared" si="52"/>
        <v>0</v>
      </c>
      <c r="O123" s="516">
        <f t="shared" si="53"/>
        <v>0</v>
      </c>
      <c r="P123" s="516">
        <f t="shared" si="54"/>
        <v>0</v>
      </c>
      <c r="Q123" s="516">
        <f t="shared" si="55"/>
        <v>0</v>
      </c>
      <c r="R123" s="650">
        <f t="shared" si="56"/>
        <v>0</v>
      </c>
      <c r="S123" s="519"/>
      <c r="T123" s="520">
        <f>'ORÇAMENTO GERAL'!$J$65</f>
        <v>731.67</v>
      </c>
      <c r="U123" s="520">
        <f>'ORÇAMENTO GERAL'!$J$66</f>
        <v>14.63</v>
      </c>
      <c r="V123" s="520">
        <f>'ORÇAMENTO GERAL'!$J$67</f>
        <v>8.07</v>
      </c>
      <c r="W123" s="520">
        <f>'ORÇAMENTO GERAL'!$J$68</f>
        <v>3.54</v>
      </c>
      <c r="X123" s="520">
        <f>'ORÇAMENTO GERAL'!$J$69</f>
        <v>7.02</v>
      </c>
      <c r="Y123" s="520">
        <f>'ORÇAMENTO GERAL'!$J$70</f>
        <v>48.92</v>
      </c>
      <c r="Z123" s="520">
        <f>'ORÇAMENTO GERAL'!$J$71</f>
        <v>169.7</v>
      </c>
      <c r="AA123" s="520">
        <f>'ORÇAMENTO GERAL'!$J$72</f>
        <v>22.65</v>
      </c>
      <c r="AB123" s="520">
        <f>'ORÇAMENTO GERAL'!$J$73</f>
        <v>46.13</v>
      </c>
      <c r="AC123" s="520">
        <f>'ORÇAMENTO GERAL'!$J$74</f>
        <v>200.38</v>
      </c>
      <c r="AD123" s="520">
        <f t="shared" si="57"/>
        <v>0</v>
      </c>
    </row>
    <row r="124" spans="1:19" s="501" customFormat="1" ht="45" customHeight="1" hidden="1" thickBot="1">
      <c r="A124" s="854" t="s">
        <v>24</v>
      </c>
      <c r="B124" s="855"/>
      <c r="C124" s="523"/>
      <c r="D124" s="523"/>
      <c r="E124" s="523">
        <f>SUM(E104:E123)</f>
        <v>0</v>
      </c>
      <c r="F124" s="523"/>
      <c r="G124" s="523"/>
      <c r="H124" s="523"/>
      <c r="I124" s="523">
        <f>SUM(I104:I123)</f>
        <v>0</v>
      </c>
      <c r="J124" s="523">
        <f aca="true" t="shared" si="59" ref="J124:R124">SUM(J104:J123)</f>
        <v>0</v>
      </c>
      <c r="K124" s="523">
        <f t="shared" si="59"/>
        <v>0</v>
      </c>
      <c r="L124" s="523">
        <f t="shared" si="59"/>
        <v>0</v>
      </c>
      <c r="M124" s="523">
        <f t="shared" si="59"/>
        <v>0</v>
      </c>
      <c r="N124" s="523">
        <f t="shared" si="59"/>
        <v>0</v>
      </c>
      <c r="O124" s="523">
        <f t="shared" si="59"/>
        <v>0</v>
      </c>
      <c r="P124" s="523">
        <f t="shared" si="59"/>
        <v>0</v>
      </c>
      <c r="Q124" s="523">
        <f t="shared" si="59"/>
        <v>0</v>
      </c>
      <c r="R124" s="523">
        <f t="shared" si="59"/>
        <v>0</v>
      </c>
      <c r="S124" s="524"/>
    </row>
    <row r="125" spans="1:18" s="501" customFormat="1" ht="45" customHeight="1" hidden="1" thickBot="1">
      <c r="A125" s="654"/>
      <c r="B125" s="652"/>
      <c r="C125" s="655"/>
      <c r="D125" s="655"/>
      <c r="E125" s="655"/>
      <c r="F125" s="655"/>
      <c r="G125" s="655"/>
      <c r="H125" s="655"/>
      <c r="I125" s="652"/>
      <c r="J125" s="652"/>
      <c r="K125" s="652"/>
      <c r="L125" s="652"/>
      <c r="M125" s="652"/>
      <c r="N125" s="652"/>
      <c r="O125" s="652"/>
      <c r="P125" s="652"/>
      <c r="Q125" s="652"/>
      <c r="R125" s="653"/>
    </row>
    <row r="126" spans="1:19" s="501" customFormat="1" ht="45" customHeight="1" hidden="1" thickBot="1">
      <c r="A126" s="869" t="s">
        <v>495</v>
      </c>
      <c r="B126" s="870"/>
      <c r="C126" s="870"/>
      <c r="D126" s="870"/>
      <c r="E126" s="870"/>
      <c r="F126" s="870"/>
      <c r="G126" s="870"/>
      <c r="H126" s="870"/>
      <c r="I126" s="870"/>
      <c r="J126" s="870"/>
      <c r="K126" s="870"/>
      <c r="L126" s="870"/>
      <c r="M126" s="870"/>
      <c r="N126" s="870"/>
      <c r="O126" s="870"/>
      <c r="P126" s="870"/>
      <c r="Q126" s="870"/>
      <c r="R126" s="871"/>
      <c r="S126" s="500"/>
    </row>
    <row r="127" spans="1:19" s="501" customFormat="1" ht="45" customHeight="1" hidden="1">
      <c r="A127" s="872" t="s">
        <v>7</v>
      </c>
      <c r="B127" s="875" t="s">
        <v>374</v>
      </c>
      <c r="C127" s="878" t="s">
        <v>582</v>
      </c>
      <c r="D127" s="878"/>
      <c r="E127" s="878"/>
      <c r="F127" s="867" t="s">
        <v>541</v>
      </c>
      <c r="G127" s="867"/>
      <c r="H127" s="867"/>
      <c r="I127" s="867"/>
      <c r="J127" s="867" t="s">
        <v>542</v>
      </c>
      <c r="K127" s="861" t="s">
        <v>545</v>
      </c>
      <c r="L127" s="867" t="s">
        <v>365</v>
      </c>
      <c r="M127" s="867" t="s">
        <v>368</v>
      </c>
      <c r="N127" s="865" t="s">
        <v>366</v>
      </c>
      <c r="O127" s="865" t="s">
        <v>543</v>
      </c>
      <c r="P127" s="865" t="s">
        <v>633</v>
      </c>
      <c r="Q127" s="865" t="s">
        <v>544</v>
      </c>
      <c r="R127" s="859" t="s">
        <v>369</v>
      </c>
      <c r="S127" s="500"/>
    </row>
    <row r="128" spans="1:19" s="501" customFormat="1" ht="45" customHeight="1" hidden="1">
      <c r="A128" s="873"/>
      <c r="B128" s="876"/>
      <c r="C128" s="879"/>
      <c r="D128" s="879"/>
      <c r="E128" s="879"/>
      <c r="F128" s="868"/>
      <c r="G128" s="868"/>
      <c r="H128" s="868"/>
      <c r="I128" s="868"/>
      <c r="J128" s="868"/>
      <c r="K128" s="862"/>
      <c r="L128" s="868"/>
      <c r="M128" s="868"/>
      <c r="N128" s="880"/>
      <c r="O128" s="866"/>
      <c r="P128" s="866"/>
      <c r="Q128" s="880"/>
      <c r="R128" s="860"/>
      <c r="S128" s="500"/>
    </row>
    <row r="129" spans="1:19" s="501" customFormat="1" ht="45" customHeight="1" hidden="1">
      <c r="A129" s="873"/>
      <c r="B129" s="876"/>
      <c r="C129" s="504" t="s">
        <v>154</v>
      </c>
      <c r="D129" s="505" t="s">
        <v>581</v>
      </c>
      <c r="E129" s="504" t="s">
        <v>363</v>
      </c>
      <c r="F129" s="504" t="s">
        <v>357</v>
      </c>
      <c r="G129" s="504" t="s">
        <v>362</v>
      </c>
      <c r="H129" s="504" t="s">
        <v>364</v>
      </c>
      <c r="I129" s="504" t="s">
        <v>24</v>
      </c>
      <c r="J129" s="868"/>
      <c r="K129" s="862"/>
      <c r="L129" s="868"/>
      <c r="M129" s="868"/>
      <c r="N129" s="866"/>
      <c r="O129" s="504" t="s">
        <v>24</v>
      </c>
      <c r="P129" s="504" t="s">
        <v>24</v>
      </c>
      <c r="Q129" s="866"/>
      <c r="R129" s="860"/>
      <c r="S129" s="500"/>
    </row>
    <row r="130" spans="1:30" s="501" customFormat="1" ht="45" customHeight="1" hidden="1">
      <c r="A130" s="873"/>
      <c r="B130" s="876"/>
      <c r="C130" s="615"/>
      <c r="D130" s="615"/>
      <c r="E130" s="615" t="s">
        <v>55</v>
      </c>
      <c r="F130" s="615" t="s">
        <v>58</v>
      </c>
      <c r="G130" s="615" t="s">
        <v>16</v>
      </c>
      <c r="H130" s="615" t="s">
        <v>8</v>
      </c>
      <c r="I130" s="615" t="s">
        <v>367</v>
      </c>
      <c r="J130" s="615" t="s">
        <v>609</v>
      </c>
      <c r="K130" s="616" t="s">
        <v>546</v>
      </c>
      <c r="L130" s="615" t="s">
        <v>547</v>
      </c>
      <c r="M130" s="615" t="s">
        <v>548</v>
      </c>
      <c r="N130" s="615" t="s">
        <v>549</v>
      </c>
      <c r="O130" s="615" t="s">
        <v>636</v>
      </c>
      <c r="P130" s="615" t="s">
        <v>637</v>
      </c>
      <c r="Q130" s="615" t="s">
        <v>634</v>
      </c>
      <c r="R130" s="648" t="s">
        <v>635</v>
      </c>
      <c r="S130" s="500"/>
      <c r="T130" s="893" t="s">
        <v>565</v>
      </c>
      <c r="U130" s="894"/>
      <c r="V130" s="894"/>
      <c r="W130" s="894"/>
      <c r="X130" s="894"/>
      <c r="Y130" s="894"/>
      <c r="Z130" s="894"/>
      <c r="AA130" s="894"/>
      <c r="AB130" s="894"/>
      <c r="AC130" s="894"/>
      <c r="AD130" s="895"/>
    </row>
    <row r="131" spans="1:30" s="501" customFormat="1" ht="45" customHeight="1" hidden="1" thickBot="1">
      <c r="A131" s="874"/>
      <c r="B131" s="877"/>
      <c r="C131" s="507" t="s">
        <v>361</v>
      </c>
      <c r="D131" s="507" t="s">
        <v>358</v>
      </c>
      <c r="E131" s="507" t="s">
        <v>358</v>
      </c>
      <c r="F131" s="507" t="s">
        <v>610</v>
      </c>
      <c r="G131" s="507" t="s">
        <v>611</v>
      </c>
      <c r="H131" s="507"/>
      <c r="I131" s="507"/>
      <c r="J131" s="507"/>
      <c r="K131" s="508">
        <v>10</v>
      </c>
      <c r="L131" s="507"/>
      <c r="M131" s="507"/>
      <c r="N131" s="507"/>
      <c r="O131" s="507"/>
      <c r="P131" s="509"/>
      <c r="Q131" s="509" t="s">
        <v>631</v>
      </c>
      <c r="R131" s="649"/>
      <c r="S131" s="510"/>
      <c r="T131" s="505" t="s">
        <v>557</v>
      </c>
      <c r="U131" s="505" t="s">
        <v>558</v>
      </c>
      <c r="V131" s="505" t="s">
        <v>559</v>
      </c>
      <c r="W131" s="505" t="s">
        <v>560</v>
      </c>
      <c r="X131" s="505" t="s">
        <v>561</v>
      </c>
      <c r="Y131" s="505" t="s">
        <v>375</v>
      </c>
      <c r="Z131" s="504" t="s">
        <v>543</v>
      </c>
      <c r="AA131" s="504" t="s">
        <v>633</v>
      </c>
      <c r="AB131" s="504" t="s">
        <v>544</v>
      </c>
      <c r="AC131" s="504" t="s">
        <v>369</v>
      </c>
      <c r="AD131" s="511" t="s">
        <v>24</v>
      </c>
    </row>
    <row r="132" spans="1:30" s="501" customFormat="1" ht="45" customHeight="1" hidden="1">
      <c r="A132" s="512">
        <v>1</v>
      </c>
      <c r="B132" s="532" t="str">
        <f>B20</f>
        <v>PASS. NS. DO CARMO</v>
      </c>
      <c r="C132" s="514">
        <v>1</v>
      </c>
      <c r="D132" s="515"/>
      <c r="E132" s="514">
        <f>C132*D132</f>
        <v>0</v>
      </c>
      <c r="F132" s="516">
        <f>1.44+0.5</f>
        <v>1.94</v>
      </c>
      <c r="G132" s="516">
        <f>1.44+0.6</f>
        <v>2.04</v>
      </c>
      <c r="H132" s="516">
        <v>0.05</v>
      </c>
      <c r="I132" s="516">
        <f>(E132*F132*G132)+(E132*G132*H132)</f>
        <v>0</v>
      </c>
      <c r="J132" s="517">
        <f>N132</f>
        <v>0</v>
      </c>
      <c r="K132" s="518">
        <f>J132*1.25*$K$19</f>
        <v>0</v>
      </c>
      <c r="L132" s="516">
        <f>E132*F132</f>
        <v>0</v>
      </c>
      <c r="M132" s="517">
        <f>L132</f>
        <v>0</v>
      </c>
      <c r="N132" s="516">
        <f>(3.14*0.6^2)*E132</f>
        <v>0</v>
      </c>
      <c r="O132" s="516">
        <f>(I132-N132)*70%</f>
        <v>0</v>
      </c>
      <c r="P132" s="516">
        <f>(I132-N132)*30%</f>
        <v>0</v>
      </c>
      <c r="Q132" s="516">
        <f>E132*G132*2</f>
        <v>0</v>
      </c>
      <c r="R132" s="650">
        <f>E132</f>
        <v>0</v>
      </c>
      <c r="S132" s="519"/>
      <c r="T132" s="520">
        <f>'ORÇAMENTO GERAL'!$J$75</f>
        <v>1201.08</v>
      </c>
      <c r="U132" s="520">
        <f>'ORÇAMENTO GERAL'!$J$76</f>
        <v>14.63</v>
      </c>
      <c r="V132" s="520">
        <f>'ORÇAMENTO GERAL'!$J$77</f>
        <v>8.07</v>
      </c>
      <c r="W132" s="520">
        <f>'ORÇAMENTO GERAL'!$J$78</f>
        <v>3.54</v>
      </c>
      <c r="X132" s="520">
        <f>'ORÇAMENTO GERAL'!$J$79</f>
        <v>7.02</v>
      </c>
      <c r="Y132" s="520">
        <f>'ORÇAMENTO GERAL'!$J$80</f>
        <v>48.92</v>
      </c>
      <c r="Z132" s="520">
        <f>'ORÇAMENTO GERAL'!$J$81</f>
        <v>169.7</v>
      </c>
      <c r="AA132" s="520">
        <f>'ORÇAMENTO GERAL'!$J$82</f>
        <v>22.65</v>
      </c>
      <c r="AB132" s="520">
        <f>'ORÇAMENTO GERAL'!$J$83</f>
        <v>46.13</v>
      </c>
      <c r="AC132" s="520">
        <f>'ORÇAMENTO GERAL'!$J$84</f>
        <v>248.55</v>
      </c>
      <c r="AD132" s="520">
        <f>(E132*T132)+(I132*U132)+(J132*V132)+(K132*W132)+(L132*X132)+(M132*Y132)+(O132*Z132)+(P132*AA132)+(Q132*AB132)+(R132*AC132)</f>
        <v>0</v>
      </c>
    </row>
    <row r="133" spans="1:30" s="501" customFormat="1" ht="45" customHeight="1" hidden="1">
      <c r="A133" s="512">
        <v>2</v>
      </c>
      <c r="B133" s="532" t="str">
        <f aca="true" t="shared" si="60" ref="B133:B151">B21</f>
        <v>PASS. KENEDY</v>
      </c>
      <c r="C133" s="521">
        <v>1</v>
      </c>
      <c r="D133" s="517"/>
      <c r="E133" s="516">
        <f>C133*D133</f>
        <v>0</v>
      </c>
      <c r="F133" s="516">
        <f aca="true" t="shared" si="61" ref="F133:F151">1.44+0.5</f>
        <v>1.94</v>
      </c>
      <c r="G133" s="516">
        <f aca="true" t="shared" si="62" ref="G133:G151">1.44+0.6</f>
        <v>2.04</v>
      </c>
      <c r="H133" s="516">
        <v>0.05</v>
      </c>
      <c r="I133" s="516">
        <f aca="true" t="shared" si="63" ref="I133:I151">(E133*F133*G133)+(E133*G133*H133)</f>
        <v>0</v>
      </c>
      <c r="J133" s="517">
        <f aca="true" t="shared" si="64" ref="J133:J151">N133</f>
        <v>0</v>
      </c>
      <c r="K133" s="518">
        <f aca="true" t="shared" si="65" ref="K133:K151">J133*1.25*$K$19</f>
        <v>0</v>
      </c>
      <c r="L133" s="516">
        <f aca="true" t="shared" si="66" ref="L133:L151">E133*F133</f>
        <v>0</v>
      </c>
      <c r="M133" s="517">
        <f aca="true" t="shared" si="67" ref="M133:M151">L133</f>
        <v>0</v>
      </c>
      <c r="N133" s="516">
        <f aca="true" t="shared" si="68" ref="N133:N151">(3.14*0.6^2)*E133</f>
        <v>0</v>
      </c>
      <c r="O133" s="516">
        <f aca="true" t="shared" si="69" ref="O133:O151">(I133-N133)*70%</f>
        <v>0</v>
      </c>
      <c r="P133" s="516">
        <f aca="true" t="shared" si="70" ref="P133:P151">(I133-N133)*30%</f>
        <v>0</v>
      </c>
      <c r="Q133" s="516">
        <f aca="true" t="shared" si="71" ref="Q133:Q151">E133*G133*2</f>
        <v>0</v>
      </c>
      <c r="R133" s="650">
        <f aca="true" t="shared" si="72" ref="R133:R151">E133</f>
        <v>0</v>
      </c>
      <c r="S133" s="519"/>
      <c r="T133" s="520">
        <f>'ORÇAMENTO GERAL'!$J$75</f>
        <v>1201.08</v>
      </c>
      <c r="U133" s="520">
        <f>'ORÇAMENTO GERAL'!$J$76</f>
        <v>14.63</v>
      </c>
      <c r="V133" s="520">
        <f>'ORÇAMENTO GERAL'!$J$77</f>
        <v>8.07</v>
      </c>
      <c r="W133" s="520">
        <f>'ORÇAMENTO GERAL'!$J$78</f>
        <v>3.54</v>
      </c>
      <c r="X133" s="520">
        <f>'ORÇAMENTO GERAL'!$J$79</f>
        <v>7.02</v>
      </c>
      <c r="Y133" s="520">
        <f>'ORÇAMENTO GERAL'!$J$80</f>
        <v>48.92</v>
      </c>
      <c r="Z133" s="520">
        <f>'ORÇAMENTO GERAL'!$J$81</f>
        <v>169.7</v>
      </c>
      <c r="AA133" s="520">
        <f>'ORÇAMENTO GERAL'!$J$82</f>
        <v>22.65</v>
      </c>
      <c r="AB133" s="520">
        <f>'ORÇAMENTO GERAL'!$J$83</f>
        <v>46.13</v>
      </c>
      <c r="AC133" s="520">
        <f>'ORÇAMENTO GERAL'!$J$84</f>
        <v>248.55</v>
      </c>
      <c r="AD133" s="520">
        <f aca="true" t="shared" si="73" ref="AD133:AD151">(E133*T133)+(I133*U133)+(J133*V133)+(K133*W133)+(L133*X133)+(M133*Y133)+(O133*Z133)+(P133*AA133)+(Q133*AB133)+(R133*AC133)</f>
        <v>0</v>
      </c>
    </row>
    <row r="134" spans="1:30" s="501" customFormat="1" ht="45" customHeight="1" hidden="1">
      <c r="A134" s="512">
        <v>3</v>
      </c>
      <c r="B134" s="532" t="str">
        <f t="shared" si="60"/>
        <v>PASS. UBIRATAN MACIEL</v>
      </c>
      <c r="C134" s="521">
        <v>1</v>
      </c>
      <c r="D134" s="517"/>
      <c r="E134" s="516">
        <f aca="true" t="shared" si="74" ref="E134:E151">C134*D134</f>
        <v>0</v>
      </c>
      <c r="F134" s="516">
        <f t="shared" si="61"/>
        <v>1.94</v>
      </c>
      <c r="G134" s="516">
        <f t="shared" si="62"/>
        <v>2.04</v>
      </c>
      <c r="H134" s="516">
        <v>0.05</v>
      </c>
      <c r="I134" s="516">
        <f t="shared" si="63"/>
        <v>0</v>
      </c>
      <c r="J134" s="517">
        <f t="shared" si="64"/>
        <v>0</v>
      </c>
      <c r="K134" s="518">
        <f t="shared" si="65"/>
        <v>0</v>
      </c>
      <c r="L134" s="516">
        <f t="shared" si="66"/>
        <v>0</v>
      </c>
      <c r="M134" s="517">
        <f t="shared" si="67"/>
        <v>0</v>
      </c>
      <c r="N134" s="516">
        <f t="shared" si="68"/>
        <v>0</v>
      </c>
      <c r="O134" s="516">
        <f t="shared" si="69"/>
        <v>0</v>
      </c>
      <c r="P134" s="516">
        <f t="shared" si="70"/>
        <v>0</v>
      </c>
      <c r="Q134" s="516">
        <f t="shared" si="71"/>
        <v>0</v>
      </c>
      <c r="R134" s="650">
        <f t="shared" si="72"/>
        <v>0</v>
      </c>
      <c r="S134" s="519"/>
      <c r="T134" s="520">
        <f>'ORÇAMENTO GERAL'!$J$75</f>
        <v>1201.08</v>
      </c>
      <c r="U134" s="520">
        <f>'ORÇAMENTO GERAL'!$J$76</f>
        <v>14.63</v>
      </c>
      <c r="V134" s="520">
        <f>'ORÇAMENTO GERAL'!$J$77</f>
        <v>8.07</v>
      </c>
      <c r="W134" s="520">
        <f>'ORÇAMENTO GERAL'!$J$78</f>
        <v>3.54</v>
      </c>
      <c r="X134" s="520">
        <f>'ORÇAMENTO GERAL'!$J$79</f>
        <v>7.02</v>
      </c>
      <c r="Y134" s="520">
        <f>'ORÇAMENTO GERAL'!$J$80</f>
        <v>48.92</v>
      </c>
      <c r="Z134" s="520">
        <f>'ORÇAMENTO GERAL'!$J$81</f>
        <v>169.7</v>
      </c>
      <c r="AA134" s="520">
        <f>'ORÇAMENTO GERAL'!$J$82</f>
        <v>22.65</v>
      </c>
      <c r="AB134" s="520">
        <f>'ORÇAMENTO GERAL'!$J$83</f>
        <v>46.13</v>
      </c>
      <c r="AC134" s="520">
        <f>'ORÇAMENTO GERAL'!$J$84</f>
        <v>248.55</v>
      </c>
      <c r="AD134" s="520">
        <f t="shared" si="73"/>
        <v>0</v>
      </c>
    </row>
    <row r="135" spans="1:30" s="501" customFormat="1" ht="45" customHeight="1" hidden="1">
      <c r="A135" s="512">
        <v>4</v>
      </c>
      <c r="B135" s="532" t="str">
        <f t="shared" si="60"/>
        <v>PASS. ALEGRE </v>
      </c>
      <c r="C135" s="521">
        <v>1</v>
      </c>
      <c r="D135" s="517"/>
      <c r="E135" s="516">
        <f t="shared" si="74"/>
        <v>0</v>
      </c>
      <c r="F135" s="516">
        <f t="shared" si="61"/>
        <v>1.94</v>
      </c>
      <c r="G135" s="516">
        <f t="shared" si="62"/>
        <v>2.04</v>
      </c>
      <c r="H135" s="516">
        <v>0.05</v>
      </c>
      <c r="I135" s="516">
        <f t="shared" si="63"/>
        <v>0</v>
      </c>
      <c r="J135" s="517">
        <f t="shared" si="64"/>
        <v>0</v>
      </c>
      <c r="K135" s="518">
        <f t="shared" si="65"/>
        <v>0</v>
      </c>
      <c r="L135" s="516">
        <f t="shared" si="66"/>
        <v>0</v>
      </c>
      <c r="M135" s="517">
        <f t="shared" si="67"/>
        <v>0</v>
      </c>
      <c r="N135" s="516">
        <f t="shared" si="68"/>
        <v>0</v>
      </c>
      <c r="O135" s="516">
        <f t="shared" si="69"/>
        <v>0</v>
      </c>
      <c r="P135" s="516">
        <f t="shared" si="70"/>
        <v>0</v>
      </c>
      <c r="Q135" s="516">
        <f t="shared" si="71"/>
        <v>0</v>
      </c>
      <c r="R135" s="650">
        <f t="shared" si="72"/>
        <v>0</v>
      </c>
      <c r="S135" s="519"/>
      <c r="T135" s="520">
        <f>'ORÇAMENTO GERAL'!$J$75</f>
        <v>1201.08</v>
      </c>
      <c r="U135" s="520">
        <f>'ORÇAMENTO GERAL'!$J$76</f>
        <v>14.63</v>
      </c>
      <c r="V135" s="520">
        <f>'ORÇAMENTO GERAL'!$J$77</f>
        <v>8.07</v>
      </c>
      <c r="W135" s="520">
        <f>'ORÇAMENTO GERAL'!$J$78</f>
        <v>3.54</v>
      </c>
      <c r="X135" s="520">
        <f>'ORÇAMENTO GERAL'!$J$79</f>
        <v>7.02</v>
      </c>
      <c r="Y135" s="520">
        <f>'ORÇAMENTO GERAL'!$J$80</f>
        <v>48.92</v>
      </c>
      <c r="Z135" s="520">
        <f>'ORÇAMENTO GERAL'!$J$81</f>
        <v>169.7</v>
      </c>
      <c r="AA135" s="520">
        <f>'ORÇAMENTO GERAL'!$J$82</f>
        <v>22.65</v>
      </c>
      <c r="AB135" s="520">
        <f>'ORÇAMENTO GERAL'!$J$83</f>
        <v>46.13</v>
      </c>
      <c r="AC135" s="520">
        <f>'ORÇAMENTO GERAL'!$J$84</f>
        <v>248.55</v>
      </c>
      <c r="AD135" s="520">
        <f t="shared" si="73"/>
        <v>0</v>
      </c>
    </row>
    <row r="136" spans="1:30" s="501" customFormat="1" ht="45" customHeight="1" hidden="1">
      <c r="A136" s="512">
        <v>5</v>
      </c>
      <c r="B136" s="532">
        <f t="shared" si="60"/>
        <v>0</v>
      </c>
      <c r="C136" s="521">
        <v>1</v>
      </c>
      <c r="D136" s="517"/>
      <c r="E136" s="516">
        <f t="shared" si="74"/>
        <v>0</v>
      </c>
      <c r="F136" s="516">
        <f t="shared" si="61"/>
        <v>1.94</v>
      </c>
      <c r="G136" s="516">
        <f t="shared" si="62"/>
        <v>2.04</v>
      </c>
      <c r="H136" s="516">
        <v>0.05</v>
      </c>
      <c r="I136" s="516">
        <f t="shared" si="63"/>
        <v>0</v>
      </c>
      <c r="J136" s="517">
        <f t="shared" si="64"/>
        <v>0</v>
      </c>
      <c r="K136" s="518">
        <f t="shared" si="65"/>
        <v>0</v>
      </c>
      <c r="L136" s="516">
        <f t="shared" si="66"/>
        <v>0</v>
      </c>
      <c r="M136" s="517">
        <f t="shared" si="67"/>
        <v>0</v>
      </c>
      <c r="N136" s="516">
        <f t="shared" si="68"/>
        <v>0</v>
      </c>
      <c r="O136" s="516">
        <f t="shared" si="69"/>
        <v>0</v>
      </c>
      <c r="P136" s="516">
        <f t="shared" si="70"/>
        <v>0</v>
      </c>
      <c r="Q136" s="516">
        <f t="shared" si="71"/>
        <v>0</v>
      </c>
      <c r="R136" s="650">
        <f t="shared" si="72"/>
        <v>0</v>
      </c>
      <c r="S136" s="519"/>
      <c r="T136" s="520">
        <f>'ORÇAMENTO GERAL'!$J$75</f>
        <v>1201.08</v>
      </c>
      <c r="U136" s="520">
        <f>'ORÇAMENTO GERAL'!$J$76</f>
        <v>14.63</v>
      </c>
      <c r="V136" s="520">
        <f>'ORÇAMENTO GERAL'!$J$77</f>
        <v>8.07</v>
      </c>
      <c r="W136" s="520">
        <f>'ORÇAMENTO GERAL'!$J$78</f>
        <v>3.54</v>
      </c>
      <c r="X136" s="520">
        <f>'ORÇAMENTO GERAL'!$J$79</f>
        <v>7.02</v>
      </c>
      <c r="Y136" s="520">
        <f>'ORÇAMENTO GERAL'!$J$80</f>
        <v>48.92</v>
      </c>
      <c r="Z136" s="520">
        <f>'ORÇAMENTO GERAL'!$J$81</f>
        <v>169.7</v>
      </c>
      <c r="AA136" s="520">
        <f>'ORÇAMENTO GERAL'!$J$82</f>
        <v>22.65</v>
      </c>
      <c r="AB136" s="520">
        <f>'ORÇAMENTO GERAL'!$J$83</f>
        <v>46.13</v>
      </c>
      <c r="AC136" s="520">
        <f>'ORÇAMENTO GERAL'!$J$84</f>
        <v>248.55</v>
      </c>
      <c r="AD136" s="520">
        <f t="shared" si="73"/>
        <v>0</v>
      </c>
    </row>
    <row r="137" spans="1:30" s="501" customFormat="1" ht="45" customHeight="1" hidden="1">
      <c r="A137" s="512">
        <v>6</v>
      </c>
      <c r="B137" s="532">
        <f t="shared" si="60"/>
        <v>0</v>
      </c>
      <c r="C137" s="521">
        <v>1</v>
      </c>
      <c r="D137" s="517"/>
      <c r="E137" s="516">
        <f t="shared" si="74"/>
        <v>0</v>
      </c>
      <c r="F137" s="516">
        <f t="shared" si="61"/>
        <v>1.94</v>
      </c>
      <c r="G137" s="516">
        <f t="shared" si="62"/>
        <v>2.04</v>
      </c>
      <c r="H137" s="516">
        <v>0.05</v>
      </c>
      <c r="I137" s="516">
        <f t="shared" si="63"/>
        <v>0</v>
      </c>
      <c r="J137" s="517">
        <f t="shared" si="64"/>
        <v>0</v>
      </c>
      <c r="K137" s="518">
        <f t="shared" si="65"/>
        <v>0</v>
      </c>
      <c r="L137" s="516">
        <f t="shared" si="66"/>
        <v>0</v>
      </c>
      <c r="M137" s="517">
        <f t="shared" si="67"/>
        <v>0</v>
      </c>
      <c r="N137" s="516">
        <f t="shared" si="68"/>
        <v>0</v>
      </c>
      <c r="O137" s="516">
        <f t="shared" si="69"/>
        <v>0</v>
      </c>
      <c r="P137" s="516">
        <f t="shared" si="70"/>
        <v>0</v>
      </c>
      <c r="Q137" s="516">
        <f t="shared" si="71"/>
        <v>0</v>
      </c>
      <c r="R137" s="650">
        <f t="shared" si="72"/>
        <v>0</v>
      </c>
      <c r="S137" s="519"/>
      <c r="T137" s="520">
        <f>'ORÇAMENTO GERAL'!$J$75</f>
        <v>1201.08</v>
      </c>
      <c r="U137" s="520">
        <f>'ORÇAMENTO GERAL'!$J$76</f>
        <v>14.63</v>
      </c>
      <c r="V137" s="520">
        <f>'ORÇAMENTO GERAL'!$J$77</f>
        <v>8.07</v>
      </c>
      <c r="W137" s="520">
        <f>'ORÇAMENTO GERAL'!$J$78</f>
        <v>3.54</v>
      </c>
      <c r="X137" s="520">
        <f>'ORÇAMENTO GERAL'!$J$79</f>
        <v>7.02</v>
      </c>
      <c r="Y137" s="520">
        <f>'ORÇAMENTO GERAL'!$J$80</f>
        <v>48.92</v>
      </c>
      <c r="Z137" s="520">
        <f>'ORÇAMENTO GERAL'!$J$81</f>
        <v>169.7</v>
      </c>
      <c r="AA137" s="520">
        <f>'ORÇAMENTO GERAL'!$J$82</f>
        <v>22.65</v>
      </c>
      <c r="AB137" s="520">
        <f>'ORÇAMENTO GERAL'!$J$83</f>
        <v>46.13</v>
      </c>
      <c r="AC137" s="520">
        <f>'ORÇAMENTO GERAL'!$J$84</f>
        <v>248.55</v>
      </c>
      <c r="AD137" s="520">
        <f t="shared" si="73"/>
        <v>0</v>
      </c>
    </row>
    <row r="138" spans="1:30" s="501" customFormat="1" ht="45" customHeight="1" hidden="1">
      <c r="A138" s="512">
        <v>7</v>
      </c>
      <c r="B138" s="532">
        <f t="shared" si="60"/>
        <v>0</v>
      </c>
      <c r="C138" s="521">
        <v>1</v>
      </c>
      <c r="D138" s="517"/>
      <c r="E138" s="516">
        <f t="shared" si="74"/>
        <v>0</v>
      </c>
      <c r="F138" s="516">
        <f t="shared" si="61"/>
        <v>1.94</v>
      </c>
      <c r="G138" s="516">
        <f t="shared" si="62"/>
        <v>2.04</v>
      </c>
      <c r="H138" s="516">
        <v>0.05</v>
      </c>
      <c r="I138" s="516">
        <f t="shared" si="63"/>
        <v>0</v>
      </c>
      <c r="J138" s="517">
        <f t="shared" si="64"/>
        <v>0</v>
      </c>
      <c r="K138" s="518">
        <f t="shared" si="65"/>
        <v>0</v>
      </c>
      <c r="L138" s="516">
        <f t="shared" si="66"/>
        <v>0</v>
      </c>
      <c r="M138" s="517">
        <f t="shared" si="67"/>
        <v>0</v>
      </c>
      <c r="N138" s="516">
        <f t="shared" si="68"/>
        <v>0</v>
      </c>
      <c r="O138" s="516">
        <f t="shared" si="69"/>
        <v>0</v>
      </c>
      <c r="P138" s="516">
        <f t="shared" si="70"/>
        <v>0</v>
      </c>
      <c r="Q138" s="516">
        <f t="shared" si="71"/>
        <v>0</v>
      </c>
      <c r="R138" s="650">
        <f t="shared" si="72"/>
        <v>0</v>
      </c>
      <c r="S138" s="519"/>
      <c r="T138" s="520">
        <f>'ORÇAMENTO GERAL'!$J$75</f>
        <v>1201.08</v>
      </c>
      <c r="U138" s="520">
        <f>'ORÇAMENTO GERAL'!$J$76</f>
        <v>14.63</v>
      </c>
      <c r="V138" s="520">
        <f>'ORÇAMENTO GERAL'!$J$77</f>
        <v>8.07</v>
      </c>
      <c r="W138" s="520">
        <f>'ORÇAMENTO GERAL'!$J$78</f>
        <v>3.54</v>
      </c>
      <c r="X138" s="520">
        <f>'ORÇAMENTO GERAL'!$J$79</f>
        <v>7.02</v>
      </c>
      <c r="Y138" s="520">
        <f>'ORÇAMENTO GERAL'!$J$80</f>
        <v>48.92</v>
      </c>
      <c r="Z138" s="520">
        <f>'ORÇAMENTO GERAL'!$J$81</f>
        <v>169.7</v>
      </c>
      <c r="AA138" s="520">
        <f>'ORÇAMENTO GERAL'!$J$82</f>
        <v>22.65</v>
      </c>
      <c r="AB138" s="520">
        <f>'ORÇAMENTO GERAL'!$J$83</f>
        <v>46.13</v>
      </c>
      <c r="AC138" s="520">
        <f>'ORÇAMENTO GERAL'!$J$84</f>
        <v>248.55</v>
      </c>
      <c r="AD138" s="520">
        <f t="shared" si="73"/>
        <v>0</v>
      </c>
    </row>
    <row r="139" spans="1:30" s="501" customFormat="1" ht="45" customHeight="1" hidden="1">
      <c r="A139" s="512">
        <v>8</v>
      </c>
      <c r="B139" s="532">
        <f t="shared" si="60"/>
        <v>0</v>
      </c>
      <c r="C139" s="521">
        <v>1</v>
      </c>
      <c r="D139" s="517"/>
      <c r="E139" s="516">
        <f t="shared" si="74"/>
        <v>0</v>
      </c>
      <c r="F139" s="516">
        <f t="shared" si="61"/>
        <v>1.94</v>
      </c>
      <c r="G139" s="516">
        <f t="shared" si="62"/>
        <v>2.04</v>
      </c>
      <c r="H139" s="516">
        <v>0.05</v>
      </c>
      <c r="I139" s="516">
        <f t="shared" si="63"/>
        <v>0</v>
      </c>
      <c r="J139" s="517">
        <f t="shared" si="64"/>
        <v>0</v>
      </c>
      <c r="K139" s="518">
        <f t="shared" si="65"/>
        <v>0</v>
      </c>
      <c r="L139" s="516">
        <f t="shared" si="66"/>
        <v>0</v>
      </c>
      <c r="M139" s="517">
        <f t="shared" si="67"/>
        <v>0</v>
      </c>
      <c r="N139" s="516">
        <f t="shared" si="68"/>
        <v>0</v>
      </c>
      <c r="O139" s="516">
        <f t="shared" si="69"/>
        <v>0</v>
      </c>
      <c r="P139" s="516">
        <f t="shared" si="70"/>
        <v>0</v>
      </c>
      <c r="Q139" s="516">
        <f t="shared" si="71"/>
        <v>0</v>
      </c>
      <c r="R139" s="650">
        <f t="shared" si="72"/>
        <v>0</v>
      </c>
      <c r="S139" s="519"/>
      <c r="T139" s="520">
        <f>'ORÇAMENTO GERAL'!$J$75</f>
        <v>1201.08</v>
      </c>
      <c r="U139" s="520">
        <f>'ORÇAMENTO GERAL'!$J$76</f>
        <v>14.63</v>
      </c>
      <c r="V139" s="520">
        <f>'ORÇAMENTO GERAL'!$J$77</f>
        <v>8.07</v>
      </c>
      <c r="W139" s="520">
        <f>'ORÇAMENTO GERAL'!$J$78</f>
        <v>3.54</v>
      </c>
      <c r="X139" s="520">
        <f>'ORÇAMENTO GERAL'!$J$79</f>
        <v>7.02</v>
      </c>
      <c r="Y139" s="520">
        <f>'ORÇAMENTO GERAL'!$J$80</f>
        <v>48.92</v>
      </c>
      <c r="Z139" s="520">
        <f>'ORÇAMENTO GERAL'!$J$81</f>
        <v>169.7</v>
      </c>
      <c r="AA139" s="520">
        <f>'ORÇAMENTO GERAL'!$J$82</f>
        <v>22.65</v>
      </c>
      <c r="AB139" s="520">
        <f>'ORÇAMENTO GERAL'!$J$83</f>
        <v>46.13</v>
      </c>
      <c r="AC139" s="520">
        <f>'ORÇAMENTO GERAL'!$J$84</f>
        <v>248.55</v>
      </c>
      <c r="AD139" s="520">
        <f t="shared" si="73"/>
        <v>0</v>
      </c>
    </row>
    <row r="140" spans="1:30" s="501" customFormat="1" ht="45" customHeight="1" hidden="1">
      <c r="A140" s="512">
        <v>9</v>
      </c>
      <c r="B140" s="532">
        <f t="shared" si="60"/>
        <v>0</v>
      </c>
      <c r="C140" s="521">
        <v>1</v>
      </c>
      <c r="D140" s="517"/>
      <c r="E140" s="516">
        <f t="shared" si="74"/>
        <v>0</v>
      </c>
      <c r="F140" s="516">
        <f t="shared" si="61"/>
        <v>1.94</v>
      </c>
      <c r="G140" s="516">
        <f t="shared" si="62"/>
        <v>2.04</v>
      </c>
      <c r="H140" s="516">
        <v>0.05</v>
      </c>
      <c r="I140" s="516">
        <f t="shared" si="63"/>
        <v>0</v>
      </c>
      <c r="J140" s="517">
        <f t="shared" si="64"/>
        <v>0</v>
      </c>
      <c r="K140" s="518">
        <f t="shared" si="65"/>
        <v>0</v>
      </c>
      <c r="L140" s="516">
        <f t="shared" si="66"/>
        <v>0</v>
      </c>
      <c r="M140" s="517">
        <f t="shared" si="67"/>
        <v>0</v>
      </c>
      <c r="N140" s="516">
        <f t="shared" si="68"/>
        <v>0</v>
      </c>
      <c r="O140" s="516">
        <f t="shared" si="69"/>
        <v>0</v>
      </c>
      <c r="P140" s="516">
        <f t="shared" si="70"/>
        <v>0</v>
      </c>
      <c r="Q140" s="516">
        <f t="shared" si="71"/>
        <v>0</v>
      </c>
      <c r="R140" s="650">
        <f t="shared" si="72"/>
        <v>0</v>
      </c>
      <c r="S140" s="519"/>
      <c r="T140" s="520">
        <f>'ORÇAMENTO GERAL'!$J$75</f>
        <v>1201.08</v>
      </c>
      <c r="U140" s="520">
        <f>'ORÇAMENTO GERAL'!$J$76</f>
        <v>14.63</v>
      </c>
      <c r="V140" s="520">
        <f>'ORÇAMENTO GERAL'!$J$77</f>
        <v>8.07</v>
      </c>
      <c r="W140" s="520">
        <f>'ORÇAMENTO GERAL'!$J$78</f>
        <v>3.54</v>
      </c>
      <c r="X140" s="520">
        <f>'ORÇAMENTO GERAL'!$J$79</f>
        <v>7.02</v>
      </c>
      <c r="Y140" s="520">
        <f>'ORÇAMENTO GERAL'!$J$80</f>
        <v>48.92</v>
      </c>
      <c r="Z140" s="520">
        <f>'ORÇAMENTO GERAL'!$J$81</f>
        <v>169.7</v>
      </c>
      <c r="AA140" s="520">
        <f>'ORÇAMENTO GERAL'!$J$82</f>
        <v>22.65</v>
      </c>
      <c r="AB140" s="520">
        <f>'ORÇAMENTO GERAL'!$J$83</f>
        <v>46.13</v>
      </c>
      <c r="AC140" s="520">
        <f>'ORÇAMENTO GERAL'!$J$84</f>
        <v>248.55</v>
      </c>
      <c r="AD140" s="520">
        <f t="shared" si="73"/>
        <v>0</v>
      </c>
    </row>
    <row r="141" spans="1:30" s="501" customFormat="1" ht="45" customHeight="1" hidden="1">
      <c r="A141" s="512">
        <v>10</v>
      </c>
      <c r="B141" s="532">
        <f t="shared" si="60"/>
        <v>0</v>
      </c>
      <c r="C141" s="521">
        <v>1</v>
      </c>
      <c r="D141" s="517"/>
      <c r="E141" s="516">
        <f t="shared" si="74"/>
        <v>0</v>
      </c>
      <c r="F141" s="516">
        <f t="shared" si="61"/>
        <v>1.94</v>
      </c>
      <c r="G141" s="516">
        <f t="shared" si="62"/>
        <v>2.04</v>
      </c>
      <c r="H141" s="516">
        <v>0.05</v>
      </c>
      <c r="I141" s="516">
        <f t="shared" si="63"/>
        <v>0</v>
      </c>
      <c r="J141" s="517">
        <f t="shared" si="64"/>
        <v>0</v>
      </c>
      <c r="K141" s="518">
        <f t="shared" si="65"/>
        <v>0</v>
      </c>
      <c r="L141" s="516">
        <f t="shared" si="66"/>
        <v>0</v>
      </c>
      <c r="M141" s="517">
        <f t="shared" si="67"/>
        <v>0</v>
      </c>
      <c r="N141" s="516">
        <f t="shared" si="68"/>
        <v>0</v>
      </c>
      <c r="O141" s="516">
        <f t="shared" si="69"/>
        <v>0</v>
      </c>
      <c r="P141" s="516">
        <f t="shared" si="70"/>
        <v>0</v>
      </c>
      <c r="Q141" s="516">
        <f t="shared" si="71"/>
        <v>0</v>
      </c>
      <c r="R141" s="650">
        <f t="shared" si="72"/>
        <v>0</v>
      </c>
      <c r="S141" s="519"/>
      <c r="T141" s="520">
        <f>'ORÇAMENTO GERAL'!$J$75</f>
        <v>1201.08</v>
      </c>
      <c r="U141" s="520">
        <f>'ORÇAMENTO GERAL'!$J$76</f>
        <v>14.63</v>
      </c>
      <c r="V141" s="520">
        <f>'ORÇAMENTO GERAL'!$J$77</f>
        <v>8.07</v>
      </c>
      <c r="W141" s="520">
        <f>'ORÇAMENTO GERAL'!$J$78</f>
        <v>3.54</v>
      </c>
      <c r="X141" s="520">
        <f>'ORÇAMENTO GERAL'!$J$79</f>
        <v>7.02</v>
      </c>
      <c r="Y141" s="520">
        <f>'ORÇAMENTO GERAL'!$J$80</f>
        <v>48.92</v>
      </c>
      <c r="Z141" s="520">
        <f>'ORÇAMENTO GERAL'!$J$81</f>
        <v>169.7</v>
      </c>
      <c r="AA141" s="520">
        <f>'ORÇAMENTO GERAL'!$J$82</f>
        <v>22.65</v>
      </c>
      <c r="AB141" s="520">
        <f>'ORÇAMENTO GERAL'!$J$83</f>
        <v>46.13</v>
      </c>
      <c r="AC141" s="520">
        <f>'ORÇAMENTO GERAL'!$J$84</f>
        <v>248.55</v>
      </c>
      <c r="AD141" s="520">
        <f t="shared" si="73"/>
        <v>0</v>
      </c>
    </row>
    <row r="142" spans="1:30" s="501" customFormat="1" ht="45" customHeight="1" hidden="1">
      <c r="A142" s="512">
        <v>11</v>
      </c>
      <c r="B142" s="532">
        <f t="shared" si="60"/>
        <v>0</v>
      </c>
      <c r="C142" s="521">
        <v>1</v>
      </c>
      <c r="D142" s="517"/>
      <c r="E142" s="516">
        <f t="shared" si="74"/>
        <v>0</v>
      </c>
      <c r="F142" s="516">
        <f t="shared" si="61"/>
        <v>1.94</v>
      </c>
      <c r="G142" s="516">
        <f t="shared" si="62"/>
        <v>2.04</v>
      </c>
      <c r="H142" s="516">
        <v>0.05</v>
      </c>
      <c r="I142" s="516">
        <f t="shared" si="63"/>
        <v>0</v>
      </c>
      <c r="J142" s="517">
        <f t="shared" si="64"/>
        <v>0</v>
      </c>
      <c r="K142" s="518">
        <f t="shared" si="65"/>
        <v>0</v>
      </c>
      <c r="L142" s="516">
        <f t="shared" si="66"/>
        <v>0</v>
      </c>
      <c r="M142" s="517">
        <f t="shared" si="67"/>
        <v>0</v>
      </c>
      <c r="N142" s="516">
        <f t="shared" si="68"/>
        <v>0</v>
      </c>
      <c r="O142" s="516">
        <f t="shared" si="69"/>
        <v>0</v>
      </c>
      <c r="P142" s="516">
        <f t="shared" si="70"/>
        <v>0</v>
      </c>
      <c r="Q142" s="516">
        <f t="shared" si="71"/>
        <v>0</v>
      </c>
      <c r="R142" s="650">
        <f t="shared" si="72"/>
        <v>0</v>
      </c>
      <c r="S142" s="519"/>
      <c r="T142" s="520">
        <f>'ORÇAMENTO GERAL'!$J$75</f>
        <v>1201.08</v>
      </c>
      <c r="U142" s="520">
        <f>'ORÇAMENTO GERAL'!$J$76</f>
        <v>14.63</v>
      </c>
      <c r="V142" s="520">
        <f>'ORÇAMENTO GERAL'!$J$77</f>
        <v>8.07</v>
      </c>
      <c r="W142" s="520">
        <f>'ORÇAMENTO GERAL'!$J$78</f>
        <v>3.54</v>
      </c>
      <c r="X142" s="520">
        <f>'ORÇAMENTO GERAL'!$J$79</f>
        <v>7.02</v>
      </c>
      <c r="Y142" s="520">
        <f>'ORÇAMENTO GERAL'!$J$80</f>
        <v>48.92</v>
      </c>
      <c r="Z142" s="520">
        <f>'ORÇAMENTO GERAL'!$J$81</f>
        <v>169.7</v>
      </c>
      <c r="AA142" s="520">
        <f>'ORÇAMENTO GERAL'!$J$82</f>
        <v>22.65</v>
      </c>
      <c r="AB142" s="520">
        <f>'ORÇAMENTO GERAL'!$J$83</f>
        <v>46.13</v>
      </c>
      <c r="AC142" s="520">
        <f>'ORÇAMENTO GERAL'!$J$84</f>
        <v>248.55</v>
      </c>
      <c r="AD142" s="520">
        <f t="shared" si="73"/>
        <v>0</v>
      </c>
    </row>
    <row r="143" spans="1:30" s="501" customFormat="1" ht="45" customHeight="1" hidden="1">
      <c r="A143" s="512">
        <v>12</v>
      </c>
      <c r="B143" s="532">
        <f t="shared" si="60"/>
        <v>0</v>
      </c>
      <c r="C143" s="521">
        <v>1</v>
      </c>
      <c r="D143" s="517"/>
      <c r="E143" s="516">
        <f t="shared" si="74"/>
        <v>0</v>
      </c>
      <c r="F143" s="516">
        <f t="shared" si="61"/>
        <v>1.94</v>
      </c>
      <c r="G143" s="516">
        <f t="shared" si="62"/>
        <v>2.04</v>
      </c>
      <c r="H143" s="516">
        <v>0.05</v>
      </c>
      <c r="I143" s="516">
        <f t="shared" si="63"/>
        <v>0</v>
      </c>
      <c r="J143" s="517">
        <f t="shared" si="64"/>
        <v>0</v>
      </c>
      <c r="K143" s="518">
        <f t="shared" si="65"/>
        <v>0</v>
      </c>
      <c r="L143" s="516">
        <f t="shared" si="66"/>
        <v>0</v>
      </c>
      <c r="M143" s="517">
        <f t="shared" si="67"/>
        <v>0</v>
      </c>
      <c r="N143" s="516">
        <f t="shared" si="68"/>
        <v>0</v>
      </c>
      <c r="O143" s="516">
        <f t="shared" si="69"/>
        <v>0</v>
      </c>
      <c r="P143" s="516">
        <f t="shared" si="70"/>
        <v>0</v>
      </c>
      <c r="Q143" s="516">
        <f t="shared" si="71"/>
        <v>0</v>
      </c>
      <c r="R143" s="650">
        <f t="shared" si="72"/>
        <v>0</v>
      </c>
      <c r="S143" s="519"/>
      <c r="T143" s="520">
        <f>'ORÇAMENTO GERAL'!$J$75</f>
        <v>1201.08</v>
      </c>
      <c r="U143" s="520">
        <f>'ORÇAMENTO GERAL'!$J$76</f>
        <v>14.63</v>
      </c>
      <c r="V143" s="520">
        <f>'ORÇAMENTO GERAL'!$J$77</f>
        <v>8.07</v>
      </c>
      <c r="W143" s="520">
        <f>'ORÇAMENTO GERAL'!$J$78</f>
        <v>3.54</v>
      </c>
      <c r="X143" s="520">
        <f>'ORÇAMENTO GERAL'!$J$79</f>
        <v>7.02</v>
      </c>
      <c r="Y143" s="520">
        <f>'ORÇAMENTO GERAL'!$J$80</f>
        <v>48.92</v>
      </c>
      <c r="Z143" s="520">
        <f>'ORÇAMENTO GERAL'!$J$81</f>
        <v>169.7</v>
      </c>
      <c r="AA143" s="520">
        <f>'ORÇAMENTO GERAL'!$J$82</f>
        <v>22.65</v>
      </c>
      <c r="AB143" s="520">
        <f>'ORÇAMENTO GERAL'!$J$83</f>
        <v>46.13</v>
      </c>
      <c r="AC143" s="520">
        <f>'ORÇAMENTO GERAL'!$J$84</f>
        <v>248.55</v>
      </c>
      <c r="AD143" s="520">
        <f t="shared" si="73"/>
        <v>0</v>
      </c>
    </row>
    <row r="144" spans="1:30" s="501" customFormat="1" ht="45" customHeight="1" hidden="1">
      <c r="A144" s="512">
        <v>13</v>
      </c>
      <c r="B144" s="532">
        <f t="shared" si="60"/>
        <v>0</v>
      </c>
      <c r="C144" s="521">
        <v>1</v>
      </c>
      <c r="D144" s="517"/>
      <c r="E144" s="516">
        <f t="shared" si="74"/>
        <v>0</v>
      </c>
      <c r="F144" s="516">
        <f t="shared" si="61"/>
        <v>1.94</v>
      </c>
      <c r="G144" s="516">
        <f t="shared" si="62"/>
        <v>2.04</v>
      </c>
      <c r="H144" s="516">
        <v>0.05</v>
      </c>
      <c r="I144" s="516">
        <f t="shared" si="63"/>
        <v>0</v>
      </c>
      <c r="J144" s="517">
        <f t="shared" si="64"/>
        <v>0</v>
      </c>
      <c r="K144" s="518">
        <f t="shared" si="65"/>
        <v>0</v>
      </c>
      <c r="L144" s="516">
        <f t="shared" si="66"/>
        <v>0</v>
      </c>
      <c r="M144" s="517">
        <f t="shared" si="67"/>
        <v>0</v>
      </c>
      <c r="N144" s="516">
        <f t="shared" si="68"/>
        <v>0</v>
      </c>
      <c r="O144" s="516">
        <f t="shared" si="69"/>
        <v>0</v>
      </c>
      <c r="P144" s="516">
        <f t="shared" si="70"/>
        <v>0</v>
      </c>
      <c r="Q144" s="516">
        <f t="shared" si="71"/>
        <v>0</v>
      </c>
      <c r="R144" s="650">
        <f t="shared" si="72"/>
        <v>0</v>
      </c>
      <c r="S144" s="519"/>
      <c r="T144" s="520">
        <f>'ORÇAMENTO GERAL'!$J$75</f>
        <v>1201.08</v>
      </c>
      <c r="U144" s="520">
        <f>'ORÇAMENTO GERAL'!$J$76</f>
        <v>14.63</v>
      </c>
      <c r="V144" s="520">
        <f>'ORÇAMENTO GERAL'!$J$77</f>
        <v>8.07</v>
      </c>
      <c r="W144" s="520">
        <f>'ORÇAMENTO GERAL'!$J$78</f>
        <v>3.54</v>
      </c>
      <c r="X144" s="520">
        <f>'ORÇAMENTO GERAL'!$J$79</f>
        <v>7.02</v>
      </c>
      <c r="Y144" s="520">
        <f>'ORÇAMENTO GERAL'!$J$80</f>
        <v>48.92</v>
      </c>
      <c r="Z144" s="520">
        <f>'ORÇAMENTO GERAL'!$J$81</f>
        <v>169.7</v>
      </c>
      <c r="AA144" s="520">
        <f>'ORÇAMENTO GERAL'!$J$82</f>
        <v>22.65</v>
      </c>
      <c r="AB144" s="520">
        <f>'ORÇAMENTO GERAL'!$J$83</f>
        <v>46.13</v>
      </c>
      <c r="AC144" s="520">
        <f>'ORÇAMENTO GERAL'!$J$84</f>
        <v>248.55</v>
      </c>
      <c r="AD144" s="520">
        <f t="shared" si="73"/>
        <v>0</v>
      </c>
    </row>
    <row r="145" spans="1:30" s="501" customFormat="1" ht="45" customHeight="1" hidden="1">
      <c r="A145" s="512">
        <v>14</v>
      </c>
      <c r="B145" s="532">
        <f t="shared" si="60"/>
        <v>0</v>
      </c>
      <c r="C145" s="521">
        <v>1</v>
      </c>
      <c r="D145" s="517"/>
      <c r="E145" s="516">
        <f t="shared" si="74"/>
        <v>0</v>
      </c>
      <c r="F145" s="516">
        <f t="shared" si="61"/>
        <v>1.94</v>
      </c>
      <c r="G145" s="516">
        <f t="shared" si="62"/>
        <v>2.04</v>
      </c>
      <c r="H145" s="516">
        <v>0.05</v>
      </c>
      <c r="I145" s="516">
        <f t="shared" si="63"/>
        <v>0</v>
      </c>
      <c r="J145" s="517">
        <f t="shared" si="64"/>
        <v>0</v>
      </c>
      <c r="K145" s="518">
        <f t="shared" si="65"/>
        <v>0</v>
      </c>
      <c r="L145" s="516">
        <f t="shared" si="66"/>
        <v>0</v>
      </c>
      <c r="M145" s="517">
        <f t="shared" si="67"/>
        <v>0</v>
      </c>
      <c r="N145" s="516">
        <f t="shared" si="68"/>
        <v>0</v>
      </c>
      <c r="O145" s="516">
        <f t="shared" si="69"/>
        <v>0</v>
      </c>
      <c r="P145" s="516">
        <f t="shared" si="70"/>
        <v>0</v>
      </c>
      <c r="Q145" s="516">
        <f t="shared" si="71"/>
        <v>0</v>
      </c>
      <c r="R145" s="650">
        <f t="shared" si="72"/>
        <v>0</v>
      </c>
      <c r="S145" s="519"/>
      <c r="T145" s="520">
        <f>'ORÇAMENTO GERAL'!$J$75</f>
        <v>1201.08</v>
      </c>
      <c r="U145" s="520">
        <f>'ORÇAMENTO GERAL'!$J$76</f>
        <v>14.63</v>
      </c>
      <c r="V145" s="520">
        <f>'ORÇAMENTO GERAL'!$J$77</f>
        <v>8.07</v>
      </c>
      <c r="W145" s="520">
        <f>'ORÇAMENTO GERAL'!$J$78</f>
        <v>3.54</v>
      </c>
      <c r="X145" s="520">
        <f>'ORÇAMENTO GERAL'!$J$79</f>
        <v>7.02</v>
      </c>
      <c r="Y145" s="520">
        <f>'ORÇAMENTO GERAL'!$J$80</f>
        <v>48.92</v>
      </c>
      <c r="Z145" s="520">
        <f>'ORÇAMENTO GERAL'!$J$81</f>
        <v>169.7</v>
      </c>
      <c r="AA145" s="520">
        <f>'ORÇAMENTO GERAL'!$J$82</f>
        <v>22.65</v>
      </c>
      <c r="AB145" s="520">
        <f>'ORÇAMENTO GERAL'!$J$83</f>
        <v>46.13</v>
      </c>
      <c r="AC145" s="520">
        <f>'ORÇAMENTO GERAL'!$J$84</f>
        <v>248.55</v>
      </c>
      <c r="AD145" s="520">
        <f t="shared" si="73"/>
        <v>0</v>
      </c>
    </row>
    <row r="146" spans="1:30" s="501" customFormat="1" ht="45" customHeight="1" hidden="1">
      <c r="A146" s="512">
        <v>15</v>
      </c>
      <c r="B146" s="532">
        <f t="shared" si="60"/>
        <v>0</v>
      </c>
      <c r="C146" s="521">
        <v>1</v>
      </c>
      <c r="D146" s="517"/>
      <c r="E146" s="516">
        <f t="shared" si="74"/>
        <v>0</v>
      </c>
      <c r="F146" s="516">
        <f t="shared" si="61"/>
        <v>1.94</v>
      </c>
      <c r="G146" s="516">
        <f t="shared" si="62"/>
        <v>2.04</v>
      </c>
      <c r="H146" s="516">
        <v>0.05</v>
      </c>
      <c r="I146" s="516">
        <f t="shared" si="63"/>
        <v>0</v>
      </c>
      <c r="J146" s="517">
        <f t="shared" si="64"/>
        <v>0</v>
      </c>
      <c r="K146" s="518">
        <f t="shared" si="65"/>
        <v>0</v>
      </c>
      <c r="L146" s="516">
        <f t="shared" si="66"/>
        <v>0</v>
      </c>
      <c r="M146" s="517">
        <f t="shared" si="67"/>
        <v>0</v>
      </c>
      <c r="N146" s="516">
        <f t="shared" si="68"/>
        <v>0</v>
      </c>
      <c r="O146" s="516">
        <f t="shared" si="69"/>
        <v>0</v>
      </c>
      <c r="P146" s="516">
        <f t="shared" si="70"/>
        <v>0</v>
      </c>
      <c r="Q146" s="516">
        <f t="shared" si="71"/>
        <v>0</v>
      </c>
      <c r="R146" s="650">
        <f t="shared" si="72"/>
        <v>0</v>
      </c>
      <c r="S146" s="519"/>
      <c r="T146" s="520">
        <f>'ORÇAMENTO GERAL'!$J$75</f>
        <v>1201.08</v>
      </c>
      <c r="U146" s="520">
        <f>'ORÇAMENTO GERAL'!$J$76</f>
        <v>14.63</v>
      </c>
      <c r="V146" s="520">
        <f>'ORÇAMENTO GERAL'!$J$77</f>
        <v>8.07</v>
      </c>
      <c r="W146" s="520">
        <f>'ORÇAMENTO GERAL'!$J$78</f>
        <v>3.54</v>
      </c>
      <c r="X146" s="520">
        <f>'ORÇAMENTO GERAL'!$J$79</f>
        <v>7.02</v>
      </c>
      <c r="Y146" s="520">
        <f>'ORÇAMENTO GERAL'!$J$80</f>
        <v>48.92</v>
      </c>
      <c r="Z146" s="520">
        <f>'ORÇAMENTO GERAL'!$J$81</f>
        <v>169.7</v>
      </c>
      <c r="AA146" s="520">
        <f>'ORÇAMENTO GERAL'!$J$82</f>
        <v>22.65</v>
      </c>
      <c r="AB146" s="520">
        <f>'ORÇAMENTO GERAL'!$J$83</f>
        <v>46.13</v>
      </c>
      <c r="AC146" s="520">
        <f>'ORÇAMENTO GERAL'!$J$84</f>
        <v>248.55</v>
      </c>
      <c r="AD146" s="520">
        <f t="shared" si="73"/>
        <v>0</v>
      </c>
    </row>
    <row r="147" spans="1:30" s="501" customFormat="1" ht="45" customHeight="1" hidden="1">
      <c r="A147" s="512">
        <v>16</v>
      </c>
      <c r="B147" s="532">
        <f t="shared" si="60"/>
        <v>0</v>
      </c>
      <c r="C147" s="521">
        <v>1</v>
      </c>
      <c r="D147" s="517"/>
      <c r="E147" s="516">
        <f t="shared" si="74"/>
        <v>0</v>
      </c>
      <c r="F147" s="516">
        <f t="shared" si="61"/>
        <v>1.94</v>
      </c>
      <c r="G147" s="516">
        <f t="shared" si="62"/>
        <v>2.04</v>
      </c>
      <c r="H147" s="516">
        <v>0.05</v>
      </c>
      <c r="I147" s="516">
        <f t="shared" si="63"/>
        <v>0</v>
      </c>
      <c r="J147" s="517">
        <f t="shared" si="64"/>
        <v>0</v>
      </c>
      <c r="K147" s="518">
        <f t="shared" si="65"/>
        <v>0</v>
      </c>
      <c r="L147" s="516">
        <f t="shared" si="66"/>
        <v>0</v>
      </c>
      <c r="M147" s="517">
        <f t="shared" si="67"/>
        <v>0</v>
      </c>
      <c r="N147" s="516">
        <f t="shared" si="68"/>
        <v>0</v>
      </c>
      <c r="O147" s="516">
        <f t="shared" si="69"/>
        <v>0</v>
      </c>
      <c r="P147" s="516">
        <f t="shared" si="70"/>
        <v>0</v>
      </c>
      <c r="Q147" s="516">
        <f t="shared" si="71"/>
        <v>0</v>
      </c>
      <c r="R147" s="650">
        <f t="shared" si="72"/>
        <v>0</v>
      </c>
      <c r="S147" s="519"/>
      <c r="T147" s="520">
        <f>'ORÇAMENTO GERAL'!$J$75</f>
        <v>1201.08</v>
      </c>
      <c r="U147" s="520">
        <f>'ORÇAMENTO GERAL'!$J$76</f>
        <v>14.63</v>
      </c>
      <c r="V147" s="520">
        <f>'ORÇAMENTO GERAL'!$J$77</f>
        <v>8.07</v>
      </c>
      <c r="W147" s="520">
        <f>'ORÇAMENTO GERAL'!$J$78</f>
        <v>3.54</v>
      </c>
      <c r="X147" s="520">
        <f>'ORÇAMENTO GERAL'!$J$79</f>
        <v>7.02</v>
      </c>
      <c r="Y147" s="520">
        <f>'ORÇAMENTO GERAL'!$J$80</f>
        <v>48.92</v>
      </c>
      <c r="Z147" s="520">
        <f>'ORÇAMENTO GERAL'!$J$81</f>
        <v>169.7</v>
      </c>
      <c r="AA147" s="520">
        <f>'ORÇAMENTO GERAL'!$J$82</f>
        <v>22.65</v>
      </c>
      <c r="AB147" s="520">
        <f>'ORÇAMENTO GERAL'!$J$83</f>
        <v>46.13</v>
      </c>
      <c r="AC147" s="520">
        <f>'ORÇAMENTO GERAL'!$J$84</f>
        <v>248.55</v>
      </c>
      <c r="AD147" s="520">
        <f t="shared" si="73"/>
        <v>0</v>
      </c>
    </row>
    <row r="148" spans="1:30" s="501" customFormat="1" ht="45" customHeight="1" hidden="1">
      <c r="A148" s="512">
        <v>17</v>
      </c>
      <c r="B148" s="532">
        <f t="shared" si="60"/>
        <v>0</v>
      </c>
      <c r="C148" s="521">
        <v>1</v>
      </c>
      <c r="D148" s="517"/>
      <c r="E148" s="516">
        <f t="shared" si="74"/>
        <v>0</v>
      </c>
      <c r="F148" s="516">
        <f t="shared" si="61"/>
        <v>1.94</v>
      </c>
      <c r="G148" s="516">
        <f t="shared" si="62"/>
        <v>2.04</v>
      </c>
      <c r="H148" s="516">
        <v>0.05</v>
      </c>
      <c r="I148" s="516">
        <f t="shared" si="63"/>
        <v>0</v>
      </c>
      <c r="J148" s="517">
        <f t="shared" si="64"/>
        <v>0</v>
      </c>
      <c r="K148" s="518">
        <f t="shared" si="65"/>
        <v>0</v>
      </c>
      <c r="L148" s="516">
        <f t="shared" si="66"/>
        <v>0</v>
      </c>
      <c r="M148" s="517">
        <f t="shared" si="67"/>
        <v>0</v>
      </c>
      <c r="N148" s="516">
        <f t="shared" si="68"/>
        <v>0</v>
      </c>
      <c r="O148" s="516">
        <f t="shared" si="69"/>
        <v>0</v>
      </c>
      <c r="P148" s="516">
        <f t="shared" si="70"/>
        <v>0</v>
      </c>
      <c r="Q148" s="516">
        <f t="shared" si="71"/>
        <v>0</v>
      </c>
      <c r="R148" s="650">
        <f t="shared" si="72"/>
        <v>0</v>
      </c>
      <c r="S148" s="519"/>
      <c r="T148" s="520">
        <f>'ORÇAMENTO GERAL'!$J$75</f>
        <v>1201.08</v>
      </c>
      <c r="U148" s="520">
        <f>'ORÇAMENTO GERAL'!$J$76</f>
        <v>14.63</v>
      </c>
      <c r="V148" s="520">
        <f>'ORÇAMENTO GERAL'!$J$77</f>
        <v>8.07</v>
      </c>
      <c r="W148" s="520">
        <f>'ORÇAMENTO GERAL'!$J$78</f>
        <v>3.54</v>
      </c>
      <c r="X148" s="520">
        <f>'ORÇAMENTO GERAL'!$J$79</f>
        <v>7.02</v>
      </c>
      <c r="Y148" s="520">
        <f>'ORÇAMENTO GERAL'!$J$80</f>
        <v>48.92</v>
      </c>
      <c r="Z148" s="520">
        <f>'ORÇAMENTO GERAL'!$J$81</f>
        <v>169.7</v>
      </c>
      <c r="AA148" s="520">
        <f>'ORÇAMENTO GERAL'!$J$82</f>
        <v>22.65</v>
      </c>
      <c r="AB148" s="520">
        <f>'ORÇAMENTO GERAL'!$J$83</f>
        <v>46.13</v>
      </c>
      <c r="AC148" s="520">
        <f>'ORÇAMENTO GERAL'!$J$84</f>
        <v>248.55</v>
      </c>
      <c r="AD148" s="520">
        <f t="shared" si="73"/>
        <v>0</v>
      </c>
    </row>
    <row r="149" spans="1:30" s="501" customFormat="1" ht="45" customHeight="1" hidden="1">
      <c r="A149" s="512">
        <v>18</v>
      </c>
      <c r="B149" s="532">
        <f t="shared" si="60"/>
        <v>0</v>
      </c>
      <c r="C149" s="521">
        <v>1</v>
      </c>
      <c r="D149" s="517"/>
      <c r="E149" s="516">
        <f t="shared" si="74"/>
        <v>0</v>
      </c>
      <c r="F149" s="516">
        <f t="shared" si="61"/>
        <v>1.94</v>
      </c>
      <c r="G149" s="516">
        <f t="shared" si="62"/>
        <v>2.04</v>
      </c>
      <c r="H149" s="516">
        <v>0.05</v>
      </c>
      <c r="I149" s="516">
        <f t="shared" si="63"/>
        <v>0</v>
      </c>
      <c r="J149" s="517">
        <f t="shared" si="64"/>
        <v>0</v>
      </c>
      <c r="K149" s="518">
        <f t="shared" si="65"/>
        <v>0</v>
      </c>
      <c r="L149" s="516">
        <f t="shared" si="66"/>
        <v>0</v>
      </c>
      <c r="M149" s="517">
        <f t="shared" si="67"/>
        <v>0</v>
      </c>
      <c r="N149" s="516">
        <f t="shared" si="68"/>
        <v>0</v>
      </c>
      <c r="O149" s="516">
        <f t="shared" si="69"/>
        <v>0</v>
      </c>
      <c r="P149" s="516">
        <f t="shared" si="70"/>
        <v>0</v>
      </c>
      <c r="Q149" s="516">
        <f t="shared" si="71"/>
        <v>0</v>
      </c>
      <c r="R149" s="650">
        <f t="shared" si="72"/>
        <v>0</v>
      </c>
      <c r="S149" s="519"/>
      <c r="T149" s="520">
        <f>'ORÇAMENTO GERAL'!$J$75</f>
        <v>1201.08</v>
      </c>
      <c r="U149" s="520">
        <f>'ORÇAMENTO GERAL'!$J$76</f>
        <v>14.63</v>
      </c>
      <c r="V149" s="520">
        <f>'ORÇAMENTO GERAL'!$J$77</f>
        <v>8.07</v>
      </c>
      <c r="W149" s="520">
        <f>'ORÇAMENTO GERAL'!$J$78</f>
        <v>3.54</v>
      </c>
      <c r="X149" s="520">
        <f>'ORÇAMENTO GERAL'!$J$79</f>
        <v>7.02</v>
      </c>
      <c r="Y149" s="520">
        <f>'ORÇAMENTO GERAL'!$J$80</f>
        <v>48.92</v>
      </c>
      <c r="Z149" s="520">
        <f>'ORÇAMENTO GERAL'!$J$81</f>
        <v>169.7</v>
      </c>
      <c r="AA149" s="520">
        <f>'ORÇAMENTO GERAL'!$J$82</f>
        <v>22.65</v>
      </c>
      <c r="AB149" s="520">
        <f>'ORÇAMENTO GERAL'!$J$83</f>
        <v>46.13</v>
      </c>
      <c r="AC149" s="520">
        <f>'ORÇAMENTO GERAL'!$J$84</f>
        <v>248.55</v>
      </c>
      <c r="AD149" s="520">
        <f t="shared" si="73"/>
        <v>0</v>
      </c>
    </row>
    <row r="150" spans="1:30" s="501" customFormat="1" ht="45" customHeight="1" hidden="1">
      <c r="A150" s="512">
        <v>19</v>
      </c>
      <c r="B150" s="532">
        <f t="shared" si="60"/>
        <v>0</v>
      </c>
      <c r="C150" s="521">
        <v>1</v>
      </c>
      <c r="D150" s="517"/>
      <c r="E150" s="516">
        <f t="shared" si="74"/>
        <v>0</v>
      </c>
      <c r="F150" s="516">
        <f t="shared" si="61"/>
        <v>1.94</v>
      </c>
      <c r="G150" s="516">
        <f t="shared" si="62"/>
        <v>2.04</v>
      </c>
      <c r="H150" s="516">
        <v>0.05</v>
      </c>
      <c r="I150" s="516">
        <f t="shared" si="63"/>
        <v>0</v>
      </c>
      <c r="J150" s="517">
        <f t="shared" si="64"/>
        <v>0</v>
      </c>
      <c r="K150" s="518">
        <f t="shared" si="65"/>
        <v>0</v>
      </c>
      <c r="L150" s="516">
        <f t="shared" si="66"/>
        <v>0</v>
      </c>
      <c r="M150" s="517">
        <f t="shared" si="67"/>
        <v>0</v>
      </c>
      <c r="N150" s="516">
        <f t="shared" si="68"/>
        <v>0</v>
      </c>
      <c r="O150" s="516">
        <f t="shared" si="69"/>
        <v>0</v>
      </c>
      <c r="P150" s="516">
        <f t="shared" si="70"/>
        <v>0</v>
      </c>
      <c r="Q150" s="516">
        <f t="shared" si="71"/>
        <v>0</v>
      </c>
      <c r="R150" s="650">
        <f t="shared" si="72"/>
        <v>0</v>
      </c>
      <c r="S150" s="519"/>
      <c r="T150" s="520">
        <f>'ORÇAMENTO GERAL'!$J$75</f>
        <v>1201.08</v>
      </c>
      <c r="U150" s="520">
        <f>'ORÇAMENTO GERAL'!$J$76</f>
        <v>14.63</v>
      </c>
      <c r="V150" s="520">
        <f>'ORÇAMENTO GERAL'!$J$77</f>
        <v>8.07</v>
      </c>
      <c r="W150" s="520">
        <f>'ORÇAMENTO GERAL'!$J$78</f>
        <v>3.54</v>
      </c>
      <c r="X150" s="520">
        <f>'ORÇAMENTO GERAL'!$J$79</f>
        <v>7.02</v>
      </c>
      <c r="Y150" s="520">
        <f>'ORÇAMENTO GERAL'!$J$80</f>
        <v>48.92</v>
      </c>
      <c r="Z150" s="520">
        <f>'ORÇAMENTO GERAL'!$J$81</f>
        <v>169.7</v>
      </c>
      <c r="AA150" s="520">
        <f>'ORÇAMENTO GERAL'!$J$82</f>
        <v>22.65</v>
      </c>
      <c r="AB150" s="520">
        <f>'ORÇAMENTO GERAL'!$J$83</f>
        <v>46.13</v>
      </c>
      <c r="AC150" s="520">
        <f>'ORÇAMENTO GERAL'!$J$84</f>
        <v>248.55</v>
      </c>
      <c r="AD150" s="520">
        <f t="shared" si="73"/>
        <v>0</v>
      </c>
    </row>
    <row r="151" spans="1:30" s="501" customFormat="1" ht="45" customHeight="1" hidden="1" thickBot="1">
      <c r="A151" s="512">
        <v>20</v>
      </c>
      <c r="B151" s="532">
        <f t="shared" si="60"/>
        <v>0</v>
      </c>
      <c r="C151" s="521">
        <v>1</v>
      </c>
      <c r="D151" s="517"/>
      <c r="E151" s="516">
        <f t="shared" si="74"/>
        <v>0</v>
      </c>
      <c r="F151" s="516">
        <f t="shared" si="61"/>
        <v>1.94</v>
      </c>
      <c r="G151" s="516">
        <f t="shared" si="62"/>
        <v>2.04</v>
      </c>
      <c r="H151" s="516">
        <v>0.05</v>
      </c>
      <c r="I151" s="516">
        <f t="shared" si="63"/>
        <v>0</v>
      </c>
      <c r="J151" s="517">
        <f t="shared" si="64"/>
        <v>0</v>
      </c>
      <c r="K151" s="518">
        <f t="shared" si="65"/>
        <v>0</v>
      </c>
      <c r="L151" s="516">
        <f t="shared" si="66"/>
        <v>0</v>
      </c>
      <c r="M151" s="517">
        <f t="shared" si="67"/>
        <v>0</v>
      </c>
      <c r="N151" s="516">
        <f t="shared" si="68"/>
        <v>0</v>
      </c>
      <c r="O151" s="516">
        <f t="shared" si="69"/>
        <v>0</v>
      </c>
      <c r="P151" s="516">
        <f t="shared" si="70"/>
        <v>0</v>
      </c>
      <c r="Q151" s="516">
        <f t="shared" si="71"/>
        <v>0</v>
      </c>
      <c r="R151" s="650">
        <f t="shared" si="72"/>
        <v>0</v>
      </c>
      <c r="S151" s="519"/>
      <c r="T151" s="520">
        <f>'ORÇAMENTO GERAL'!$J$75</f>
        <v>1201.08</v>
      </c>
      <c r="U151" s="520">
        <f>'ORÇAMENTO GERAL'!$J$76</f>
        <v>14.63</v>
      </c>
      <c r="V151" s="520">
        <f>'ORÇAMENTO GERAL'!$J$77</f>
        <v>8.07</v>
      </c>
      <c r="W151" s="520">
        <f>'ORÇAMENTO GERAL'!$J$78</f>
        <v>3.54</v>
      </c>
      <c r="X151" s="520">
        <f>'ORÇAMENTO GERAL'!$J$79</f>
        <v>7.02</v>
      </c>
      <c r="Y151" s="520">
        <f>'ORÇAMENTO GERAL'!$J$80</f>
        <v>48.92</v>
      </c>
      <c r="Z151" s="520">
        <f>'ORÇAMENTO GERAL'!$J$81</f>
        <v>169.7</v>
      </c>
      <c r="AA151" s="520">
        <f>'ORÇAMENTO GERAL'!$J$82</f>
        <v>22.65</v>
      </c>
      <c r="AB151" s="520">
        <f>'ORÇAMENTO GERAL'!$J$83</f>
        <v>46.13</v>
      </c>
      <c r="AC151" s="520">
        <f>'ORÇAMENTO GERAL'!$J$84</f>
        <v>248.55</v>
      </c>
      <c r="AD151" s="520">
        <f t="shared" si="73"/>
        <v>0</v>
      </c>
    </row>
    <row r="152" spans="1:19" s="501" customFormat="1" ht="45" customHeight="1" hidden="1" thickBot="1">
      <c r="A152" s="854" t="s">
        <v>24</v>
      </c>
      <c r="B152" s="855"/>
      <c r="C152" s="523"/>
      <c r="D152" s="523"/>
      <c r="E152" s="523">
        <f>SUM(E132:E151)</f>
        <v>0</v>
      </c>
      <c r="F152" s="523"/>
      <c r="G152" s="523"/>
      <c r="H152" s="523"/>
      <c r="I152" s="523">
        <f>SUM(I132:I151)</f>
        <v>0</v>
      </c>
      <c r="J152" s="523">
        <f aca="true" t="shared" si="75" ref="J152:R152">SUM(J132:J151)</f>
        <v>0</v>
      </c>
      <c r="K152" s="523">
        <f t="shared" si="75"/>
        <v>0</v>
      </c>
      <c r="L152" s="523">
        <f t="shared" si="75"/>
        <v>0</v>
      </c>
      <c r="M152" s="523">
        <f t="shared" si="75"/>
        <v>0</v>
      </c>
      <c r="N152" s="523">
        <f t="shared" si="75"/>
        <v>0</v>
      </c>
      <c r="O152" s="523">
        <f t="shared" si="75"/>
        <v>0</v>
      </c>
      <c r="P152" s="523">
        <f t="shared" si="75"/>
        <v>0</v>
      </c>
      <c r="Q152" s="523">
        <f t="shared" si="75"/>
        <v>0</v>
      </c>
      <c r="R152" s="523">
        <f t="shared" si="75"/>
        <v>0</v>
      </c>
      <c r="S152" s="524"/>
    </row>
    <row r="153" spans="1:18" s="501" customFormat="1" ht="45" customHeight="1" hidden="1" thickBot="1">
      <c r="A153" s="654"/>
      <c r="B153" s="652"/>
      <c r="C153" s="655"/>
      <c r="D153" s="655"/>
      <c r="E153" s="655"/>
      <c r="F153" s="655"/>
      <c r="G153" s="655"/>
      <c r="H153" s="655"/>
      <c r="I153" s="652"/>
      <c r="J153" s="652"/>
      <c r="K153" s="652"/>
      <c r="L153" s="652"/>
      <c r="M153" s="652"/>
      <c r="N153" s="652"/>
      <c r="O153" s="652"/>
      <c r="P153" s="652"/>
      <c r="Q153" s="652"/>
      <c r="R153" s="653"/>
    </row>
    <row r="154" spans="1:19" s="501" customFormat="1" ht="45" customHeight="1" hidden="1" thickBot="1">
      <c r="A154" s="869" t="s">
        <v>496</v>
      </c>
      <c r="B154" s="870"/>
      <c r="C154" s="870"/>
      <c r="D154" s="870"/>
      <c r="E154" s="870"/>
      <c r="F154" s="870"/>
      <c r="G154" s="870"/>
      <c r="H154" s="870"/>
      <c r="I154" s="870"/>
      <c r="J154" s="870"/>
      <c r="K154" s="870"/>
      <c r="L154" s="870"/>
      <c r="M154" s="870"/>
      <c r="N154" s="870"/>
      <c r="O154" s="870"/>
      <c r="P154" s="870"/>
      <c r="Q154" s="870"/>
      <c r="R154" s="871"/>
      <c r="S154" s="500"/>
    </row>
    <row r="155" spans="1:19" s="501" customFormat="1" ht="45" customHeight="1" hidden="1">
      <c r="A155" s="872" t="s">
        <v>7</v>
      </c>
      <c r="B155" s="875" t="s">
        <v>374</v>
      </c>
      <c r="C155" s="878" t="s">
        <v>580</v>
      </c>
      <c r="D155" s="878"/>
      <c r="E155" s="878"/>
      <c r="F155" s="867" t="s">
        <v>541</v>
      </c>
      <c r="G155" s="867"/>
      <c r="H155" s="867"/>
      <c r="I155" s="867"/>
      <c r="J155" s="867" t="s">
        <v>542</v>
      </c>
      <c r="K155" s="861" t="s">
        <v>545</v>
      </c>
      <c r="L155" s="867" t="s">
        <v>365</v>
      </c>
      <c r="M155" s="867" t="s">
        <v>368</v>
      </c>
      <c r="N155" s="865" t="s">
        <v>366</v>
      </c>
      <c r="O155" s="865" t="s">
        <v>543</v>
      </c>
      <c r="P155" s="865" t="s">
        <v>633</v>
      </c>
      <c r="Q155" s="865" t="s">
        <v>544</v>
      </c>
      <c r="R155" s="859" t="s">
        <v>369</v>
      </c>
      <c r="S155" s="500"/>
    </row>
    <row r="156" spans="1:19" s="501" customFormat="1" ht="45" customHeight="1" hidden="1">
      <c r="A156" s="873"/>
      <c r="B156" s="876"/>
      <c r="C156" s="879"/>
      <c r="D156" s="879"/>
      <c r="E156" s="879"/>
      <c r="F156" s="868"/>
      <c r="G156" s="868"/>
      <c r="H156" s="868"/>
      <c r="I156" s="868"/>
      <c r="J156" s="868"/>
      <c r="K156" s="862"/>
      <c r="L156" s="868"/>
      <c r="M156" s="868"/>
      <c r="N156" s="880"/>
      <c r="O156" s="866"/>
      <c r="P156" s="866"/>
      <c r="Q156" s="880"/>
      <c r="R156" s="860"/>
      <c r="S156" s="500"/>
    </row>
    <row r="157" spans="1:19" s="501" customFormat="1" ht="45" customHeight="1" hidden="1">
      <c r="A157" s="873"/>
      <c r="B157" s="876"/>
      <c r="C157" s="504" t="s">
        <v>154</v>
      </c>
      <c r="D157" s="505" t="s">
        <v>381</v>
      </c>
      <c r="E157" s="504" t="s">
        <v>363</v>
      </c>
      <c r="F157" s="504" t="s">
        <v>357</v>
      </c>
      <c r="G157" s="504" t="s">
        <v>362</v>
      </c>
      <c r="H157" s="504" t="s">
        <v>364</v>
      </c>
      <c r="I157" s="504" t="s">
        <v>24</v>
      </c>
      <c r="J157" s="868"/>
      <c r="K157" s="862"/>
      <c r="L157" s="868"/>
      <c r="M157" s="868"/>
      <c r="N157" s="866"/>
      <c r="O157" s="504" t="s">
        <v>24</v>
      </c>
      <c r="P157" s="504" t="s">
        <v>24</v>
      </c>
      <c r="Q157" s="866"/>
      <c r="R157" s="860"/>
      <c r="S157" s="500"/>
    </row>
    <row r="158" spans="1:30" s="501" customFormat="1" ht="45" customHeight="1" hidden="1">
      <c r="A158" s="873"/>
      <c r="B158" s="876"/>
      <c r="C158" s="615"/>
      <c r="D158" s="615"/>
      <c r="E158" s="615" t="s">
        <v>55</v>
      </c>
      <c r="F158" s="615" t="s">
        <v>58</v>
      </c>
      <c r="G158" s="615" t="s">
        <v>16</v>
      </c>
      <c r="H158" s="615" t="s">
        <v>8</v>
      </c>
      <c r="I158" s="615" t="s">
        <v>367</v>
      </c>
      <c r="J158" s="615" t="s">
        <v>609</v>
      </c>
      <c r="K158" s="616" t="s">
        <v>546</v>
      </c>
      <c r="L158" s="615" t="s">
        <v>547</v>
      </c>
      <c r="M158" s="615" t="s">
        <v>548</v>
      </c>
      <c r="N158" s="615" t="s">
        <v>549</v>
      </c>
      <c r="O158" s="615" t="s">
        <v>636</v>
      </c>
      <c r="P158" s="615" t="s">
        <v>637</v>
      </c>
      <c r="Q158" s="615" t="s">
        <v>634</v>
      </c>
      <c r="R158" s="648" t="s">
        <v>635</v>
      </c>
      <c r="S158" s="500"/>
      <c r="T158" s="893" t="s">
        <v>566</v>
      </c>
      <c r="U158" s="894"/>
      <c r="V158" s="894"/>
      <c r="W158" s="894"/>
      <c r="X158" s="894"/>
      <c r="Y158" s="894"/>
      <c r="Z158" s="894"/>
      <c r="AA158" s="894"/>
      <c r="AB158" s="894"/>
      <c r="AC158" s="894"/>
      <c r="AD158" s="895"/>
    </row>
    <row r="159" spans="1:30" s="501" customFormat="1" ht="45" customHeight="1" hidden="1" thickBot="1">
      <c r="A159" s="874"/>
      <c r="B159" s="877"/>
      <c r="C159" s="507" t="s">
        <v>361</v>
      </c>
      <c r="D159" s="507" t="s">
        <v>358</v>
      </c>
      <c r="E159" s="507" t="s">
        <v>358</v>
      </c>
      <c r="F159" s="507" t="s">
        <v>610</v>
      </c>
      <c r="G159" s="507" t="s">
        <v>611</v>
      </c>
      <c r="H159" s="507"/>
      <c r="I159" s="507"/>
      <c r="J159" s="507"/>
      <c r="K159" s="508">
        <v>10</v>
      </c>
      <c r="L159" s="507"/>
      <c r="M159" s="507"/>
      <c r="N159" s="507"/>
      <c r="O159" s="507"/>
      <c r="P159" s="509"/>
      <c r="Q159" s="509" t="s">
        <v>631</v>
      </c>
      <c r="R159" s="649"/>
      <c r="S159" s="510"/>
      <c r="T159" s="505" t="s">
        <v>557</v>
      </c>
      <c r="U159" s="505" t="s">
        <v>558</v>
      </c>
      <c r="V159" s="505" t="s">
        <v>559</v>
      </c>
      <c r="W159" s="505" t="s">
        <v>560</v>
      </c>
      <c r="X159" s="505" t="s">
        <v>561</v>
      </c>
      <c r="Y159" s="505" t="s">
        <v>375</v>
      </c>
      <c r="Z159" s="504" t="s">
        <v>543</v>
      </c>
      <c r="AA159" s="504" t="s">
        <v>633</v>
      </c>
      <c r="AB159" s="504" t="s">
        <v>544</v>
      </c>
      <c r="AC159" s="504" t="s">
        <v>369</v>
      </c>
      <c r="AD159" s="511" t="s">
        <v>24</v>
      </c>
    </row>
    <row r="160" spans="1:30" s="501" customFormat="1" ht="45" customHeight="1" hidden="1">
      <c r="A160" s="512">
        <v>1</v>
      </c>
      <c r="B160" s="532" t="str">
        <f>B20</f>
        <v>PASS. NS. DO CARMO</v>
      </c>
      <c r="C160" s="516">
        <v>1</v>
      </c>
      <c r="D160" s="515"/>
      <c r="E160" s="516">
        <f>C160*D160</f>
        <v>0</v>
      </c>
      <c r="F160" s="516">
        <f>1.8+0.5</f>
        <v>2.3</v>
      </c>
      <c r="G160" s="516">
        <f>1.8+0.6</f>
        <v>2.4</v>
      </c>
      <c r="H160" s="516">
        <v>0.05</v>
      </c>
      <c r="I160" s="516">
        <f>(E160*F160*G160)+(E160*G160*H160)</f>
        <v>0</v>
      </c>
      <c r="J160" s="517">
        <f>N160</f>
        <v>0</v>
      </c>
      <c r="K160" s="518">
        <f>J160*1.25*$K$19</f>
        <v>0</v>
      </c>
      <c r="L160" s="516">
        <f>E160*F160</f>
        <v>0</v>
      </c>
      <c r="M160" s="517">
        <f>L160</f>
        <v>0</v>
      </c>
      <c r="N160" s="516">
        <f>(3.14*0.75^2)*E160</f>
        <v>0</v>
      </c>
      <c r="O160" s="516">
        <f>(I160-N160)*70%</f>
        <v>0</v>
      </c>
      <c r="P160" s="516">
        <f>(I160-N160)*30%</f>
        <v>0</v>
      </c>
      <c r="Q160" s="516">
        <f>E160*G160*2</f>
        <v>0</v>
      </c>
      <c r="R160" s="650">
        <f>E160</f>
        <v>0</v>
      </c>
      <c r="S160" s="519"/>
      <c r="T160" s="520">
        <f>'ORÇAMENTO GERAL'!$J$85</f>
        <v>1824.04</v>
      </c>
      <c r="U160" s="520">
        <f>'ORÇAMENTO GERAL'!$J$86</f>
        <v>14.63</v>
      </c>
      <c r="V160" s="520">
        <f>'ORÇAMENTO GERAL'!$J$87</f>
        <v>8.07</v>
      </c>
      <c r="W160" s="520">
        <f>'ORÇAMENTO GERAL'!$J$88</f>
        <v>3.54</v>
      </c>
      <c r="X160" s="520">
        <f>'ORÇAMENTO GERAL'!$J$89</f>
        <v>7.02</v>
      </c>
      <c r="Y160" s="520">
        <f>'ORÇAMENTO GERAL'!$J$90</f>
        <v>48.92</v>
      </c>
      <c r="Z160" s="520">
        <f>'ORÇAMENTO GERAL'!$J$91</f>
        <v>169.7</v>
      </c>
      <c r="AA160" s="520">
        <f>'ORÇAMENTO GERAL'!$J$92</f>
        <v>22.65</v>
      </c>
      <c r="AB160" s="520">
        <f>'ORÇAMENTO GERAL'!$J$93</f>
        <v>46.13</v>
      </c>
      <c r="AC160" s="520">
        <f>'ORÇAMENTO GERAL'!$J$94</f>
        <v>330.43</v>
      </c>
      <c r="AD160" s="520">
        <f>(E160*T160)+(I160*U160)+(J160*V160)+(K160*W160)+(L160*X160)+(M160*Y160)+(O160*Z160)+(P160*AA160)+(Q160*AB160)+(R160*AC160)</f>
        <v>0</v>
      </c>
    </row>
    <row r="161" spans="1:30" s="501" customFormat="1" ht="45" customHeight="1" hidden="1">
      <c r="A161" s="512">
        <v>2</v>
      </c>
      <c r="B161" s="532" t="str">
        <f aca="true" t="shared" si="76" ref="B161:B179">B21</f>
        <v>PASS. KENEDY</v>
      </c>
      <c r="C161" s="521">
        <v>1</v>
      </c>
      <c r="D161" s="517"/>
      <c r="E161" s="516">
        <f>C161*D161</f>
        <v>0</v>
      </c>
      <c r="F161" s="516">
        <f aca="true" t="shared" si="77" ref="F161:F179">1.8+0.5</f>
        <v>2.3</v>
      </c>
      <c r="G161" s="516">
        <f aca="true" t="shared" si="78" ref="G161:G179">1.8+0.6</f>
        <v>2.4</v>
      </c>
      <c r="H161" s="516">
        <v>0.05</v>
      </c>
      <c r="I161" s="516">
        <f aca="true" t="shared" si="79" ref="I161:I179">(E161*F161*G161)+(E161*G161*H161)</f>
        <v>0</v>
      </c>
      <c r="J161" s="517">
        <f aca="true" t="shared" si="80" ref="J161:J179">N161</f>
        <v>0</v>
      </c>
      <c r="K161" s="518">
        <f aca="true" t="shared" si="81" ref="K161:K179">J161*1.25*$K$19</f>
        <v>0</v>
      </c>
      <c r="L161" s="516">
        <f aca="true" t="shared" si="82" ref="L161:L179">E161*F161</f>
        <v>0</v>
      </c>
      <c r="M161" s="517">
        <f aca="true" t="shared" si="83" ref="M161:M179">L161</f>
        <v>0</v>
      </c>
      <c r="N161" s="516">
        <f aca="true" t="shared" si="84" ref="N161:N179">(3.14*0.75^2)*E161</f>
        <v>0</v>
      </c>
      <c r="O161" s="516">
        <f aca="true" t="shared" si="85" ref="O161:O179">(I161-N161)*70%</f>
        <v>0</v>
      </c>
      <c r="P161" s="516">
        <f aca="true" t="shared" si="86" ref="P161:P179">(I161-N161)*30%</f>
        <v>0</v>
      </c>
      <c r="Q161" s="516">
        <f aca="true" t="shared" si="87" ref="Q161:Q179">E161*G161*2</f>
        <v>0</v>
      </c>
      <c r="R161" s="650">
        <f aca="true" t="shared" si="88" ref="R161:R179">E161</f>
        <v>0</v>
      </c>
      <c r="S161" s="519"/>
      <c r="T161" s="520">
        <f>'ORÇAMENTO GERAL'!$J$85</f>
        <v>1824.04</v>
      </c>
      <c r="U161" s="520">
        <f>'ORÇAMENTO GERAL'!$J$86</f>
        <v>14.63</v>
      </c>
      <c r="V161" s="520">
        <f>'ORÇAMENTO GERAL'!$J$87</f>
        <v>8.07</v>
      </c>
      <c r="W161" s="520">
        <f>'ORÇAMENTO GERAL'!$J$88</f>
        <v>3.54</v>
      </c>
      <c r="X161" s="520">
        <f>'ORÇAMENTO GERAL'!$J$89</f>
        <v>7.02</v>
      </c>
      <c r="Y161" s="520">
        <f>'ORÇAMENTO GERAL'!$J$90</f>
        <v>48.92</v>
      </c>
      <c r="Z161" s="520">
        <f>'ORÇAMENTO GERAL'!$J$91</f>
        <v>169.7</v>
      </c>
      <c r="AA161" s="520">
        <f>'ORÇAMENTO GERAL'!$J$92</f>
        <v>22.65</v>
      </c>
      <c r="AB161" s="520">
        <f>'ORÇAMENTO GERAL'!$J$93</f>
        <v>46.13</v>
      </c>
      <c r="AC161" s="520">
        <f>'ORÇAMENTO GERAL'!$J$94</f>
        <v>330.43</v>
      </c>
      <c r="AD161" s="520">
        <f aca="true" t="shared" si="89" ref="AD161:AD179">(E161*T161)+(I161*U161)+(J161*V161)+(K161*W161)+(L161*X161)+(M161*Y161)+(O161*Z161)+(P161*AA161)+(Q161*AB161)+(R161*AC161)</f>
        <v>0</v>
      </c>
    </row>
    <row r="162" spans="1:30" s="501" customFormat="1" ht="45" customHeight="1" hidden="1">
      <c r="A162" s="512">
        <v>3</v>
      </c>
      <c r="B162" s="532" t="str">
        <f t="shared" si="76"/>
        <v>PASS. UBIRATAN MACIEL</v>
      </c>
      <c r="C162" s="521">
        <v>1</v>
      </c>
      <c r="D162" s="517"/>
      <c r="E162" s="516">
        <f aca="true" t="shared" si="90" ref="E162:E179">C162*D162</f>
        <v>0</v>
      </c>
      <c r="F162" s="516">
        <f t="shared" si="77"/>
        <v>2.3</v>
      </c>
      <c r="G162" s="516">
        <f t="shared" si="78"/>
        <v>2.4</v>
      </c>
      <c r="H162" s="516">
        <v>0.05</v>
      </c>
      <c r="I162" s="516">
        <f t="shared" si="79"/>
        <v>0</v>
      </c>
      <c r="J162" s="517">
        <f t="shared" si="80"/>
        <v>0</v>
      </c>
      <c r="K162" s="518">
        <f t="shared" si="81"/>
        <v>0</v>
      </c>
      <c r="L162" s="516">
        <f t="shared" si="82"/>
        <v>0</v>
      </c>
      <c r="M162" s="517">
        <f t="shared" si="83"/>
        <v>0</v>
      </c>
      <c r="N162" s="516">
        <f t="shared" si="84"/>
        <v>0</v>
      </c>
      <c r="O162" s="516">
        <f t="shared" si="85"/>
        <v>0</v>
      </c>
      <c r="P162" s="516">
        <f t="shared" si="86"/>
        <v>0</v>
      </c>
      <c r="Q162" s="516">
        <f t="shared" si="87"/>
        <v>0</v>
      </c>
      <c r="R162" s="650">
        <f t="shared" si="88"/>
        <v>0</v>
      </c>
      <c r="S162" s="519"/>
      <c r="T162" s="520">
        <f>'ORÇAMENTO GERAL'!$J$85</f>
        <v>1824.04</v>
      </c>
      <c r="U162" s="520">
        <f>'ORÇAMENTO GERAL'!$J$86</f>
        <v>14.63</v>
      </c>
      <c r="V162" s="520">
        <f>'ORÇAMENTO GERAL'!$J$87</f>
        <v>8.07</v>
      </c>
      <c r="W162" s="520">
        <f>'ORÇAMENTO GERAL'!$J$88</f>
        <v>3.54</v>
      </c>
      <c r="X162" s="520">
        <f>'ORÇAMENTO GERAL'!$J$89</f>
        <v>7.02</v>
      </c>
      <c r="Y162" s="520">
        <f>'ORÇAMENTO GERAL'!$J$90</f>
        <v>48.92</v>
      </c>
      <c r="Z162" s="520">
        <f>'ORÇAMENTO GERAL'!$J$91</f>
        <v>169.7</v>
      </c>
      <c r="AA162" s="520">
        <f>'ORÇAMENTO GERAL'!$J$92</f>
        <v>22.65</v>
      </c>
      <c r="AB162" s="520">
        <f>'ORÇAMENTO GERAL'!$J$93</f>
        <v>46.13</v>
      </c>
      <c r="AC162" s="520">
        <f>'ORÇAMENTO GERAL'!$J$94</f>
        <v>330.43</v>
      </c>
      <c r="AD162" s="520">
        <f t="shared" si="89"/>
        <v>0</v>
      </c>
    </row>
    <row r="163" spans="1:30" s="501" customFormat="1" ht="45" customHeight="1" hidden="1">
      <c r="A163" s="512">
        <v>4</v>
      </c>
      <c r="B163" s="532" t="str">
        <f t="shared" si="76"/>
        <v>PASS. ALEGRE </v>
      </c>
      <c r="C163" s="521">
        <v>1</v>
      </c>
      <c r="D163" s="517"/>
      <c r="E163" s="516">
        <f t="shared" si="90"/>
        <v>0</v>
      </c>
      <c r="F163" s="516">
        <f t="shared" si="77"/>
        <v>2.3</v>
      </c>
      <c r="G163" s="516">
        <f t="shared" si="78"/>
        <v>2.4</v>
      </c>
      <c r="H163" s="516">
        <v>0.05</v>
      </c>
      <c r="I163" s="516">
        <f t="shared" si="79"/>
        <v>0</v>
      </c>
      <c r="J163" s="517">
        <f t="shared" si="80"/>
        <v>0</v>
      </c>
      <c r="K163" s="518">
        <f t="shared" si="81"/>
        <v>0</v>
      </c>
      <c r="L163" s="516">
        <f t="shared" si="82"/>
        <v>0</v>
      </c>
      <c r="M163" s="517">
        <f t="shared" si="83"/>
        <v>0</v>
      </c>
      <c r="N163" s="516">
        <f t="shared" si="84"/>
        <v>0</v>
      </c>
      <c r="O163" s="516">
        <f t="shared" si="85"/>
        <v>0</v>
      </c>
      <c r="P163" s="516">
        <f t="shared" si="86"/>
        <v>0</v>
      </c>
      <c r="Q163" s="516">
        <f t="shared" si="87"/>
        <v>0</v>
      </c>
      <c r="R163" s="650">
        <f t="shared" si="88"/>
        <v>0</v>
      </c>
      <c r="S163" s="519"/>
      <c r="T163" s="520">
        <f>'ORÇAMENTO GERAL'!$J$85</f>
        <v>1824.04</v>
      </c>
      <c r="U163" s="520">
        <f>'ORÇAMENTO GERAL'!$J$86</f>
        <v>14.63</v>
      </c>
      <c r="V163" s="520">
        <f>'ORÇAMENTO GERAL'!$J$87</f>
        <v>8.07</v>
      </c>
      <c r="W163" s="520">
        <f>'ORÇAMENTO GERAL'!$J$88</f>
        <v>3.54</v>
      </c>
      <c r="X163" s="520">
        <f>'ORÇAMENTO GERAL'!$J$89</f>
        <v>7.02</v>
      </c>
      <c r="Y163" s="520">
        <f>'ORÇAMENTO GERAL'!$J$90</f>
        <v>48.92</v>
      </c>
      <c r="Z163" s="520">
        <f>'ORÇAMENTO GERAL'!$J$91</f>
        <v>169.7</v>
      </c>
      <c r="AA163" s="520">
        <f>'ORÇAMENTO GERAL'!$J$92</f>
        <v>22.65</v>
      </c>
      <c r="AB163" s="520">
        <f>'ORÇAMENTO GERAL'!$J$93</f>
        <v>46.13</v>
      </c>
      <c r="AC163" s="520">
        <f>'ORÇAMENTO GERAL'!$J$94</f>
        <v>330.43</v>
      </c>
      <c r="AD163" s="520">
        <f t="shared" si="89"/>
        <v>0</v>
      </c>
    </row>
    <row r="164" spans="1:30" s="501" customFormat="1" ht="45" customHeight="1" hidden="1">
      <c r="A164" s="512">
        <v>5</v>
      </c>
      <c r="B164" s="532">
        <f t="shared" si="76"/>
        <v>0</v>
      </c>
      <c r="C164" s="521">
        <v>1</v>
      </c>
      <c r="D164" s="517"/>
      <c r="E164" s="516">
        <f t="shared" si="90"/>
        <v>0</v>
      </c>
      <c r="F164" s="516">
        <f t="shared" si="77"/>
        <v>2.3</v>
      </c>
      <c r="G164" s="516">
        <f t="shared" si="78"/>
        <v>2.4</v>
      </c>
      <c r="H164" s="516">
        <v>0.05</v>
      </c>
      <c r="I164" s="516">
        <f t="shared" si="79"/>
        <v>0</v>
      </c>
      <c r="J164" s="517">
        <f t="shared" si="80"/>
        <v>0</v>
      </c>
      <c r="K164" s="518">
        <f t="shared" si="81"/>
        <v>0</v>
      </c>
      <c r="L164" s="516">
        <f t="shared" si="82"/>
        <v>0</v>
      </c>
      <c r="M164" s="517">
        <f t="shared" si="83"/>
        <v>0</v>
      </c>
      <c r="N164" s="516">
        <f t="shared" si="84"/>
        <v>0</v>
      </c>
      <c r="O164" s="516">
        <f t="shared" si="85"/>
        <v>0</v>
      </c>
      <c r="P164" s="516">
        <f t="shared" si="86"/>
        <v>0</v>
      </c>
      <c r="Q164" s="516">
        <f t="shared" si="87"/>
        <v>0</v>
      </c>
      <c r="R164" s="650">
        <f t="shared" si="88"/>
        <v>0</v>
      </c>
      <c r="S164" s="519"/>
      <c r="T164" s="520">
        <f>'ORÇAMENTO GERAL'!$J$85</f>
        <v>1824.04</v>
      </c>
      <c r="U164" s="520">
        <f>'ORÇAMENTO GERAL'!$J$86</f>
        <v>14.63</v>
      </c>
      <c r="V164" s="520">
        <f>'ORÇAMENTO GERAL'!$J$87</f>
        <v>8.07</v>
      </c>
      <c r="W164" s="520">
        <f>'ORÇAMENTO GERAL'!$J$88</f>
        <v>3.54</v>
      </c>
      <c r="X164" s="520">
        <f>'ORÇAMENTO GERAL'!$J$89</f>
        <v>7.02</v>
      </c>
      <c r="Y164" s="520">
        <f>'ORÇAMENTO GERAL'!$J$90</f>
        <v>48.92</v>
      </c>
      <c r="Z164" s="520">
        <f>'ORÇAMENTO GERAL'!$J$91</f>
        <v>169.7</v>
      </c>
      <c r="AA164" s="520">
        <f>'ORÇAMENTO GERAL'!$J$92</f>
        <v>22.65</v>
      </c>
      <c r="AB164" s="520">
        <f>'ORÇAMENTO GERAL'!$J$93</f>
        <v>46.13</v>
      </c>
      <c r="AC164" s="520">
        <f>'ORÇAMENTO GERAL'!$J$94</f>
        <v>330.43</v>
      </c>
      <c r="AD164" s="520">
        <f t="shared" si="89"/>
        <v>0</v>
      </c>
    </row>
    <row r="165" spans="1:30" s="501" customFormat="1" ht="45" customHeight="1" hidden="1">
      <c r="A165" s="512">
        <v>6</v>
      </c>
      <c r="B165" s="532">
        <f t="shared" si="76"/>
        <v>0</v>
      </c>
      <c r="C165" s="521">
        <v>1</v>
      </c>
      <c r="D165" s="517"/>
      <c r="E165" s="516">
        <f t="shared" si="90"/>
        <v>0</v>
      </c>
      <c r="F165" s="516">
        <f t="shared" si="77"/>
        <v>2.3</v>
      </c>
      <c r="G165" s="516">
        <f t="shared" si="78"/>
        <v>2.4</v>
      </c>
      <c r="H165" s="516">
        <v>0.05</v>
      </c>
      <c r="I165" s="516">
        <f t="shared" si="79"/>
        <v>0</v>
      </c>
      <c r="J165" s="517">
        <f t="shared" si="80"/>
        <v>0</v>
      </c>
      <c r="K165" s="518">
        <f t="shared" si="81"/>
        <v>0</v>
      </c>
      <c r="L165" s="516">
        <f t="shared" si="82"/>
        <v>0</v>
      </c>
      <c r="M165" s="517">
        <f t="shared" si="83"/>
        <v>0</v>
      </c>
      <c r="N165" s="516">
        <f t="shared" si="84"/>
        <v>0</v>
      </c>
      <c r="O165" s="516">
        <f t="shared" si="85"/>
        <v>0</v>
      </c>
      <c r="P165" s="516">
        <f t="shared" si="86"/>
        <v>0</v>
      </c>
      <c r="Q165" s="516">
        <f t="shared" si="87"/>
        <v>0</v>
      </c>
      <c r="R165" s="650">
        <f t="shared" si="88"/>
        <v>0</v>
      </c>
      <c r="S165" s="519"/>
      <c r="T165" s="520">
        <f>'ORÇAMENTO GERAL'!$J$85</f>
        <v>1824.04</v>
      </c>
      <c r="U165" s="520">
        <f>'ORÇAMENTO GERAL'!$J$86</f>
        <v>14.63</v>
      </c>
      <c r="V165" s="520">
        <f>'ORÇAMENTO GERAL'!$J$87</f>
        <v>8.07</v>
      </c>
      <c r="W165" s="520">
        <f>'ORÇAMENTO GERAL'!$J$88</f>
        <v>3.54</v>
      </c>
      <c r="X165" s="520">
        <f>'ORÇAMENTO GERAL'!$J$89</f>
        <v>7.02</v>
      </c>
      <c r="Y165" s="520">
        <f>'ORÇAMENTO GERAL'!$J$90</f>
        <v>48.92</v>
      </c>
      <c r="Z165" s="520">
        <f>'ORÇAMENTO GERAL'!$J$91</f>
        <v>169.7</v>
      </c>
      <c r="AA165" s="520">
        <f>'ORÇAMENTO GERAL'!$J$92</f>
        <v>22.65</v>
      </c>
      <c r="AB165" s="520">
        <f>'ORÇAMENTO GERAL'!$J$93</f>
        <v>46.13</v>
      </c>
      <c r="AC165" s="520">
        <f>'ORÇAMENTO GERAL'!$J$94</f>
        <v>330.43</v>
      </c>
      <c r="AD165" s="520">
        <f t="shared" si="89"/>
        <v>0</v>
      </c>
    </row>
    <row r="166" spans="1:30" s="501" customFormat="1" ht="45" customHeight="1" hidden="1">
      <c r="A166" s="512">
        <v>7</v>
      </c>
      <c r="B166" s="532">
        <f t="shared" si="76"/>
        <v>0</v>
      </c>
      <c r="C166" s="521">
        <v>1</v>
      </c>
      <c r="D166" s="517"/>
      <c r="E166" s="516">
        <f t="shared" si="90"/>
        <v>0</v>
      </c>
      <c r="F166" s="516">
        <f t="shared" si="77"/>
        <v>2.3</v>
      </c>
      <c r="G166" s="516">
        <f t="shared" si="78"/>
        <v>2.4</v>
      </c>
      <c r="H166" s="516">
        <v>0.05</v>
      </c>
      <c r="I166" s="516">
        <f t="shared" si="79"/>
        <v>0</v>
      </c>
      <c r="J166" s="517">
        <f t="shared" si="80"/>
        <v>0</v>
      </c>
      <c r="K166" s="518">
        <f t="shared" si="81"/>
        <v>0</v>
      </c>
      <c r="L166" s="516">
        <f t="shared" si="82"/>
        <v>0</v>
      </c>
      <c r="M166" s="517">
        <f t="shared" si="83"/>
        <v>0</v>
      </c>
      <c r="N166" s="516">
        <f t="shared" si="84"/>
        <v>0</v>
      </c>
      <c r="O166" s="516">
        <f t="shared" si="85"/>
        <v>0</v>
      </c>
      <c r="P166" s="516">
        <f t="shared" si="86"/>
        <v>0</v>
      </c>
      <c r="Q166" s="516">
        <f t="shared" si="87"/>
        <v>0</v>
      </c>
      <c r="R166" s="650">
        <f t="shared" si="88"/>
        <v>0</v>
      </c>
      <c r="S166" s="519"/>
      <c r="T166" s="520">
        <f>'ORÇAMENTO GERAL'!$J$85</f>
        <v>1824.04</v>
      </c>
      <c r="U166" s="520">
        <f>'ORÇAMENTO GERAL'!$J$86</f>
        <v>14.63</v>
      </c>
      <c r="V166" s="520">
        <f>'ORÇAMENTO GERAL'!$J$87</f>
        <v>8.07</v>
      </c>
      <c r="W166" s="520">
        <f>'ORÇAMENTO GERAL'!$J$88</f>
        <v>3.54</v>
      </c>
      <c r="X166" s="520">
        <f>'ORÇAMENTO GERAL'!$J$89</f>
        <v>7.02</v>
      </c>
      <c r="Y166" s="520">
        <f>'ORÇAMENTO GERAL'!$J$90</f>
        <v>48.92</v>
      </c>
      <c r="Z166" s="520">
        <f>'ORÇAMENTO GERAL'!$J$91</f>
        <v>169.7</v>
      </c>
      <c r="AA166" s="520">
        <f>'ORÇAMENTO GERAL'!$J$92</f>
        <v>22.65</v>
      </c>
      <c r="AB166" s="520">
        <f>'ORÇAMENTO GERAL'!$J$93</f>
        <v>46.13</v>
      </c>
      <c r="AC166" s="520">
        <f>'ORÇAMENTO GERAL'!$J$94</f>
        <v>330.43</v>
      </c>
      <c r="AD166" s="520">
        <f t="shared" si="89"/>
        <v>0</v>
      </c>
    </row>
    <row r="167" spans="1:30" s="501" customFormat="1" ht="45" customHeight="1" hidden="1">
      <c r="A167" s="512">
        <v>8</v>
      </c>
      <c r="B167" s="532">
        <f t="shared" si="76"/>
        <v>0</v>
      </c>
      <c r="C167" s="521">
        <v>1</v>
      </c>
      <c r="D167" s="517"/>
      <c r="E167" s="516">
        <f t="shared" si="90"/>
        <v>0</v>
      </c>
      <c r="F167" s="516">
        <f t="shared" si="77"/>
        <v>2.3</v>
      </c>
      <c r="G167" s="516">
        <f t="shared" si="78"/>
        <v>2.4</v>
      </c>
      <c r="H167" s="516">
        <v>0.05</v>
      </c>
      <c r="I167" s="516">
        <f t="shared" si="79"/>
        <v>0</v>
      </c>
      <c r="J167" s="517">
        <f t="shared" si="80"/>
        <v>0</v>
      </c>
      <c r="K167" s="518">
        <f t="shared" si="81"/>
        <v>0</v>
      </c>
      <c r="L167" s="516">
        <f t="shared" si="82"/>
        <v>0</v>
      </c>
      <c r="M167" s="517">
        <f t="shared" si="83"/>
        <v>0</v>
      </c>
      <c r="N167" s="516">
        <f t="shared" si="84"/>
        <v>0</v>
      </c>
      <c r="O167" s="516">
        <f t="shared" si="85"/>
        <v>0</v>
      </c>
      <c r="P167" s="516">
        <f t="shared" si="86"/>
        <v>0</v>
      </c>
      <c r="Q167" s="516">
        <f t="shared" si="87"/>
        <v>0</v>
      </c>
      <c r="R167" s="650">
        <f t="shared" si="88"/>
        <v>0</v>
      </c>
      <c r="S167" s="519"/>
      <c r="T167" s="520">
        <f>'ORÇAMENTO GERAL'!$J$85</f>
        <v>1824.04</v>
      </c>
      <c r="U167" s="520">
        <f>'ORÇAMENTO GERAL'!$J$86</f>
        <v>14.63</v>
      </c>
      <c r="V167" s="520">
        <f>'ORÇAMENTO GERAL'!$J$87</f>
        <v>8.07</v>
      </c>
      <c r="W167" s="520">
        <f>'ORÇAMENTO GERAL'!$J$88</f>
        <v>3.54</v>
      </c>
      <c r="X167" s="520">
        <f>'ORÇAMENTO GERAL'!$J$89</f>
        <v>7.02</v>
      </c>
      <c r="Y167" s="520">
        <f>'ORÇAMENTO GERAL'!$J$90</f>
        <v>48.92</v>
      </c>
      <c r="Z167" s="520">
        <f>'ORÇAMENTO GERAL'!$J$91</f>
        <v>169.7</v>
      </c>
      <c r="AA167" s="520">
        <f>'ORÇAMENTO GERAL'!$J$92</f>
        <v>22.65</v>
      </c>
      <c r="AB167" s="520">
        <f>'ORÇAMENTO GERAL'!$J$93</f>
        <v>46.13</v>
      </c>
      <c r="AC167" s="520">
        <f>'ORÇAMENTO GERAL'!$J$94</f>
        <v>330.43</v>
      </c>
      <c r="AD167" s="520">
        <f t="shared" si="89"/>
        <v>0</v>
      </c>
    </row>
    <row r="168" spans="1:30" s="501" customFormat="1" ht="45" customHeight="1" hidden="1">
      <c r="A168" s="512">
        <v>9</v>
      </c>
      <c r="B168" s="532">
        <f t="shared" si="76"/>
        <v>0</v>
      </c>
      <c r="C168" s="521">
        <v>1</v>
      </c>
      <c r="D168" s="517"/>
      <c r="E168" s="516">
        <f t="shared" si="90"/>
        <v>0</v>
      </c>
      <c r="F168" s="516">
        <f t="shared" si="77"/>
        <v>2.3</v>
      </c>
      <c r="G168" s="516">
        <f t="shared" si="78"/>
        <v>2.4</v>
      </c>
      <c r="H168" s="516">
        <v>0.05</v>
      </c>
      <c r="I168" s="516">
        <f t="shared" si="79"/>
        <v>0</v>
      </c>
      <c r="J168" s="517">
        <f t="shared" si="80"/>
        <v>0</v>
      </c>
      <c r="K168" s="518">
        <f t="shared" si="81"/>
        <v>0</v>
      </c>
      <c r="L168" s="516">
        <f t="shared" si="82"/>
        <v>0</v>
      </c>
      <c r="M168" s="517">
        <f t="shared" si="83"/>
        <v>0</v>
      </c>
      <c r="N168" s="516">
        <f t="shared" si="84"/>
        <v>0</v>
      </c>
      <c r="O168" s="516">
        <f t="shared" si="85"/>
        <v>0</v>
      </c>
      <c r="P168" s="516">
        <f t="shared" si="86"/>
        <v>0</v>
      </c>
      <c r="Q168" s="516">
        <f t="shared" si="87"/>
        <v>0</v>
      </c>
      <c r="R168" s="650">
        <f t="shared" si="88"/>
        <v>0</v>
      </c>
      <c r="S168" s="519"/>
      <c r="T168" s="520">
        <f>'ORÇAMENTO GERAL'!$J$85</f>
        <v>1824.04</v>
      </c>
      <c r="U168" s="520">
        <f>'ORÇAMENTO GERAL'!$J$86</f>
        <v>14.63</v>
      </c>
      <c r="V168" s="520">
        <f>'ORÇAMENTO GERAL'!$J$87</f>
        <v>8.07</v>
      </c>
      <c r="W168" s="520">
        <f>'ORÇAMENTO GERAL'!$J$88</f>
        <v>3.54</v>
      </c>
      <c r="X168" s="520">
        <f>'ORÇAMENTO GERAL'!$J$89</f>
        <v>7.02</v>
      </c>
      <c r="Y168" s="520">
        <f>'ORÇAMENTO GERAL'!$J$90</f>
        <v>48.92</v>
      </c>
      <c r="Z168" s="520">
        <f>'ORÇAMENTO GERAL'!$J$91</f>
        <v>169.7</v>
      </c>
      <c r="AA168" s="520">
        <f>'ORÇAMENTO GERAL'!$J$92</f>
        <v>22.65</v>
      </c>
      <c r="AB168" s="520">
        <f>'ORÇAMENTO GERAL'!$J$93</f>
        <v>46.13</v>
      </c>
      <c r="AC168" s="520">
        <f>'ORÇAMENTO GERAL'!$J$94</f>
        <v>330.43</v>
      </c>
      <c r="AD168" s="520">
        <f t="shared" si="89"/>
        <v>0</v>
      </c>
    </row>
    <row r="169" spans="1:30" s="501" customFormat="1" ht="45" customHeight="1" hidden="1">
      <c r="A169" s="512">
        <v>10</v>
      </c>
      <c r="B169" s="532">
        <f t="shared" si="76"/>
        <v>0</v>
      </c>
      <c r="C169" s="521">
        <v>1</v>
      </c>
      <c r="D169" s="517"/>
      <c r="E169" s="516">
        <f t="shared" si="90"/>
        <v>0</v>
      </c>
      <c r="F169" s="516">
        <f t="shared" si="77"/>
        <v>2.3</v>
      </c>
      <c r="G169" s="516">
        <f t="shared" si="78"/>
        <v>2.4</v>
      </c>
      <c r="H169" s="516">
        <v>0.05</v>
      </c>
      <c r="I169" s="516">
        <f t="shared" si="79"/>
        <v>0</v>
      </c>
      <c r="J169" s="517">
        <f t="shared" si="80"/>
        <v>0</v>
      </c>
      <c r="K169" s="518">
        <f t="shared" si="81"/>
        <v>0</v>
      </c>
      <c r="L169" s="516">
        <f t="shared" si="82"/>
        <v>0</v>
      </c>
      <c r="M169" s="517">
        <f t="shared" si="83"/>
        <v>0</v>
      </c>
      <c r="N169" s="516">
        <f t="shared" si="84"/>
        <v>0</v>
      </c>
      <c r="O169" s="516">
        <f t="shared" si="85"/>
        <v>0</v>
      </c>
      <c r="P169" s="516">
        <f t="shared" si="86"/>
        <v>0</v>
      </c>
      <c r="Q169" s="516">
        <f t="shared" si="87"/>
        <v>0</v>
      </c>
      <c r="R169" s="650">
        <f t="shared" si="88"/>
        <v>0</v>
      </c>
      <c r="S169" s="519"/>
      <c r="T169" s="520">
        <f>'ORÇAMENTO GERAL'!$J$85</f>
        <v>1824.04</v>
      </c>
      <c r="U169" s="520">
        <f>'ORÇAMENTO GERAL'!$J$86</f>
        <v>14.63</v>
      </c>
      <c r="V169" s="520">
        <f>'ORÇAMENTO GERAL'!$J$87</f>
        <v>8.07</v>
      </c>
      <c r="W169" s="520">
        <f>'ORÇAMENTO GERAL'!$J$88</f>
        <v>3.54</v>
      </c>
      <c r="X169" s="520">
        <f>'ORÇAMENTO GERAL'!$J$89</f>
        <v>7.02</v>
      </c>
      <c r="Y169" s="520">
        <f>'ORÇAMENTO GERAL'!$J$90</f>
        <v>48.92</v>
      </c>
      <c r="Z169" s="520">
        <f>'ORÇAMENTO GERAL'!$J$91</f>
        <v>169.7</v>
      </c>
      <c r="AA169" s="520">
        <f>'ORÇAMENTO GERAL'!$J$92</f>
        <v>22.65</v>
      </c>
      <c r="AB169" s="520">
        <f>'ORÇAMENTO GERAL'!$J$93</f>
        <v>46.13</v>
      </c>
      <c r="AC169" s="520">
        <f>'ORÇAMENTO GERAL'!$J$94</f>
        <v>330.43</v>
      </c>
      <c r="AD169" s="520">
        <f t="shared" si="89"/>
        <v>0</v>
      </c>
    </row>
    <row r="170" spans="1:30" s="501" customFormat="1" ht="45" customHeight="1" hidden="1">
      <c r="A170" s="512">
        <v>11</v>
      </c>
      <c r="B170" s="532">
        <f t="shared" si="76"/>
        <v>0</v>
      </c>
      <c r="C170" s="521">
        <v>1</v>
      </c>
      <c r="D170" s="517"/>
      <c r="E170" s="516">
        <f t="shared" si="90"/>
        <v>0</v>
      </c>
      <c r="F170" s="516">
        <f t="shared" si="77"/>
        <v>2.3</v>
      </c>
      <c r="G170" s="516">
        <f t="shared" si="78"/>
        <v>2.4</v>
      </c>
      <c r="H170" s="516">
        <v>0.05</v>
      </c>
      <c r="I170" s="516">
        <f t="shared" si="79"/>
        <v>0</v>
      </c>
      <c r="J170" s="517">
        <f t="shared" si="80"/>
        <v>0</v>
      </c>
      <c r="K170" s="518">
        <f t="shared" si="81"/>
        <v>0</v>
      </c>
      <c r="L170" s="516">
        <f t="shared" si="82"/>
        <v>0</v>
      </c>
      <c r="M170" s="517">
        <f t="shared" si="83"/>
        <v>0</v>
      </c>
      <c r="N170" s="516">
        <f t="shared" si="84"/>
        <v>0</v>
      </c>
      <c r="O170" s="516">
        <f t="shared" si="85"/>
        <v>0</v>
      </c>
      <c r="P170" s="516">
        <f t="shared" si="86"/>
        <v>0</v>
      </c>
      <c r="Q170" s="516">
        <f t="shared" si="87"/>
        <v>0</v>
      </c>
      <c r="R170" s="650">
        <f t="shared" si="88"/>
        <v>0</v>
      </c>
      <c r="S170" s="519"/>
      <c r="T170" s="520">
        <f>'ORÇAMENTO GERAL'!$J$85</f>
        <v>1824.04</v>
      </c>
      <c r="U170" s="520">
        <f>'ORÇAMENTO GERAL'!$J$86</f>
        <v>14.63</v>
      </c>
      <c r="V170" s="520">
        <f>'ORÇAMENTO GERAL'!$J$87</f>
        <v>8.07</v>
      </c>
      <c r="W170" s="520">
        <f>'ORÇAMENTO GERAL'!$J$88</f>
        <v>3.54</v>
      </c>
      <c r="X170" s="520">
        <f>'ORÇAMENTO GERAL'!$J$89</f>
        <v>7.02</v>
      </c>
      <c r="Y170" s="520">
        <f>'ORÇAMENTO GERAL'!$J$90</f>
        <v>48.92</v>
      </c>
      <c r="Z170" s="520">
        <f>'ORÇAMENTO GERAL'!$J$91</f>
        <v>169.7</v>
      </c>
      <c r="AA170" s="520">
        <f>'ORÇAMENTO GERAL'!$J$92</f>
        <v>22.65</v>
      </c>
      <c r="AB170" s="520">
        <f>'ORÇAMENTO GERAL'!$J$93</f>
        <v>46.13</v>
      </c>
      <c r="AC170" s="520">
        <f>'ORÇAMENTO GERAL'!$J$94</f>
        <v>330.43</v>
      </c>
      <c r="AD170" s="520">
        <f t="shared" si="89"/>
        <v>0</v>
      </c>
    </row>
    <row r="171" spans="1:30" s="501" customFormat="1" ht="45" customHeight="1" hidden="1">
      <c r="A171" s="512">
        <v>12</v>
      </c>
      <c r="B171" s="532">
        <f t="shared" si="76"/>
        <v>0</v>
      </c>
      <c r="C171" s="521">
        <v>1</v>
      </c>
      <c r="D171" s="517"/>
      <c r="E171" s="516">
        <f t="shared" si="90"/>
        <v>0</v>
      </c>
      <c r="F171" s="516">
        <f t="shared" si="77"/>
        <v>2.3</v>
      </c>
      <c r="G171" s="516">
        <f t="shared" si="78"/>
        <v>2.4</v>
      </c>
      <c r="H171" s="516">
        <v>0.05</v>
      </c>
      <c r="I171" s="516">
        <f t="shared" si="79"/>
        <v>0</v>
      </c>
      <c r="J171" s="517">
        <f t="shared" si="80"/>
        <v>0</v>
      </c>
      <c r="K171" s="518">
        <f t="shared" si="81"/>
        <v>0</v>
      </c>
      <c r="L171" s="516">
        <f t="shared" si="82"/>
        <v>0</v>
      </c>
      <c r="M171" s="517">
        <f t="shared" si="83"/>
        <v>0</v>
      </c>
      <c r="N171" s="516">
        <f t="shared" si="84"/>
        <v>0</v>
      </c>
      <c r="O171" s="516">
        <f t="shared" si="85"/>
        <v>0</v>
      </c>
      <c r="P171" s="516">
        <f t="shared" si="86"/>
        <v>0</v>
      </c>
      <c r="Q171" s="516">
        <f t="shared" si="87"/>
        <v>0</v>
      </c>
      <c r="R171" s="650">
        <f t="shared" si="88"/>
        <v>0</v>
      </c>
      <c r="S171" s="519"/>
      <c r="T171" s="520">
        <f>'ORÇAMENTO GERAL'!$J$85</f>
        <v>1824.04</v>
      </c>
      <c r="U171" s="520">
        <f>'ORÇAMENTO GERAL'!$J$86</f>
        <v>14.63</v>
      </c>
      <c r="V171" s="520">
        <f>'ORÇAMENTO GERAL'!$J$87</f>
        <v>8.07</v>
      </c>
      <c r="W171" s="520">
        <f>'ORÇAMENTO GERAL'!$J$88</f>
        <v>3.54</v>
      </c>
      <c r="X171" s="520">
        <f>'ORÇAMENTO GERAL'!$J$89</f>
        <v>7.02</v>
      </c>
      <c r="Y171" s="520">
        <f>'ORÇAMENTO GERAL'!$J$90</f>
        <v>48.92</v>
      </c>
      <c r="Z171" s="520">
        <f>'ORÇAMENTO GERAL'!$J$91</f>
        <v>169.7</v>
      </c>
      <c r="AA171" s="520">
        <f>'ORÇAMENTO GERAL'!$J$92</f>
        <v>22.65</v>
      </c>
      <c r="AB171" s="520">
        <f>'ORÇAMENTO GERAL'!$J$93</f>
        <v>46.13</v>
      </c>
      <c r="AC171" s="520">
        <f>'ORÇAMENTO GERAL'!$J$94</f>
        <v>330.43</v>
      </c>
      <c r="AD171" s="520">
        <f t="shared" si="89"/>
        <v>0</v>
      </c>
    </row>
    <row r="172" spans="1:30" s="501" customFormat="1" ht="45" customHeight="1" hidden="1">
      <c r="A172" s="512">
        <v>13</v>
      </c>
      <c r="B172" s="532">
        <f t="shared" si="76"/>
        <v>0</v>
      </c>
      <c r="C172" s="521">
        <v>1</v>
      </c>
      <c r="D172" s="517"/>
      <c r="E172" s="516">
        <f t="shared" si="90"/>
        <v>0</v>
      </c>
      <c r="F172" s="516">
        <f t="shared" si="77"/>
        <v>2.3</v>
      </c>
      <c r="G172" s="516">
        <f t="shared" si="78"/>
        <v>2.4</v>
      </c>
      <c r="H172" s="516">
        <v>0.05</v>
      </c>
      <c r="I172" s="516">
        <f t="shared" si="79"/>
        <v>0</v>
      </c>
      <c r="J172" s="517">
        <f t="shared" si="80"/>
        <v>0</v>
      </c>
      <c r="K172" s="518">
        <f t="shared" si="81"/>
        <v>0</v>
      </c>
      <c r="L172" s="516">
        <f t="shared" si="82"/>
        <v>0</v>
      </c>
      <c r="M172" s="517">
        <f t="shared" si="83"/>
        <v>0</v>
      </c>
      <c r="N172" s="516">
        <f t="shared" si="84"/>
        <v>0</v>
      </c>
      <c r="O172" s="516">
        <f t="shared" si="85"/>
        <v>0</v>
      </c>
      <c r="P172" s="516">
        <f t="shared" si="86"/>
        <v>0</v>
      </c>
      <c r="Q172" s="516">
        <f t="shared" si="87"/>
        <v>0</v>
      </c>
      <c r="R172" s="650">
        <f t="shared" si="88"/>
        <v>0</v>
      </c>
      <c r="S172" s="519"/>
      <c r="T172" s="520">
        <f>'ORÇAMENTO GERAL'!$J$85</f>
        <v>1824.04</v>
      </c>
      <c r="U172" s="520">
        <f>'ORÇAMENTO GERAL'!$J$86</f>
        <v>14.63</v>
      </c>
      <c r="V172" s="520">
        <f>'ORÇAMENTO GERAL'!$J$87</f>
        <v>8.07</v>
      </c>
      <c r="W172" s="520">
        <f>'ORÇAMENTO GERAL'!$J$88</f>
        <v>3.54</v>
      </c>
      <c r="X172" s="520">
        <f>'ORÇAMENTO GERAL'!$J$89</f>
        <v>7.02</v>
      </c>
      <c r="Y172" s="520">
        <f>'ORÇAMENTO GERAL'!$J$90</f>
        <v>48.92</v>
      </c>
      <c r="Z172" s="520">
        <f>'ORÇAMENTO GERAL'!$J$91</f>
        <v>169.7</v>
      </c>
      <c r="AA172" s="520">
        <f>'ORÇAMENTO GERAL'!$J$92</f>
        <v>22.65</v>
      </c>
      <c r="AB172" s="520">
        <f>'ORÇAMENTO GERAL'!$J$93</f>
        <v>46.13</v>
      </c>
      <c r="AC172" s="520">
        <f>'ORÇAMENTO GERAL'!$J$94</f>
        <v>330.43</v>
      </c>
      <c r="AD172" s="520">
        <f t="shared" si="89"/>
        <v>0</v>
      </c>
    </row>
    <row r="173" spans="1:30" s="501" customFormat="1" ht="45" customHeight="1" hidden="1">
      <c r="A173" s="512">
        <v>14</v>
      </c>
      <c r="B173" s="532">
        <f t="shared" si="76"/>
        <v>0</v>
      </c>
      <c r="C173" s="521">
        <v>1</v>
      </c>
      <c r="D173" s="517"/>
      <c r="E173" s="516">
        <f t="shared" si="90"/>
        <v>0</v>
      </c>
      <c r="F173" s="516">
        <f t="shared" si="77"/>
        <v>2.3</v>
      </c>
      <c r="G173" s="516">
        <f t="shared" si="78"/>
        <v>2.4</v>
      </c>
      <c r="H173" s="516">
        <v>0.05</v>
      </c>
      <c r="I173" s="516">
        <f t="shared" si="79"/>
        <v>0</v>
      </c>
      <c r="J173" s="517">
        <f t="shared" si="80"/>
        <v>0</v>
      </c>
      <c r="K173" s="518">
        <f t="shared" si="81"/>
        <v>0</v>
      </c>
      <c r="L173" s="516">
        <f t="shared" si="82"/>
        <v>0</v>
      </c>
      <c r="M173" s="517">
        <f t="shared" si="83"/>
        <v>0</v>
      </c>
      <c r="N173" s="516">
        <f t="shared" si="84"/>
        <v>0</v>
      </c>
      <c r="O173" s="516">
        <f t="shared" si="85"/>
        <v>0</v>
      </c>
      <c r="P173" s="516">
        <f t="shared" si="86"/>
        <v>0</v>
      </c>
      <c r="Q173" s="516">
        <f t="shared" si="87"/>
        <v>0</v>
      </c>
      <c r="R173" s="650">
        <f t="shared" si="88"/>
        <v>0</v>
      </c>
      <c r="S173" s="519"/>
      <c r="T173" s="520">
        <f>'ORÇAMENTO GERAL'!$J$85</f>
        <v>1824.04</v>
      </c>
      <c r="U173" s="520">
        <f>'ORÇAMENTO GERAL'!$J$86</f>
        <v>14.63</v>
      </c>
      <c r="V173" s="520">
        <f>'ORÇAMENTO GERAL'!$J$87</f>
        <v>8.07</v>
      </c>
      <c r="W173" s="520">
        <f>'ORÇAMENTO GERAL'!$J$88</f>
        <v>3.54</v>
      </c>
      <c r="X173" s="520">
        <f>'ORÇAMENTO GERAL'!$J$89</f>
        <v>7.02</v>
      </c>
      <c r="Y173" s="520">
        <f>'ORÇAMENTO GERAL'!$J$90</f>
        <v>48.92</v>
      </c>
      <c r="Z173" s="520">
        <f>'ORÇAMENTO GERAL'!$J$91</f>
        <v>169.7</v>
      </c>
      <c r="AA173" s="520">
        <f>'ORÇAMENTO GERAL'!$J$92</f>
        <v>22.65</v>
      </c>
      <c r="AB173" s="520">
        <f>'ORÇAMENTO GERAL'!$J$93</f>
        <v>46.13</v>
      </c>
      <c r="AC173" s="520">
        <f>'ORÇAMENTO GERAL'!$J$94</f>
        <v>330.43</v>
      </c>
      <c r="AD173" s="520">
        <f t="shared" si="89"/>
        <v>0</v>
      </c>
    </row>
    <row r="174" spans="1:30" s="501" customFormat="1" ht="45" customHeight="1" hidden="1">
      <c r="A174" s="512">
        <v>15</v>
      </c>
      <c r="B174" s="532">
        <f t="shared" si="76"/>
        <v>0</v>
      </c>
      <c r="C174" s="521">
        <v>1</v>
      </c>
      <c r="D174" s="517"/>
      <c r="E174" s="516">
        <f t="shared" si="90"/>
        <v>0</v>
      </c>
      <c r="F174" s="516">
        <f t="shared" si="77"/>
        <v>2.3</v>
      </c>
      <c r="G174" s="516">
        <f t="shared" si="78"/>
        <v>2.4</v>
      </c>
      <c r="H174" s="516">
        <v>0.05</v>
      </c>
      <c r="I174" s="516">
        <f t="shared" si="79"/>
        <v>0</v>
      </c>
      <c r="J174" s="517">
        <f t="shared" si="80"/>
        <v>0</v>
      </c>
      <c r="K174" s="518">
        <f t="shared" si="81"/>
        <v>0</v>
      </c>
      <c r="L174" s="516">
        <f t="shared" si="82"/>
        <v>0</v>
      </c>
      <c r="M174" s="517">
        <f t="shared" si="83"/>
        <v>0</v>
      </c>
      <c r="N174" s="516">
        <f t="shared" si="84"/>
        <v>0</v>
      </c>
      <c r="O174" s="516">
        <f t="shared" si="85"/>
        <v>0</v>
      </c>
      <c r="P174" s="516">
        <f t="shared" si="86"/>
        <v>0</v>
      </c>
      <c r="Q174" s="516">
        <f t="shared" si="87"/>
        <v>0</v>
      </c>
      <c r="R174" s="650">
        <f t="shared" si="88"/>
        <v>0</v>
      </c>
      <c r="S174" s="519"/>
      <c r="T174" s="520">
        <f>'ORÇAMENTO GERAL'!$J$85</f>
        <v>1824.04</v>
      </c>
      <c r="U174" s="520">
        <f>'ORÇAMENTO GERAL'!$J$86</f>
        <v>14.63</v>
      </c>
      <c r="V174" s="520">
        <f>'ORÇAMENTO GERAL'!$J$87</f>
        <v>8.07</v>
      </c>
      <c r="W174" s="520">
        <f>'ORÇAMENTO GERAL'!$J$88</f>
        <v>3.54</v>
      </c>
      <c r="X174" s="520">
        <f>'ORÇAMENTO GERAL'!$J$89</f>
        <v>7.02</v>
      </c>
      <c r="Y174" s="520">
        <f>'ORÇAMENTO GERAL'!$J$90</f>
        <v>48.92</v>
      </c>
      <c r="Z174" s="520">
        <f>'ORÇAMENTO GERAL'!$J$91</f>
        <v>169.7</v>
      </c>
      <c r="AA174" s="520">
        <f>'ORÇAMENTO GERAL'!$J$92</f>
        <v>22.65</v>
      </c>
      <c r="AB174" s="520">
        <f>'ORÇAMENTO GERAL'!$J$93</f>
        <v>46.13</v>
      </c>
      <c r="AC174" s="520">
        <f>'ORÇAMENTO GERAL'!$J$94</f>
        <v>330.43</v>
      </c>
      <c r="AD174" s="520">
        <f t="shared" si="89"/>
        <v>0</v>
      </c>
    </row>
    <row r="175" spans="1:30" s="501" customFormat="1" ht="45" customHeight="1" hidden="1">
      <c r="A175" s="512">
        <v>16</v>
      </c>
      <c r="B175" s="532">
        <f t="shared" si="76"/>
        <v>0</v>
      </c>
      <c r="C175" s="521">
        <v>1</v>
      </c>
      <c r="D175" s="517"/>
      <c r="E175" s="516">
        <f t="shared" si="90"/>
        <v>0</v>
      </c>
      <c r="F175" s="516">
        <f t="shared" si="77"/>
        <v>2.3</v>
      </c>
      <c r="G175" s="516">
        <f t="shared" si="78"/>
        <v>2.4</v>
      </c>
      <c r="H175" s="516">
        <v>0.05</v>
      </c>
      <c r="I175" s="516">
        <f t="shared" si="79"/>
        <v>0</v>
      </c>
      <c r="J175" s="517">
        <f t="shared" si="80"/>
        <v>0</v>
      </c>
      <c r="K175" s="518">
        <f t="shared" si="81"/>
        <v>0</v>
      </c>
      <c r="L175" s="516">
        <f t="shared" si="82"/>
        <v>0</v>
      </c>
      <c r="M175" s="517">
        <f t="shared" si="83"/>
        <v>0</v>
      </c>
      <c r="N175" s="516">
        <f t="shared" si="84"/>
        <v>0</v>
      </c>
      <c r="O175" s="516">
        <f t="shared" si="85"/>
        <v>0</v>
      </c>
      <c r="P175" s="516">
        <f t="shared" si="86"/>
        <v>0</v>
      </c>
      <c r="Q175" s="516">
        <f t="shared" si="87"/>
        <v>0</v>
      </c>
      <c r="R175" s="650">
        <f t="shared" si="88"/>
        <v>0</v>
      </c>
      <c r="S175" s="519"/>
      <c r="T175" s="520">
        <f>'ORÇAMENTO GERAL'!$J$85</f>
        <v>1824.04</v>
      </c>
      <c r="U175" s="520">
        <f>'ORÇAMENTO GERAL'!$J$86</f>
        <v>14.63</v>
      </c>
      <c r="V175" s="520">
        <f>'ORÇAMENTO GERAL'!$J$87</f>
        <v>8.07</v>
      </c>
      <c r="W175" s="520">
        <f>'ORÇAMENTO GERAL'!$J$88</f>
        <v>3.54</v>
      </c>
      <c r="X175" s="520">
        <f>'ORÇAMENTO GERAL'!$J$89</f>
        <v>7.02</v>
      </c>
      <c r="Y175" s="520">
        <f>'ORÇAMENTO GERAL'!$J$90</f>
        <v>48.92</v>
      </c>
      <c r="Z175" s="520">
        <f>'ORÇAMENTO GERAL'!$J$91</f>
        <v>169.7</v>
      </c>
      <c r="AA175" s="520">
        <f>'ORÇAMENTO GERAL'!$J$92</f>
        <v>22.65</v>
      </c>
      <c r="AB175" s="520">
        <f>'ORÇAMENTO GERAL'!$J$93</f>
        <v>46.13</v>
      </c>
      <c r="AC175" s="520">
        <f>'ORÇAMENTO GERAL'!$J$94</f>
        <v>330.43</v>
      </c>
      <c r="AD175" s="520">
        <f t="shared" si="89"/>
        <v>0</v>
      </c>
    </row>
    <row r="176" spans="1:30" s="501" customFormat="1" ht="45" customHeight="1" hidden="1">
      <c r="A176" s="512">
        <v>17</v>
      </c>
      <c r="B176" s="532">
        <f t="shared" si="76"/>
        <v>0</v>
      </c>
      <c r="C176" s="521">
        <v>1</v>
      </c>
      <c r="D176" s="517"/>
      <c r="E176" s="516">
        <f t="shared" si="90"/>
        <v>0</v>
      </c>
      <c r="F176" s="516">
        <f t="shared" si="77"/>
        <v>2.3</v>
      </c>
      <c r="G176" s="516">
        <f t="shared" si="78"/>
        <v>2.4</v>
      </c>
      <c r="H176" s="516">
        <v>0.05</v>
      </c>
      <c r="I176" s="516">
        <f t="shared" si="79"/>
        <v>0</v>
      </c>
      <c r="J176" s="517">
        <f t="shared" si="80"/>
        <v>0</v>
      </c>
      <c r="K176" s="518">
        <f t="shared" si="81"/>
        <v>0</v>
      </c>
      <c r="L176" s="516">
        <f t="shared" si="82"/>
        <v>0</v>
      </c>
      <c r="M176" s="517">
        <f t="shared" si="83"/>
        <v>0</v>
      </c>
      <c r="N176" s="516">
        <f t="shared" si="84"/>
        <v>0</v>
      </c>
      <c r="O176" s="516">
        <f t="shared" si="85"/>
        <v>0</v>
      </c>
      <c r="P176" s="516">
        <f t="shared" si="86"/>
        <v>0</v>
      </c>
      <c r="Q176" s="516">
        <f t="shared" si="87"/>
        <v>0</v>
      </c>
      <c r="R176" s="650">
        <f t="shared" si="88"/>
        <v>0</v>
      </c>
      <c r="S176" s="519"/>
      <c r="T176" s="520">
        <f>'ORÇAMENTO GERAL'!$J$85</f>
        <v>1824.04</v>
      </c>
      <c r="U176" s="520">
        <f>'ORÇAMENTO GERAL'!$J$86</f>
        <v>14.63</v>
      </c>
      <c r="V176" s="520">
        <f>'ORÇAMENTO GERAL'!$J$87</f>
        <v>8.07</v>
      </c>
      <c r="W176" s="520">
        <f>'ORÇAMENTO GERAL'!$J$88</f>
        <v>3.54</v>
      </c>
      <c r="X176" s="520">
        <f>'ORÇAMENTO GERAL'!$J$89</f>
        <v>7.02</v>
      </c>
      <c r="Y176" s="520">
        <f>'ORÇAMENTO GERAL'!$J$90</f>
        <v>48.92</v>
      </c>
      <c r="Z176" s="520">
        <f>'ORÇAMENTO GERAL'!$J$91</f>
        <v>169.7</v>
      </c>
      <c r="AA176" s="520">
        <f>'ORÇAMENTO GERAL'!$J$92</f>
        <v>22.65</v>
      </c>
      <c r="AB176" s="520">
        <f>'ORÇAMENTO GERAL'!$J$93</f>
        <v>46.13</v>
      </c>
      <c r="AC176" s="520">
        <f>'ORÇAMENTO GERAL'!$J$94</f>
        <v>330.43</v>
      </c>
      <c r="AD176" s="520">
        <f t="shared" si="89"/>
        <v>0</v>
      </c>
    </row>
    <row r="177" spans="1:30" s="501" customFormat="1" ht="45" customHeight="1" hidden="1">
      <c r="A177" s="512">
        <v>18</v>
      </c>
      <c r="B177" s="532">
        <f t="shared" si="76"/>
        <v>0</v>
      </c>
      <c r="C177" s="521">
        <v>1</v>
      </c>
      <c r="D177" s="517"/>
      <c r="E177" s="516">
        <f t="shared" si="90"/>
        <v>0</v>
      </c>
      <c r="F177" s="516">
        <f t="shared" si="77"/>
        <v>2.3</v>
      </c>
      <c r="G177" s="516">
        <f t="shared" si="78"/>
        <v>2.4</v>
      </c>
      <c r="H177" s="516">
        <v>0.05</v>
      </c>
      <c r="I177" s="516">
        <f t="shared" si="79"/>
        <v>0</v>
      </c>
      <c r="J177" s="517">
        <f t="shared" si="80"/>
        <v>0</v>
      </c>
      <c r="K177" s="518">
        <f t="shared" si="81"/>
        <v>0</v>
      </c>
      <c r="L177" s="516">
        <f t="shared" si="82"/>
        <v>0</v>
      </c>
      <c r="M177" s="517">
        <f t="shared" si="83"/>
        <v>0</v>
      </c>
      <c r="N177" s="516">
        <f t="shared" si="84"/>
        <v>0</v>
      </c>
      <c r="O177" s="516">
        <f t="shared" si="85"/>
        <v>0</v>
      </c>
      <c r="P177" s="516">
        <f t="shared" si="86"/>
        <v>0</v>
      </c>
      <c r="Q177" s="516">
        <f t="shared" si="87"/>
        <v>0</v>
      </c>
      <c r="R177" s="650">
        <f t="shared" si="88"/>
        <v>0</v>
      </c>
      <c r="S177" s="519"/>
      <c r="T177" s="520">
        <f>'ORÇAMENTO GERAL'!$J$85</f>
        <v>1824.04</v>
      </c>
      <c r="U177" s="520">
        <f>'ORÇAMENTO GERAL'!$J$86</f>
        <v>14.63</v>
      </c>
      <c r="V177" s="520">
        <f>'ORÇAMENTO GERAL'!$J$87</f>
        <v>8.07</v>
      </c>
      <c r="W177" s="520">
        <f>'ORÇAMENTO GERAL'!$J$88</f>
        <v>3.54</v>
      </c>
      <c r="X177" s="520">
        <f>'ORÇAMENTO GERAL'!$J$89</f>
        <v>7.02</v>
      </c>
      <c r="Y177" s="520">
        <f>'ORÇAMENTO GERAL'!$J$90</f>
        <v>48.92</v>
      </c>
      <c r="Z177" s="520">
        <f>'ORÇAMENTO GERAL'!$J$91</f>
        <v>169.7</v>
      </c>
      <c r="AA177" s="520">
        <f>'ORÇAMENTO GERAL'!$J$92</f>
        <v>22.65</v>
      </c>
      <c r="AB177" s="520">
        <f>'ORÇAMENTO GERAL'!$J$93</f>
        <v>46.13</v>
      </c>
      <c r="AC177" s="520">
        <f>'ORÇAMENTO GERAL'!$J$94</f>
        <v>330.43</v>
      </c>
      <c r="AD177" s="520">
        <f t="shared" si="89"/>
        <v>0</v>
      </c>
    </row>
    <row r="178" spans="1:30" s="501" customFormat="1" ht="45" customHeight="1" hidden="1">
      <c r="A178" s="512">
        <v>19</v>
      </c>
      <c r="B178" s="532">
        <f t="shared" si="76"/>
        <v>0</v>
      </c>
      <c r="C178" s="521">
        <v>1</v>
      </c>
      <c r="D178" s="517"/>
      <c r="E178" s="516">
        <f t="shared" si="90"/>
        <v>0</v>
      </c>
      <c r="F178" s="516">
        <f t="shared" si="77"/>
        <v>2.3</v>
      </c>
      <c r="G178" s="516">
        <f t="shared" si="78"/>
        <v>2.4</v>
      </c>
      <c r="H178" s="516">
        <v>0.05</v>
      </c>
      <c r="I178" s="516">
        <f t="shared" si="79"/>
        <v>0</v>
      </c>
      <c r="J178" s="517">
        <f t="shared" si="80"/>
        <v>0</v>
      </c>
      <c r="K178" s="518">
        <f t="shared" si="81"/>
        <v>0</v>
      </c>
      <c r="L178" s="516">
        <f t="shared" si="82"/>
        <v>0</v>
      </c>
      <c r="M178" s="517">
        <f t="shared" si="83"/>
        <v>0</v>
      </c>
      <c r="N178" s="516">
        <f t="shared" si="84"/>
        <v>0</v>
      </c>
      <c r="O178" s="516">
        <f t="shared" si="85"/>
        <v>0</v>
      </c>
      <c r="P178" s="516">
        <f t="shared" si="86"/>
        <v>0</v>
      </c>
      <c r="Q178" s="516">
        <f t="shared" si="87"/>
        <v>0</v>
      </c>
      <c r="R178" s="650">
        <f t="shared" si="88"/>
        <v>0</v>
      </c>
      <c r="S178" s="519"/>
      <c r="T178" s="520">
        <f>'ORÇAMENTO GERAL'!$J$85</f>
        <v>1824.04</v>
      </c>
      <c r="U178" s="520">
        <f>'ORÇAMENTO GERAL'!$J$86</f>
        <v>14.63</v>
      </c>
      <c r="V178" s="520">
        <f>'ORÇAMENTO GERAL'!$J$87</f>
        <v>8.07</v>
      </c>
      <c r="W178" s="520">
        <f>'ORÇAMENTO GERAL'!$J$88</f>
        <v>3.54</v>
      </c>
      <c r="X178" s="520">
        <f>'ORÇAMENTO GERAL'!$J$89</f>
        <v>7.02</v>
      </c>
      <c r="Y178" s="520">
        <f>'ORÇAMENTO GERAL'!$J$90</f>
        <v>48.92</v>
      </c>
      <c r="Z178" s="520">
        <f>'ORÇAMENTO GERAL'!$J$91</f>
        <v>169.7</v>
      </c>
      <c r="AA178" s="520">
        <f>'ORÇAMENTO GERAL'!$J$92</f>
        <v>22.65</v>
      </c>
      <c r="AB178" s="520">
        <f>'ORÇAMENTO GERAL'!$J$93</f>
        <v>46.13</v>
      </c>
      <c r="AC178" s="520">
        <f>'ORÇAMENTO GERAL'!$J$94</f>
        <v>330.43</v>
      </c>
      <c r="AD178" s="520">
        <f t="shared" si="89"/>
        <v>0</v>
      </c>
    </row>
    <row r="179" spans="1:30" s="501" customFormat="1" ht="45" customHeight="1" hidden="1" thickBot="1">
      <c r="A179" s="530">
        <v>20</v>
      </c>
      <c r="B179" s="532">
        <f t="shared" si="76"/>
        <v>0</v>
      </c>
      <c r="C179" s="533">
        <v>1</v>
      </c>
      <c r="D179" s="517"/>
      <c r="E179" s="534">
        <f t="shared" si="90"/>
        <v>0</v>
      </c>
      <c r="F179" s="516">
        <f t="shared" si="77"/>
        <v>2.3</v>
      </c>
      <c r="G179" s="516">
        <f t="shared" si="78"/>
        <v>2.4</v>
      </c>
      <c r="H179" s="534">
        <v>0.05</v>
      </c>
      <c r="I179" s="516">
        <f t="shared" si="79"/>
        <v>0</v>
      </c>
      <c r="J179" s="517">
        <f t="shared" si="80"/>
        <v>0</v>
      </c>
      <c r="K179" s="518">
        <f t="shared" si="81"/>
        <v>0</v>
      </c>
      <c r="L179" s="516">
        <f t="shared" si="82"/>
        <v>0</v>
      </c>
      <c r="M179" s="517">
        <f t="shared" si="83"/>
        <v>0</v>
      </c>
      <c r="N179" s="516">
        <f t="shared" si="84"/>
        <v>0</v>
      </c>
      <c r="O179" s="516">
        <f t="shared" si="85"/>
        <v>0</v>
      </c>
      <c r="P179" s="516">
        <f t="shared" si="86"/>
        <v>0</v>
      </c>
      <c r="Q179" s="516">
        <f t="shared" si="87"/>
        <v>0</v>
      </c>
      <c r="R179" s="650">
        <f t="shared" si="88"/>
        <v>0</v>
      </c>
      <c r="S179" s="519"/>
      <c r="T179" s="520">
        <f>'ORÇAMENTO GERAL'!$J$85</f>
        <v>1824.04</v>
      </c>
      <c r="U179" s="520">
        <f>'ORÇAMENTO GERAL'!$J$86</f>
        <v>14.63</v>
      </c>
      <c r="V179" s="520">
        <f>'ORÇAMENTO GERAL'!$J$87</f>
        <v>8.07</v>
      </c>
      <c r="W179" s="520">
        <f>'ORÇAMENTO GERAL'!$J$88</f>
        <v>3.54</v>
      </c>
      <c r="X179" s="520">
        <f>'ORÇAMENTO GERAL'!$J$89</f>
        <v>7.02</v>
      </c>
      <c r="Y179" s="520">
        <f>'ORÇAMENTO GERAL'!$J$90</f>
        <v>48.92</v>
      </c>
      <c r="Z179" s="520">
        <f>'ORÇAMENTO GERAL'!$J$91</f>
        <v>169.7</v>
      </c>
      <c r="AA179" s="520">
        <f>'ORÇAMENTO GERAL'!$J$92</f>
        <v>22.65</v>
      </c>
      <c r="AB179" s="520">
        <f>'ORÇAMENTO GERAL'!$J$93</f>
        <v>46.13</v>
      </c>
      <c r="AC179" s="520">
        <f>'ORÇAMENTO GERAL'!$J$94</f>
        <v>330.43</v>
      </c>
      <c r="AD179" s="520">
        <f t="shared" si="89"/>
        <v>0</v>
      </c>
    </row>
    <row r="180" spans="1:19" s="501" customFormat="1" ht="45" customHeight="1" hidden="1" thickBot="1">
      <c r="A180" s="854" t="s">
        <v>24</v>
      </c>
      <c r="B180" s="855"/>
      <c r="C180" s="523"/>
      <c r="D180" s="523"/>
      <c r="E180" s="523">
        <f>SUM(E160:E179)</f>
        <v>0</v>
      </c>
      <c r="F180" s="523"/>
      <c r="G180" s="523"/>
      <c r="H180" s="523"/>
      <c r="I180" s="523">
        <f>SUM(I160:I179)</f>
        <v>0</v>
      </c>
      <c r="J180" s="523">
        <f aca="true" t="shared" si="91" ref="J180:R180">SUM(J160:J179)</f>
        <v>0</v>
      </c>
      <c r="K180" s="523">
        <f t="shared" si="91"/>
        <v>0</v>
      </c>
      <c r="L180" s="523">
        <f t="shared" si="91"/>
        <v>0</v>
      </c>
      <c r="M180" s="523">
        <f t="shared" si="91"/>
        <v>0</v>
      </c>
      <c r="N180" s="523">
        <f t="shared" si="91"/>
        <v>0</v>
      </c>
      <c r="O180" s="523">
        <f t="shared" si="91"/>
        <v>0</v>
      </c>
      <c r="P180" s="523">
        <f t="shared" si="91"/>
        <v>0</v>
      </c>
      <c r="Q180" s="523">
        <f t="shared" si="91"/>
        <v>0</v>
      </c>
      <c r="R180" s="523">
        <f t="shared" si="91"/>
        <v>0</v>
      </c>
      <c r="S180" s="524"/>
    </row>
    <row r="181" spans="3:30" s="501" customFormat="1" ht="45" customHeight="1">
      <c r="C181" s="531"/>
      <c r="D181" s="531"/>
      <c r="E181" s="531"/>
      <c r="F181" s="531"/>
      <c r="G181" s="531"/>
      <c r="H181" s="531"/>
      <c r="AD181" s="535"/>
    </row>
    <row r="182" spans="1:33" s="501" customFormat="1" ht="45" customHeight="1">
      <c r="A182" s="850" t="s">
        <v>377</v>
      </c>
      <c r="B182" s="850"/>
      <c r="C182" s="850"/>
      <c r="D182" s="850"/>
      <c r="E182" s="850"/>
      <c r="F182" s="531"/>
      <c r="G182" s="531"/>
      <c r="H182" s="850" t="s">
        <v>497</v>
      </c>
      <c r="I182" s="850"/>
      <c r="J182" s="850"/>
      <c r="K182" s="525"/>
      <c r="L182" s="525"/>
      <c r="AC182" s="891" t="str">
        <f>A182</f>
        <v>CAIXA PARA BOCA DE LOBO</v>
      </c>
      <c r="AD182" s="892"/>
      <c r="AF182" s="891" t="str">
        <f>H182</f>
        <v>TAMPA PARA BOCA DE LOBO</v>
      </c>
      <c r="AG182" s="892"/>
    </row>
    <row r="183" spans="1:33" ht="49.5" customHeight="1">
      <c r="A183" s="511" t="s">
        <v>7</v>
      </c>
      <c r="B183" s="511" t="s">
        <v>231</v>
      </c>
      <c r="C183" s="890" t="s">
        <v>234</v>
      </c>
      <c r="D183" s="890"/>
      <c r="E183" s="890"/>
      <c r="H183" s="511" t="s">
        <v>7</v>
      </c>
      <c r="I183" s="511" t="s">
        <v>231</v>
      </c>
      <c r="J183" s="536" t="s">
        <v>234</v>
      </c>
      <c r="K183" s="604"/>
      <c r="L183" s="604"/>
      <c r="AC183" s="536" t="s">
        <v>567</v>
      </c>
      <c r="AD183" s="536" t="s">
        <v>24</v>
      </c>
      <c r="AF183" s="536" t="s">
        <v>567</v>
      </c>
      <c r="AG183" s="536" t="s">
        <v>24</v>
      </c>
    </row>
    <row r="184" spans="1:33" ht="49.5" customHeight="1">
      <c r="A184" s="511">
        <v>1</v>
      </c>
      <c r="B184" s="536" t="str">
        <f>B20</f>
        <v>PASS. NS. DO CARMO</v>
      </c>
      <c r="C184" s="856">
        <f>C20</f>
        <v>13</v>
      </c>
      <c r="D184" s="857"/>
      <c r="E184" s="858"/>
      <c r="H184" s="511">
        <v>1</v>
      </c>
      <c r="I184" s="536" t="str">
        <f aca="true" t="shared" si="92" ref="I184:I203">B20</f>
        <v>PASS. NS. DO CARMO</v>
      </c>
      <c r="J184" s="542">
        <f aca="true" t="shared" si="93" ref="J184:J203">C184</f>
        <v>13</v>
      </c>
      <c r="K184" s="605"/>
      <c r="L184" s="605"/>
      <c r="AC184" s="538">
        <f>'ORÇAMENTO GERAL'!$J$96</f>
        <v>1954.65</v>
      </c>
      <c r="AD184" s="538">
        <f>C184*AC184</f>
        <v>25410.45</v>
      </c>
      <c r="AF184" s="538">
        <f>'ORÇAMENTO GERAL'!$J$98</f>
        <v>238.8</v>
      </c>
      <c r="AG184" s="538">
        <f aca="true" t="shared" si="94" ref="AG184:AG203">J184*AF184</f>
        <v>3104.4</v>
      </c>
    </row>
    <row r="185" spans="1:33" ht="49.5" customHeight="1">
      <c r="A185" s="511">
        <v>2</v>
      </c>
      <c r="B185" s="536" t="str">
        <f aca="true" t="shared" si="95" ref="B185:B203">B21</f>
        <v>PASS. KENEDY</v>
      </c>
      <c r="C185" s="856">
        <f aca="true" t="shared" si="96" ref="C185:C203">C21</f>
        <v>8</v>
      </c>
      <c r="D185" s="857"/>
      <c r="E185" s="858"/>
      <c r="H185" s="511">
        <v>2</v>
      </c>
      <c r="I185" s="536" t="str">
        <f t="shared" si="92"/>
        <v>PASS. KENEDY</v>
      </c>
      <c r="J185" s="542">
        <f t="shared" si="93"/>
        <v>8</v>
      </c>
      <c r="K185" s="605"/>
      <c r="L185" s="605"/>
      <c r="N185" s="501"/>
      <c r="AC185" s="538">
        <f>'ORÇAMENTO GERAL'!$J$96</f>
        <v>1954.65</v>
      </c>
      <c r="AD185" s="538">
        <f aca="true" t="shared" si="97" ref="AD185:AD203">C185*AC185</f>
        <v>15637.2</v>
      </c>
      <c r="AF185" s="538">
        <f>'ORÇAMENTO GERAL'!$J$98</f>
        <v>238.8</v>
      </c>
      <c r="AG185" s="538">
        <f t="shared" si="94"/>
        <v>1910.4</v>
      </c>
    </row>
    <row r="186" spans="1:33" ht="49.5" customHeight="1">
      <c r="A186" s="511">
        <v>3</v>
      </c>
      <c r="B186" s="536" t="str">
        <f t="shared" si="95"/>
        <v>PASS. UBIRATAN MACIEL</v>
      </c>
      <c r="C186" s="856">
        <f t="shared" si="96"/>
        <v>8</v>
      </c>
      <c r="D186" s="857"/>
      <c r="E186" s="858"/>
      <c r="H186" s="511">
        <v>3</v>
      </c>
      <c r="I186" s="536" t="str">
        <f t="shared" si="92"/>
        <v>PASS. UBIRATAN MACIEL</v>
      </c>
      <c r="J186" s="542">
        <f t="shared" si="93"/>
        <v>8</v>
      </c>
      <c r="K186" s="605"/>
      <c r="L186" s="605"/>
      <c r="AC186" s="538">
        <f>'ORÇAMENTO GERAL'!$J$96</f>
        <v>1954.65</v>
      </c>
      <c r="AD186" s="538">
        <f t="shared" si="97"/>
        <v>15637.2</v>
      </c>
      <c r="AF186" s="538">
        <f>'ORÇAMENTO GERAL'!$J$98</f>
        <v>238.8</v>
      </c>
      <c r="AG186" s="538">
        <f t="shared" si="94"/>
        <v>1910.4</v>
      </c>
    </row>
    <row r="187" spans="1:33" ht="49.5" customHeight="1">
      <c r="A187" s="511">
        <v>4</v>
      </c>
      <c r="B187" s="536" t="str">
        <f t="shared" si="95"/>
        <v>PASS. ALEGRE </v>
      </c>
      <c r="C187" s="856">
        <f t="shared" si="96"/>
        <v>5</v>
      </c>
      <c r="D187" s="857"/>
      <c r="E187" s="858"/>
      <c r="H187" s="511">
        <v>4</v>
      </c>
      <c r="I187" s="536" t="str">
        <f t="shared" si="92"/>
        <v>PASS. ALEGRE </v>
      </c>
      <c r="J187" s="542">
        <f t="shared" si="93"/>
        <v>5</v>
      </c>
      <c r="K187" s="605"/>
      <c r="L187" s="605"/>
      <c r="AC187" s="538">
        <f>'ORÇAMENTO GERAL'!$J$96</f>
        <v>1954.65</v>
      </c>
      <c r="AD187" s="538">
        <f t="shared" si="97"/>
        <v>9773.25</v>
      </c>
      <c r="AF187" s="538">
        <f>'ORÇAMENTO GERAL'!$J$98</f>
        <v>238.8</v>
      </c>
      <c r="AG187" s="538">
        <f t="shared" si="94"/>
        <v>1194</v>
      </c>
    </row>
    <row r="188" spans="1:33" ht="49.5" customHeight="1" hidden="1">
      <c r="A188" s="511">
        <v>5</v>
      </c>
      <c r="B188" s="536">
        <f t="shared" si="95"/>
        <v>0</v>
      </c>
      <c r="C188" s="856">
        <f t="shared" si="96"/>
        <v>0</v>
      </c>
      <c r="D188" s="857"/>
      <c r="E188" s="858"/>
      <c r="H188" s="511">
        <v>5</v>
      </c>
      <c r="I188" s="536">
        <f t="shared" si="92"/>
        <v>0</v>
      </c>
      <c r="J188" s="542">
        <f t="shared" si="93"/>
        <v>0</v>
      </c>
      <c r="K188" s="605"/>
      <c r="L188" s="605"/>
      <c r="AC188" s="538">
        <f>'ORÇAMENTO GERAL'!$J$96</f>
        <v>1954.65</v>
      </c>
      <c r="AD188" s="538">
        <f t="shared" si="97"/>
        <v>0</v>
      </c>
      <c r="AF188" s="538">
        <f>'ORÇAMENTO GERAL'!$J$98</f>
        <v>238.8</v>
      </c>
      <c r="AG188" s="538">
        <f t="shared" si="94"/>
        <v>0</v>
      </c>
    </row>
    <row r="189" spans="1:33" ht="49.5" customHeight="1" hidden="1">
      <c r="A189" s="511">
        <v>6</v>
      </c>
      <c r="B189" s="536">
        <f t="shared" si="95"/>
        <v>0</v>
      </c>
      <c r="C189" s="856">
        <f t="shared" si="96"/>
        <v>0</v>
      </c>
      <c r="D189" s="857"/>
      <c r="E189" s="858"/>
      <c r="H189" s="511">
        <v>6</v>
      </c>
      <c r="I189" s="536">
        <f t="shared" si="92"/>
        <v>0</v>
      </c>
      <c r="J189" s="542">
        <f t="shared" si="93"/>
        <v>0</v>
      </c>
      <c r="K189" s="605"/>
      <c r="L189" s="605"/>
      <c r="AC189" s="538">
        <f>'ORÇAMENTO GERAL'!$J$96</f>
        <v>1954.65</v>
      </c>
      <c r="AD189" s="538">
        <f t="shared" si="97"/>
        <v>0</v>
      </c>
      <c r="AF189" s="538">
        <f>'ORÇAMENTO GERAL'!$J$98</f>
        <v>238.8</v>
      </c>
      <c r="AG189" s="538">
        <f t="shared" si="94"/>
        <v>0</v>
      </c>
    </row>
    <row r="190" spans="1:33" ht="49.5" customHeight="1" hidden="1">
      <c r="A190" s="511">
        <v>7</v>
      </c>
      <c r="B190" s="536">
        <f t="shared" si="95"/>
        <v>0</v>
      </c>
      <c r="C190" s="856">
        <f t="shared" si="96"/>
        <v>0</v>
      </c>
      <c r="D190" s="857"/>
      <c r="E190" s="858"/>
      <c r="H190" s="511">
        <v>7</v>
      </c>
      <c r="I190" s="536">
        <f t="shared" si="92"/>
        <v>0</v>
      </c>
      <c r="J190" s="542">
        <f t="shared" si="93"/>
        <v>0</v>
      </c>
      <c r="K190" s="605"/>
      <c r="L190" s="605"/>
      <c r="AC190" s="538">
        <f>'ORÇAMENTO GERAL'!$J$96</f>
        <v>1954.65</v>
      </c>
      <c r="AD190" s="538">
        <f t="shared" si="97"/>
        <v>0</v>
      </c>
      <c r="AF190" s="538">
        <f>'ORÇAMENTO GERAL'!$J$98</f>
        <v>238.8</v>
      </c>
      <c r="AG190" s="538">
        <f t="shared" si="94"/>
        <v>0</v>
      </c>
    </row>
    <row r="191" spans="1:33" ht="49.5" customHeight="1" hidden="1">
      <c r="A191" s="511">
        <v>8</v>
      </c>
      <c r="B191" s="536">
        <f t="shared" si="95"/>
        <v>0</v>
      </c>
      <c r="C191" s="856">
        <f t="shared" si="96"/>
        <v>0</v>
      </c>
      <c r="D191" s="857"/>
      <c r="E191" s="858"/>
      <c r="H191" s="511">
        <v>8</v>
      </c>
      <c r="I191" s="536">
        <f t="shared" si="92"/>
        <v>0</v>
      </c>
      <c r="J191" s="542">
        <f t="shared" si="93"/>
        <v>0</v>
      </c>
      <c r="K191" s="605"/>
      <c r="L191" s="605"/>
      <c r="AC191" s="538">
        <f>'ORÇAMENTO GERAL'!$J$96</f>
        <v>1954.65</v>
      </c>
      <c r="AD191" s="538">
        <f t="shared" si="97"/>
        <v>0</v>
      </c>
      <c r="AF191" s="538">
        <f>'ORÇAMENTO GERAL'!$J$98</f>
        <v>238.8</v>
      </c>
      <c r="AG191" s="538">
        <f t="shared" si="94"/>
        <v>0</v>
      </c>
    </row>
    <row r="192" spans="1:33" ht="49.5" customHeight="1" hidden="1">
      <c r="A192" s="511">
        <v>9</v>
      </c>
      <c r="B192" s="536">
        <f t="shared" si="95"/>
        <v>0</v>
      </c>
      <c r="C192" s="856">
        <f t="shared" si="96"/>
        <v>0</v>
      </c>
      <c r="D192" s="857"/>
      <c r="E192" s="858"/>
      <c r="H192" s="511">
        <v>9</v>
      </c>
      <c r="I192" s="536">
        <f t="shared" si="92"/>
        <v>0</v>
      </c>
      <c r="J192" s="542">
        <f t="shared" si="93"/>
        <v>0</v>
      </c>
      <c r="K192" s="605"/>
      <c r="L192" s="605"/>
      <c r="AC192" s="538">
        <f>'ORÇAMENTO GERAL'!$J$96</f>
        <v>1954.65</v>
      </c>
      <c r="AD192" s="538">
        <f t="shared" si="97"/>
        <v>0</v>
      </c>
      <c r="AF192" s="538">
        <f>'ORÇAMENTO GERAL'!$J$98</f>
        <v>238.8</v>
      </c>
      <c r="AG192" s="538">
        <f t="shared" si="94"/>
        <v>0</v>
      </c>
    </row>
    <row r="193" spans="1:33" ht="49.5" customHeight="1" hidden="1">
      <c r="A193" s="511">
        <v>10</v>
      </c>
      <c r="B193" s="536">
        <f t="shared" si="95"/>
        <v>0</v>
      </c>
      <c r="C193" s="856">
        <f t="shared" si="96"/>
        <v>0</v>
      </c>
      <c r="D193" s="857"/>
      <c r="E193" s="858"/>
      <c r="H193" s="511">
        <v>10</v>
      </c>
      <c r="I193" s="536">
        <f t="shared" si="92"/>
        <v>0</v>
      </c>
      <c r="J193" s="542">
        <f t="shared" si="93"/>
        <v>0</v>
      </c>
      <c r="K193" s="605"/>
      <c r="L193" s="605"/>
      <c r="AC193" s="538">
        <f>'ORÇAMENTO GERAL'!$J$96</f>
        <v>1954.65</v>
      </c>
      <c r="AD193" s="538">
        <f t="shared" si="97"/>
        <v>0</v>
      </c>
      <c r="AF193" s="538">
        <f>'ORÇAMENTO GERAL'!$J$98</f>
        <v>238.8</v>
      </c>
      <c r="AG193" s="538">
        <f t="shared" si="94"/>
        <v>0</v>
      </c>
    </row>
    <row r="194" spans="1:33" ht="49.5" customHeight="1" hidden="1">
      <c r="A194" s="511">
        <v>11</v>
      </c>
      <c r="B194" s="536">
        <f t="shared" si="95"/>
        <v>0</v>
      </c>
      <c r="C194" s="856">
        <f t="shared" si="96"/>
        <v>0</v>
      </c>
      <c r="D194" s="857"/>
      <c r="E194" s="858"/>
      <c r="H194" s="511">
        <v>11</v>
      </c>
      <c r="I194" s="536">
        <f t="shared" si="92"/>
        <v>0</v>
      </c>
      <c r="J194" s="542">
        <f t="shared" si="93"/>
        <v>0</v>
      </c>
      <c r="K194" s="605"/>
      <c r="L194" s="605"/>
      <c r="AC194" s="538">
        <f>'ORÇAMENTO GERAL'!$J$96</f>
        <v>1954.65</v>
      </c>
      <c r="AD194" s="538">
        <f t="shared" si="97"/>
        <v>0</v>
      </c>
      <c r="AF194" s="538">
        <f>'ORÇAMENTO GERAL'!$J$98</f>
        <v>238.8</v>
      </c>
      <c r="AG194" s="538">
        <f t="shared" si="94"/>
        <v>0</v>
      </c>
    </row>
    <row r="195" spans="1:33" ht="49.5" customHeight="1" hidden="1">
      <c r="A195" s="511">
        <v>12</v>
      </c>
      <c r="B195" s="536">
        <f t="shared" si="95"/>
        <v>0</v>
      </c>
      <c r="C195" s="856">
        <f t="shared" si="96"/>
        <v>0</v>
      </c>
      <c r="D195" s="857"/>
      <c r="E195" s="858"/>
      <c r="H195" s="511">
        <v>12</v>
      </c>
      <c r="I195" s="536">
        <f t="shared" si="92"/>
        <v>0</v>
      </c>
      <c r="J195" s="542">
        <f t="shared" si="93"/>
        <v>0</v>
      </c>
      <c r="K195" s="605"/>
      <c r="L195" s="605"/>
      <c r="AC195" s="538">
        <f>'ORÇAMENTO GERAL'!$J$96</f>
        <v>1954.65</v>
      </c>
      <c r="AD195" s="538">
        <f t="shared" si="97"/>
        <v>0</v>
      </c>
      <c r="AF195" s="538">
        <f>'ORÇAMENTO GERAL'!$J$98</f>
        <v>238.8</v>
      </c>
      <c r="AG195" s="538">
        <f t="shared" si="94"/>
        <v>0</v>
      </c>
    </row>
    <row r="196" spans="1:33" ht="49.5" customHeight="1" hidden="1">
      <c r="A196" s="511">
        <v>13</v>
      </c>
      <c r="B196" s="536">
        <f t="shared" si="95"/>
        <v>0</v>
      </c>
      <c r="C196" s="856">
        <f t="shared" si="96"/>
        <v>0</v>
      </c>
      <c r="D196" s="857"/>
      <c r="E196" s="858"/>
      <c r="H196" s="511">
        <v>13</v>
      </c>
      <c r="I196" s="536">
        <f t="shared" si="92"/>
        <v>0</v>
      </c>
      <c r="J196" s="542">
        <f t="shared" si="93"/>
        <v>0</v>
      </c>
      <c r="K196" s="605"/>
      <c r="L196" s="605"/>
      <c r="AC196" s="538">
        <f>'ORÇAMENTO GERAL'!$J$96</f>
        <v>1954.65</v>
      </c>
      <c r="AD196" s="538">
        <f t="shared" si="97"/>
        <v>0</v>
      </c>
      <c r="AF196" s="538">
        <f>'ORÇAMENTO GERAL'!$J$98</f>
        <v>238.8</v>
      </c>
      <c r="AG196" s="538">
        <f t="shared" si="94"/>
        <v>0</v>
      </c>
    </row>
    <row r="197" spans="1:33" ht="49.5" customHeight="1" hidden="1">
      <c r="A197" s="511">
        <v>14</v>
      </c>
      <c r="B197" s="536">
        <f t="shared" si="95"/>
        <v>0</v>
      </c>
      <c r="C197" s="856">
        <f t="shared" si="96"/>
        <v>0</v>
      </c>
      <c r="D197" s="857"/>
      <c r="E197" s="858"/>
      <c r="H197" s="511">
        <v>14</v>
      </c>
      <c r="I197" s="536">
        <f t="shared" si="92"/>
        <v>0</v>
      </c>
      <c r="J197" s="542">
        <f t="shared" si="93"/>
        <v>0</v>
      </c>
      <c r="K197" s="605"/>
      <c r="L197" s="605"/>
      <c r="AC197" s="538">
        <f>'ORÇAMENTO GERAL'!$J$96</f>
        <v>1954.65</v>
      </c>
      <c r="AD197" s="538">
        <f t="shared" si="97"/>
        <v>0</v>
      </c>
      <c r="AF197" s="538">
        <f>'ORÇAMENTO GERAL'!$J$98</f>
        <v>238.8</v>
      </c>
      <c r="AG197" s="538">
        <f t="shared" si="94"/>
        <v>0</v>
      </c>
    </row>
    <row r="198" spans="1:33" ht="49.5" customHeight="1" hidden="1">
      <c r="A198" s="511">
        <v>15</v>
      </c>
      <c r="B198" s="536">
        <f t="shared" si="95"/>
        <v>0</v>
      </c>
      <c r="C198" s="856">
        <f t="shared" si="96"/>
        <v>0</v>
      </c>
      <c r="D198" s="857"/>
      <c r="E198" s="858"/>
      <c r="H198" s="511">
        <v>15</v>
      </c>
      <c r="I198" s="536">
        <f t="shared" si="92"/>
        <v>0</v>
      </c>
      <c r="J198" s="542">
        <f t="shared" si="93"/>
        <v>0</v>
      </c>
      <c r="K198" s="605"/>
      <c r="L198" s="605"/>
      <c r="AC198" s="538">
        <f>'ORÇAMENTO GERAL'!$J$96</f>
        <v>1954.65</v>
      </c>
      <c r="AD198" s="538">
        <f t="shared" si="97"/>
        <v>0</v>
      </c>
      <c r="AF198" s="538">
        <f>'ORÇAMENTO GERAL'!$J$98</f>
        <v>238.8</v>
      </c>
      <c r="AG198" s="538">
        <f t="shared" si="94"/>
        <v>0</v>
      </c>
    </row>
    <row r="199" spans="1:33" ht="49.5" customHeight="1" hidden="1">
      <c r="A199" s="511">
        <v>16</v>
      </c>
      <c r="B199" s="536">
        <f t="shared" si="95"/>
        <v>0</v>
      </c>
      <c r="C199" s="856">
        <f t="shared" si="96"/>
        <v>0</v>
      </c>
      <c r="D199" s="857"/>
      <c r="E199" s="858"/>
      <c r="H199" s="511">
        <v>16</v>
      </c>
      <c r="I199" s="536">
        <f t="shared" si="92"/>
        <v>0</v>
      </c>
      <c r="J199" s="542">
        <f t="shared" si="93"/>
        <v>0</v>
      </c>
      <c r="K199" s="605"/>
      <c r="L199" s="605"/>
      <c r="AC199" s="538">
        <f>'ORÇAMENTO GERAL'!$J$96</f>
        <v>1954.65</v>
      </c>
      <c r="AD199" s="538">
        <f t="shared" si="97"/>
        <v>0</v>
      </c>
      <c r="AF199" s="538">
        <f>'ORÇAMENTO GERAL'!$J$98</f>
        <v>238.8</v>
      </c>
      <c r="AG199" s="538">
        <f t="shared" si="94"/>
        <v>0</v>
      </c>
    </row>
    <row r="200" spans="1:33" ht="49.5" customHeight="1" hidden="1">
      <c r="A200" s="511">
        <v>17</v>
      </c>
      <c r="B200" s="536">
        <f t="shared" si="95"/>
        <v>0</v>
      </c>
      <c r="C200" s="856">
        <f t="shared" si="96"/>
        <v>0</v>
      </c>
      <c r="D200" s="857"/>
      <c r="E200" s="858"/>
      <c r="H200" s="511">
        <v>17</v>
      </c>
      <c r="I200" s="536">
        <f t="shared" si="92"/>
        <v>0</v>
      </c>
      <c r="J200" s="542">
        <f t="shared" si="93"/>
        <v>0</v>
      </c>
      <c r="K200" s="605"/>
      <c r="L200" s="605"/>
      <c r="AC200" s="538">
        <f>'ORÇAMENTO GERAL'!$J$96</f>
        <v>1954.65</v>
      </c>
      <c r="AD200" s="538">
        <f t="shared" si="97"/>
        <v>0</v>
      </c>
      <c r="AF200" s="538">
        <f>'ORÇAMENTO GERAL'!$J$98</f>
        <v>238.8</v>
      </c>
      <c r="AG200" s="538">
        <f t="shared" si="94"/>
        <v>0</v>
      </c>
    </row>
    <row r="201" spans="1:33" ht="49.5" customHeight="1" hidden="1">
      <c r="A201" s="511">
        <v>18</v>
      </c>
      <c r="B201" s="536">
        <f t="shared" si="95"/>
        <v>0</v>
      </c>
      <c r="C201" s="856">
        <f t="shared" si="96"/>
        <v>0</v>
      </c>
      <c r="D201" s="857"/>
      <c r="E201" s="858"/>
      <c r="H201" s="511">
        <v>18</v>
      </c>
      <c r="I201" s="536">
        <f t="shared" si="92"/>
        <v>0</v>
      </c>
      <c r="J201" s="542">
        <f t="shared" si="93"/>
        <v>0</v>
      </c>
      <c r="K201" s="605"/>
      <c r="L201" s="605"/>
      <c r="AC201" s="538">
        <f>'ORÇAMENTO GERAL'!$J$96</f>
        <v>1954.65</v>
      </c>
      <c r="AD201" s="538">
        <f t="shared" si="97"/>
        <v>0</v>
      </c>
      <c r="AF201" s="538">
        <f>'ORÇAMENTO GERAL'!$J$98</f>
        <v>238.8</v>
      </c>
      <c r="AG201" s="538">
        <f t="shared" si="94"/>
        <v>0</v>
      </c>
    </row>
    <row r="202" spans="1:33" ht="49.5" customHeight="1" hidden="1">
      <c r="A202" s="511">
        <v>19</v>
      </c>
      <c r="B202" s="536">
        <f t="shared" si="95"/>
        <v>0</v>
      </c>
      <c r="C202" s="856">
        <f t="shared" si="96"/>
        <v>0</v>
      </c>
      <c r="D202" s="857"/>
      <c r="E202" s="858"/>
      <c r="H202" s="511">
        <v>19</v>
      </c>
      <c r="I202" s="536">
        <f t="shared" si="92"/>
        <v>0</v>
      </c>
      <c r="J202" s="542">
        <f t="shared" si="93"/>
        <v>0</v>
      </c>
      <c r="K202" s="605"/>
      <c r="L202" s="605"/>
      <c r="AC202" s="538">
        <f>'ORÇAMENTO GERAL'!$J$96</f>
        <v>1954.65</v>
      </c>
      <c r="AD202" s="538">
        <f t="shared" si="97"/>
        <v>0</v>
      </c>
      <c r="AF202" s="538">
        <f>'ORÇAMENTO GERAL'!$J$98</f>
        <v>238.8</v>
      </c>
      <c r="AG202" s="538">
        <f t="shared" si="94"/>
        <v>0</v>
      </c>
    </row>
    <row r="203" spans="1:33" ht="49.5" customHeight="1" hidden="1">
      <c r="A203" s="511">
        <v>20</v>
      </c>
      <c r="B203" s="536">
        <f t="shared" si="95"/>
        <v>0</v>
      </c>
      <c r="C203" s="856">
        <f t="shared" si="96"/>
        <v>0</v>
      </c>
      <c r="D203" s="857"/>
      <c r="E203" s="858"/>
      <c r="H203" s="511">
        <v>20</v>
      </c>
      <c r="I203" s="536">
        <f t="shared" si="92"/>
        <v>0</v>
      </c>
      <c r="J203" s="542">
        <f t="shared" si="93"/>
        <v>0</v>
      </c>
      <c r="K203" s="605"/>
      <c r="L203" s="605"/>
      <c r="AC203" s="538">
        <f>'ORÇAMENTO GERAL'!$J$96</f>
        <v>1954.65</v>
      </c>
      <c r="AD203" s="538">
        <f t="shared" si="97"/>
        <v>0</v>
      </c>
      <c r="AF203" s="538">
        <f>'ORÇAMENTO GERAL'!$J$98</f>
        <v>238.8</v>
      </c>
      <c r="AG203" s="538">
        <f t="shared" si="94"/>
        <v>0</v>
      </c>
    </row>
    <row r="204" spans="1:30" ht="49.5" customHeight="1">
      <c r="A204" s="863" t="s">
        <v>24</v>
      </c>
      <c r="B204" s="863"/>
      <c r="C204" s="864">
        <f>SUM(C184:E203)</f>
        <v>34</v>
      </c>
      <c r="D204" s="864"/>
      <c r="E204" s="864"/>
      <c r="H204" s="863" t="s">
        <v>24</v>
      </c>
      <c r="I204" s="863"/>
      <c r="J204" s="539">
        <f>SUM(J184:L203)</f>
        <v>34</v>
      </c>
      <c r="K204" s="606"/>
      <c r="L204" s="606"/>
      <c r="AC204" s="540"/>
      <c r="AD204" s="540"/>
    </row>
    <row r="205" spans="1:30" ht="49.5" customHeight="1">
      <c r="A205" s="541"/>
      <c r="B205" s="541"/>
      <c r="C205" s="541"/>
      <c r="D205" s="541"/>
      <c r="AC205" s="540"/>
      <c r="AD205" s="540"/>
    </row>
    <row r="206" spans="1:16" ht="49.5" customHeight="1">
      <c r="A206" s="541"/>
      <c r="B206" s="541"/>
      <c r="C206" s="541"/>
      <c r="D206" s="541"/>
      <c r="P206" s="501"/>
    </row>
    <row r="207" spans="1:36" s="501" customFormat="1" ht="45" customHeight="1">
      <c r="A207" s="850" t="s">
        <v>378</v>
      </c>
      <c r="B207" s="850"/>
      <c r="C207" s="850"/>
      <c r="D207" s="850"/>
      <c r="E207" s="850"/>
      <c r="F207" s="531"/>
      <c r="G207" s="531"/>
      <c r="H207" s="851" t="s">
        <v>498</v>
      </c>
      <c r="I207" s="852"/>
      <c r="J207" s="853"/>
      <c r="K207" s="525"/>
      <c r="L207" s="851" t="s">
        <v>555</v>
      </c>
      <c r="M207" s="852"/>
      <c r="N207" s="853"/>
      <c r="O207" s="525"/>
      <c r="P207" s="525"/>
      <c r="AC207" s="891" t="str">
        <f>A207</f>
        <v>POÇOS DE VISITA</v>
      </c>
      <c r="AD207" s="892"/>
      <c r="AF207" s="891" t="str">
        <f>H207</f>
        <v>TAMPA PARA POÇOS DE VISITA</v>
      </c>
      <c r="AG207" s="892"/>
      <c r="AI207" s="891" t="str">
        <f>L207</f>
        <v>ALA DE LANÇAMENTO</v>
      </c>
      <c r="AJ207" s="892"/>
    </row>
    <row r="208" spans="1:36" ht="49.5" customHeight="1">
      <c r="A208" s="511" t="s">
        <v>7</v>
      </c>
      <c r="B208" s="511" t="s">
        <v>231</v>
      </c>
      <c r="C208" s="890" t="s">
        <v>234</v>
      </c>
      <c r="D208" s="890"/>
      <c r="E208" s="890"/>
      <c r="H208" s="511" t="s">
        <v>7</v>
      </c>
      <c r="I208" s="511" t="s">
        <v>231</v>
      </c>
      <c r="J208" s="536" t="s">
        <v>234</v>
      </c>
      <c r="K208" s="607"/>
      <c r="L208" s="511" t="s">
        <v>7</v>
      </c>
      <c r="M208" s="511" t="s">
        <v>231</v>
      </c>
      <c r="N208" s="536" t="s">
        <v>234</v>
      </c>
      <c r="O208" s="607"/>
      <c r="P208" s="607"/>
      <c r="AC208" s="536" t="s">
        <v>567</v>
      </c>
      <c r="AD208" s="536" t="s">
        <v>24</v>
      </c>
      <c r="AF208" s="536" t="s">
        <v>567</v>
      </c>
      <c r="AG208" s="536" t="s">
        <v>24</v>
      </c>
      <c r="AI208" s="536" t="s">
        <v>567</v>
      </c>
      <c r="AJ208" s="536" t="s">
        <v>24</v>
      </c>
    </row>
    <row r="209" spans="1:36" ht="49.5" customHeight="1">
      <c r="A209" s="511">
        <v>1</v>
      </c>
      <c r="B209" s="536" t="str">
        <f aca="true" t="shared" si="98" ref="B209:B228">B20</f>
        <v>PASS. NS. DO CARMO</v>
      </c>
      <c r="C209" s="856">
        <v>6</v>
      </c>
      <c r="D209" s="857"/>
      <c r="E209" s="858"/>
      <c r="H209" s="511">
        <v>1</v>
      </c>
      <c r="I209" s="536" t="str">
        <f aca="true" t="shared" si="99" ref="I209:I228">B20</f>
        <v>PASS. NS. DO CARMO</v>
      </c>
      <c r="J209" s="542">
        <f aca="true" t="shared" si="100" ref="J209:J228">C209</f>
        <v>6</v>
      </c>
      <c r="K209" s="608"/>
      <c r="L209" s="511">
        <v>1</v>
      </c>
      <c r="M209" s="536" t="str">
        <f aca="true" t="shared" si="101" ref="M209:M228">B20</f>
        <v>PASS. NS. DO CARMO</v>
      </c>
      <c r="N209" s="542"/>
      <c r="O209" s="608"/>
      <c r="P209" s="608"/>
      <c r="AC209" s="538">
        <f>'ORÇAMENTO GERAL'!$J$100</f>
        <v>6743.68</v>
      </c>
      <c r="AD209" s="538">
        <f>C209*AC209</f>
        <v>40462.08</v>
      </c>
      <c r="AF209" s="538">
        <f>'ORÇAMENTO GERAL'!$J$102</f>
        <v>127.13</v>
      </c>
      <c r="AG209" s="538">
        <f aca="true" t="shared" si="102" ref="AG209:AG228">J209*AF209</f>
        <v>762.78</v>
      </c>
      <c r="AI209" s="538">
        <f>'ORÇAMENTO GERAL'!$J$104</f>
        <v>6743.68</v>
      </c>
      <c r="AJ209" s="538">
        <f aca="true" t="shared" si="103" ref="AJ209:AJ228">N209*AI209</f>
        <v>0</v>
      </c>
    </row>
    <row r="210" spans="1:36" ht="49.5" customHeight="1">
      <c r="A210" s="511">
        <v>2</v>
      </c>
      <c r="B210" s="536" t="str">
        <f t="shared" si="98"/>
        <v>PASS. KENEDY</v>
      </c>
      <c r="C210" s="856">
        <v>3</v>
      </c>
      <c r="D210" s="857"/>
      <c r="E210" s="858"/>
      <c r="H210" s="511">
        <v>2</v>
      </c>
      <c r="I210" s="536" t="str">
        <f t="shared" si="99"/>
        <v>PASS. KENEDY</v>
      </c>
      <c r="J210" s="542">
        <f t="shared" si="100"/>
        <v>3</v>
      </c>
      <c r="K210" s="608"/>
      <c r="L210" s="511">
        <v>2</v>
      </c>
      <c r="M210" s="536" t="str">
        <f t="shared" si="101"/>
        <v>PASS. KENEDY</v>
      </c>
      <c r="N210" s="542"/>
      <c r="O210" s="608"/>
      <c r="P210" s="608"/>
      <c r="AC210" s="538">
        <f>'ORÇAMENTO GERAL'!$J$100</f>
        <v>6743.68</v>
      </c>
      <c r="AD210" s="538">
        <f aca="true" t="shared" si="104" ref="AD210:AD228">C210*AC210</f>
        <v>20231.04</v>
      </c>
      <c r="AF210" s="538">
        <f>'ORÇAMENTO GERAL'!$J$102</f>
        <v>127.13</v>
      </c>
      <c r="AG210" s="538">
        <f t="shared" si="102"/>
        <v>381.39</v>
      </c>
      <c r="AI210" s="538">
        <f>'ORÇAMENTO GERAL'!$J$104</f>
        <v>6743.68</v>
      </c>
      <c r="AJ210" s="538">
        <f t="shared" si="103"/>
        <v>0</v>
      </c>
    </row>
    <row r="211" spans="1:36" ht="49.5" customHeight="1">
      <c r="A211" s="511">
        <v>3</v>
      </c>
      <c r="B211" s="536" t="str">
        <f t="shared" si="98"/>
        <v>PASS. UBIRATAN MACIEL</v>
      </c>
      <c r="C211" s="856">
        <v>3</v>
      </c>
      <c r="D211" s="857"/>
      <c r="E211" s="858"/>
      <c r="H211" s="511">
        <v>3</v>
      </c>
      <c r="I211" s="536" t="str">
        <f t="shared" si="99"/>
        <v>PASS. UBIRATAN MACIEL</v>
      </c>
      <c r="J211" s="542">
        <f t="shared" si="100"/>
        <v>3</v>
      </c>
      <c r="K211" s="608"/>
      <c r="L211" s="511">
        <v>3</v>
      </c>
      <c r="M211" s="536" t="str">
        <f t="shared" si="101"/>
        <v>PASS. UBIRATAN MACIEL</v>
      </c>
      <c r="N211" s="542"/>
      <c r="O211" s="608"/>
      <c r="P211" s="608"/>
      <c r="AC211" s="538">
        <f>'ORÇAMENTO GERAL'!$J$100</f>
        <v>6743.68</v>
      </c>
      <c r="AD211" s="538">
        <f t="shared" si="104"/>
        <v>20231.04</v>
      </c>
      <c r="AF211" s="538">
        <f>'ORÇAMENTO GERAL'!$J$102</f>
        <v>127.13</v>
      </c>
      <c r="AG211" s="538">
        <f t="shared" si="102"/>
        <v>381.39</v>
      </c>
      <c r="AI211" s="538">
        <f>'ORÇAMENTO GERAL'!$J$104</f>
        <v>6743.68</v>
      </c>
      <c r="AJ211" s="538">
        <f t="shared" si="103"/>
        <v>0</v>
      </c>
    </row>
    <row r="212" spans="1:36" ht="49.5" customHeight="1">
      <c r="A212" s="511">
        <v>4</v>
      </c>
      <c r="B212" s="536" t="str">
        <f t="shared" si="98"/>
        <v>PASS. ALEGRE </v>
      </c>
      <c r="C212" s="856">
        <v>3</v>
      </c>
      <c r="D212" s="857"/>
      <c r="E212" s="858"/>
      <c r="H212" s="511">
        <v>4</v>
      </c>
      <c r="I212" s="536" t="str">
        <f t="shared" si="99"/>
        <v>PASS. ALEGRE </v>
      </c>
      <c r="J212" s="542">
        <f t="shared" si="100"/>
        <v>3</v>
      </c>
      <c r="K212" s="608"/>
      <c r="L212" s="511">
        <v>4</v>
      </c>
      <c r="M212" s="536" t="str">
        <f t="shared" si="101"/>
        <v>PASS. ALEGRE </v>
      </c>
      <c r="N212" s="542"/>
      <c r="O212" s="608"/>
      <c r="P212" s="608"/>
      <c r="AC212" s="538">
        <f>'ORÇAMENTO GERAL'!$J$100</f>
        <v>6743.68</v>
      </c>
      <c r="AD212" s="538">
        <f t="shared" si="104"/>
        <v>20231.04</v>
      </c>
      <c r="AF212" s="538">
        <f>'ORÇAMENTO GERAL'!$J$102</f>
        <v>127.13</v>
      </c>
      <c r="AG212" s="538">
        <f t="shared" si="102"/>
        <v>381.39</v>
      </c>
      <c r="AI212" s="538">
        <f>'ORÇAMENTO GERAL'!$J$104</f>
        <v>6743.68</v>
      </c>
      <c r="AJ212" s="538">
        <f t="shared" si="103"/>
        <v>0</v>
      </c>
    </row>
    <row r="213" spans="1:36" ht="49.5" customHeight="1" hidden="1">
      <c r="A213" s="511">
        <v>5</v>
      </c>
      <c r="B213" s="536">
        <f t="shared" si="98"/>
        <v>0</v>
      </c>
      <c r="C213" s="856"/>
      <c r="D213" s="857"/>
      <c r="E213" s="858"/>
      <c r="H213" s="511">
        <v>5</v>
      </c>
      <c r="I213" s="536">
        <f t="shared" si="99"/>
        <v>0</v>
      </c>
      <c r="J213" s="542">
        <f t="shared" si="100"/>
        <v>0</v>
      </c>
      <c r="K213" s="608"/>
      <c r="L213" s="511">
        <v>5</v>
      </c>
      <c r="M213" s="536">
        <f t="shared" si="101"/>
        <v>0</v>
      </c>
      <c r="N213" s="542"/>
      <c r="O213" s="608"/>
      <c r="P213" s="608"/>
      <c r="AC213" s="538">
        <f>'ORÇAMENTO GERAL'!$J$100</f>
        <v>6743.68</v>
      </c>
      <c r="AD213" s="538">
        <f t="shared" si="104"/>
        <v>0</v>
      </c>
      <c r="AF213" s="538">
        <f>'ORÇAMENTO GERAL'!$J$102</f>
        <v>127.13</v>
      </c>
      <c r="AG213" s="538">
        <f t="shared" si="102"/>
        <v>0</v>
      </c>
      <c r="AI213" s="538">
        <f>'ORÇAMENTO GERAL'!$J$104</f>
        <v>6743.68</v>
      </c>
      <c r="AJ213" s="538">
        <f t="shared" si="103"/>
        <v>0</v>
      </c>
    </row>
    <row r="214" spans="1:36" ht="49.5" customHeight="1" hidden="1">
      <c r="A214" s="511">
        <v>6</v>
      </c>
      <c r="B214" s="536">
        <f t="shared" si="98"/>
        <v>0</v>
      </c>
      <c r="C214" s="856"/>
      <c r="D214" s="857"/>
      <c r="E214" s="858"/>
      <c r="H214" s="511">
        <v>6</v>
      </c>
      <c r="I214" s="536">
        <f t="shared" si="99"/>
        <v>0</v>
      </c>
      <c r="J214" s="542">
        <f t="shared" si="100"/>
        <v>0</v>
      </c>
      <c r="K214" s="608"/>
      <c r="L214" s="511">
        <v>6</v>
      </c>
      <c r="M214" s="536">
        <f t="shared" si="101"/>
        <v>0</v>
      </c>
      <c r="N214" s="542"/>
      <c r="O214" s="608"/>
      <c r="P214" s="608"/>
      <c r="AC214" s="538">
        <f>'ORÇAMENTO GERAL'!$J$100</f>
        <v>6743.68</v>
      </c>
      <c r="AD214" s="538">
        <f t="shared" si="104"/>
        <v>0</v>
      </c>
      <c r="AF214" s="538">
        <f>'ORÇAMENTO GERAL'!$J$102</f>
        <v>127.13</v>
      </c>
      <c r="AG214" s="538">
        <f t="shared" si="102"/>
        <v>0</v>
      </c>
      <c r="AI214" s="538">
        <f>'ORÇAMENTO GERAL'!$J$104</f>
        <v>6743.68</v>
      </c>
      <c r="AJ214" s="538">
        <f t="shared" si="103"/>
        <v>0</v>
      </c>
    </row>
    <row r="215" spans="1:36" ht="49.5" customHeight="1" hidden="1">
      <c r="A215" s="511">
        <v>7</v>
      </c>
      <c r="B215" s="536">
        <f t="shared" si="98"/>
        <v>0</v>
      </c>
      <c r="C215" s="856"/>
      <c r="D215" s="857"/>
      <c r="E215" s="858"/>
      <c r="H215" s="511">
        <v>7</v>
      </c>
      <c r="I215" s="536">
        <f t="shared" si="99"/>
        <v>0</v>
      </c>
      <c r="J215" s="542">
        <f t="shared" si="100"/>
        <v>0</v>
      </c>
      <c r="K215" s="608"/>
      <c r="L215" s="511">
        <v>7</v>
      </c>
      <c r="M215" s="536">
        <f t="shared" si="101"/>
        <v>0</v>
      </c>
      <c r="N215" s="542"/>
      <c r="O215" s="608"/>
      <c r="P215" s="608"/>
      <c r="AC215" s="538">
        <f>'ORÇAMENTO GERAL'!$J$100</f>
        <v>6743.68</v>
      </c>
      <c r="AD215" s="538">
        <f t="shared" si="104"/>
        <v>0</v>
      </c>
      <c r="AF215" s="538">
        <f>'ORÇAMENTO GERAL'!$J$102</f>
        <v>127.13</v>
      </c>
      <c r="AG215" s="538">
        <f t="shared" si="102"/>
        <v>0</v>
      </c>
      <c r="AI215" s="538">
        <f>'ORÇAMENTO GERAL'!$J$104</f>
        <v>6743.68</v>
      </c>
      <c r="AJ215" s="538">
        <f t="shared" si="103"/>
        <v>0</v>
      </c>
    </row>
    <row r="216" spans="1:36" ht="49.5" customHeight="1" hidden="1">
      <c r="A216" s="511">
        <v>8</v>
      </c>
      <c r="B216" s="536">
        <f t="shared" si="98"/>
        <v>0</v>
      </c>
      <c r="C216" s="856"/>
      <c r="D216" s="857"/>
      <c r="E216" s="858"/>
      <c r="H216" s="511">
        <v>8</v>
      </c>
      <c r="I216" s="536">
        <f t="shared" si="99"/>
        <v>0</v>
      </c>
      <c r="J216" s="542">
        <f t="shared" si="100"/>
        <v>0</v>
      </c>
      <c r="K216" s="608"/>
      <c r="L216" s="511">
        <v>8</v>
      </c>
      <c r="M216" s="536">
        <f t="shared" si="101"/>
        <v>0</v>
      </c>
      <c r="N216" s="542"/>
      <c r="O216" s="608"/>
      <c r="P216" s="608"/>
      <c r="AC216" s="538">
        <f>'ORÇAMENTO GERAL'!$J$100</f>
        <v>6743.68</v>
      </c>
      <c r="AD216" s="538">
        <f t="shared" si="104"/>
        <v>0</v>
      </c>
      <c r="AF216" s="538">
        <f>'ORÇAMENTO GERAL'!$J$102</f>
        <v>127.13</v>
      </c>
      <c r="AG216" s="538">
        <f t="shared" si="102"/>
        <v>0</v>
      </c>
      <c r="AI216" s="538">
        <f>'ORÇAMENTO GERAL'!$J$104</f>
        <v>6743.68</v>
      </c>
      <c r="AJ216" s="538">
        <f t="shared" si="103"/>
        <v>0</v>
      </c>
    </row>
    <row r="217" spans="1:36" ht="49.5" customHeight="1" hidden="1">
      <c r="A217" s="511">
        <v>9</v>
      </c>
      <c r="B217" s="536">
        <f t="shared" si="98"/>
        <v>0</v>
      </c>
      <c r="C217" s="856"/>
      <c r="D217" s="857"/>
      <c r="E217" s="858"/>
      <c r="H217" s="511">
        <v>9</v>
      </c>
      <c r="I217" s="536">
        <f t="shared" si="99"/>
        <v>0</v>
      </c>
      <c r="J217" s="542">
        <f t="shared" si="100"/>
        <v>0</v>
      </c>
      <c r="K217" s="608"/>
      <c r="L217" s="511">
        <v>9</v>
      </c>
      <c r="M217" s="536">
        <f t="shared" si="101"/>
        <v>0</v>
      </c>
      <c r="N217" s="542"/>
      <c r="O217" s="608"/>
      <c r="P217" s="608"/>
      <c r="AC217" s="538">
        <f>'ORÇAMENTO GERAL'!$J$100</f>
        <v>6743.68</v>
      </c>
      <c r="AD217" s="538">
        <f t="shared" si="104"/>
        <v>0</v>
      </c>
      <c r="AF217" s="538">
        <f>'ORÇAMENTO GERAL'!$J$102</f>
        <v>127.13</v>
      </c>
      <c r="AG217" s="538">
        <f t="shared" si="102"/>
        <v>0</v>
      </c>
      <c r="AI217" s="538">
        <f>'ORÇAMENTO GERAL'!$J$104</f>
        <v>6743.68</v>
      </c>
      <c r="AJ217" s="538">
        <f t="shared" si="103"/>
        <v>0</v>
      </c>
    </row>
    <row r="218" spans="1:36" ht="49.5" customHeight="1" hidden="1">
      <c r="A218" s="511">
        <v>10</v>
      </c>
      <c r="B218" s="536">
        <f t="shared" si="98"/>
        <v>0</v>
      </c>
      <c r="C218" s="856"/>
      <c r="D218" s="857"/>
      <c r="E218" s="858"/>
      <c r="H218" s="511">
        <v>10</v>
      </c>
      <c r="I218" s="536">
        <f t="shared" si="99"/>
        <v>0</v>
      </c>
      <c r="J218" s="542">
        <f t="shared" si="100"/>
        <v>0</v>
      </c>
      <c r="K218" s="608"/>
      <c r="L218" s="511">
        <v>10</v>
      </c>
      <c r="M218" s="536">
        <f t="shared" si="101"/>
        <v>0</v>
      </c>
      <c r="N218" s="542"/>
      <c r="O218" s="608"/>
      <c r="P218" s="608"/>
      <c r="AC218" s="538">
        <f>'ORÇAMENTO GERAL'!$J$100</f>
        <v>6743.68</v>
      </c>
      <c r="AD218" s="538">
        <f t="shared" si="104"/>
        <v>0</v>
      </c>
      <c r="AF218" s="538">
        <f>'ORÇAMENTO GERAL'!$J$102</f>
        <v>127.13</v>
      </c>
      <c r="AG218" s="538">
        <f t="shared" si="102"/>
        <v>0</v>
      </c>
      <c r="AI218" s="538">
        <f>'ORÇAMENTO GERAL'!$J$104</f>
        <v>6743.68</v>
      </c>
      <c r="AJ218" s="538">
        <f t="shared" si="103"/>
        <v>0</v>
      </c>
    </row>
    <row r="219" spans="1:36" ht="49.5" customHeight="1" hidden="1">
      <c r="A219" s="511">
        <v>11</v>
      </c>
      <c r="B219" s="536">
        <f t="shared" si="98"/>
        <v>0</v>
      </c>
      <c r="C219" s="856"/>
      <c r="D219" s="857"/>
      <c r="E219" s="858"/>
      <c r="H219" s="511">
        <v>11</v>
      </c>
      <c r="I219" s="536">
        <f t="shared" si="99"/>
        <v>0</v>
      </c>
      <c r="J219" s="542">
        <f t="shared" si="100"/>
        <v>0</v>
      </c>
      <c r="K219" s="608"/>
      <c r="L219" s="511">
        <v>11</v>
      </c>
      <c r="M219" s="536">
        <f t="shared" si="101"/>
        <v>0</v>
      </c>
      <c r="N219" s="542"/>
      <c r="O219" s="608"/>
      <c r="P219" s="608"/>
      <c r="AC219" s="538">
        <f>'ORÇAMENTO GERAL'!$J$100</f>
        <v>6743.68</v>
      </c>
      <c r="AD219" s="538">
        <f t="shared" si="104"/>
        <v>0</v>
      </c>
      <c r="AF219" s="538">
        <f>'ORÇAMENTO GERAL'!$J$102</f>
        <v>127.13</v>
      </c>
      <c r="AG219" s="538">
        <f t="shared" si="102"/>
        <v>0</v>
      </c>
      <c r="AI219" s="538">
        <f>'ORÇAMENTO GERAL'!$J$104</f>
        <v>6743.68</v>
      </c>
      <c r="AJ219" s="538">
        <f t="shared" si="103"/>
        <v>0</v>
      </c>
    </row>
    <row r="220" spans="1:36" ht="49.5" customHeight="1" hidden="1">
      <c r="A220" s="511">
        <v>12</v>
      </c>
      <c r="B220" s="536">
        <f t="shared" si="98"/>
        <v>0</v>
      </c>
      <c r="C220" s="856"/>
      <c r="D220" s="857"/>
      <c r="E220" s="858"/>
      <c r="H220" s="511">
        <v>12</v>
      </c>
      <c r="I220" s="536">
        <f t="shared" si="99"/>
        <v>0</v>
      </c>
      <c r="J220" s="542">
        <f t="shared" si="100"/>
        <v>0</v>
      </c>
      <c r="K220" s="608"/>
      <c r="L220" s="511">
        <v>12</v>
      </c>
      <c r="M220" s="536">
        <f t="shared" si="101"/>
        <v>0</v>
      </c>
      <c r="N220" s="542"/>
      <c r="O220" s="608"/>
      <c r="P220" s="608"/>
      <c r="AC220" s="538">
        <f>'ORÇAMENTO GERAL'!$J$100</f>
        <v>6743.68</v>
      </c>
      <c r="AD220" s="538">
        <f t="shared" si="104"/>
        <v>0</v>
      </c>
      <c r="AF220" s="538">
        <f>'ORÇAMENTO GERAL'!$J$102</f>
        <v>127.13</v>
      </c>
      <c r="AG220" s="538">
        <f t="shared" si="102"/>
        <v>0</v>
      </c>
      <c r="AI220" s="538">
        <f>'ORÇAMENTO GERAL'!$J$104</f>
        <v>6743.68</v>
      </c>
      <c r="AJ220" s="538">
        <f t="shared" si="103"/>
        <v>0</v>
      </c>
    </row>
    <row r="221" spans="1:36" ht="49.5" customHeight="1" hidden="1">
      <c r="A221" s="511">
        <v>13</v>
      </c>
      <c r="B221" s="536">
        <f t="shared" si="98"/>
        <v>0</v>
      </c>
      <c r="C221" s="856"/>
      <c r="D221" s="857"/>
      <c r="E221" s="858"/>
      <c r="H221" s="511">
        <v>13</v>
      </c>
      <c r="I221" s="536">
        <f t="shared" si="99"/>
        <v>0</v>
      </c>
      <c r="J221" s="542">
        <f t="shared" si="100"/>
        <v>0</v>
      </c>
      <c r="K221" s="608"/>
      <c r="L221" s="511">
        <v>13</v>
      </c>
      <c r="M221" s="536">
        <f t="shared" si="101"/>
        <v>0</v>
      </c>
      <c r="N221" s="542"/>
      <c r="O221" s="608"/>
      <c r="P221" s="608"/>
      <c r="AC221" s="538">
        <f>'ORÇAMENTO GERAL'!$J$100</f>
        <v>6743.68</v>
      </c>
      <c r="AD221" s="538">
        <f t="shared" si="104"/>
        <v>0</v>
      </c>
      <c r="AF221" s="538">
        <f>'ORÇAMENTO GERAL'!$J$102</f>
        <v>127.13</v>
      </c>
      <c r="AG221" s="538">
        <f t="shared" si="102"/>
        <v>0</v>
      </c>
      <c r="AI221" s="538">
        <f>'ORÇAMENTO GERAL'!$J$104</f>
        <v>6743.68</v>
      </c>
      <c r="AJ221" s="538">
        <f t="shared" si="103"/>
        <v>0</v>
      </c>
    </row>
    <row r="222" spans="1:36" ht="49.5" customHeight="1" hidden="1">
      <c r="A222" s="511">
        <v>14</v>
      </c>
      <c r="B222" s="536">
        <f t="shared" si="98"/>
        <v>0</v>
      </c>
      <c r="C222" s="856"/>
      <c r="D222" s="857"/>
      <c r="E222" s="858"/>
      <c r="H222" s="511">
        <v>14</v>
      </c>
      <c r="I222" s="536">
        <f t="shared" si="99"/>
        <v>0</v>
      </c>
      <c r="J222" s="542">
        <f t="shared" si="100"/>
        <v>0</v>
      </c>
      <c r="K222" s="608"/>
      <c r="L222" s="511">
        <v>14</v>
      </c>
      <c r="M222" s="536">
        <f t="shared" si="101"/>
        <v>0</v>
      </c>
      <c r="N222" s="542"/>
      <c r="O222" s="608"/>
      <c r="P222" s="608"/>
      <c r="AC222" s="538">
        <f>'ORÇAMENTO GERAL'!$J$100</f>
        <v>6743.68</v>
      </c>
      <c r="AD222" s="538">
        <f t="shared" si="104"/>
        <v>0</v>
      </c>
      <c r="AF222" s="538">
        <f>'ORÇAMENTO GERAL'!$J$102</f>
        <v>127.13</v>
      </c>
      <c r="AG222" s="538">
        <f t="shared" si="102"/>
        <v>0</v>
      </c>
      <c r="AI222" s="538">
        <f>'ORÇAMENTO GERAL'!$J$104</f>
        <v>6743.68</v>
      </c>
      <c r="AJ222" s="538">
        <f t="shared" si="103"/>
        <v>0</v>
      </c>
    </row>
    <row r="223" spans="1:36" ht="49.5" customHeight="1" hidden="1">
      <c r="A223" s="511">
        <v>15</v>
      </c>
      <c r="B223" s="536">
        <f t="shared" si="98"/>
        <v>0</v>
      </c>
      <c r="C223" s="856"/>
      <c r="D223" s="857"/>
      <c r="E223" s="858"/>
      <c r="H223" s="511">
        <v>15</v>
      </c>
      <c r="I223" s="536">
        <f t="shared" si="99"/>
        <v>0</v>
      </c>
      <c r="J223" s="542">
        <f t="shared" si="100"/>
        <v>0</v>
      </c>
      <c r="K223" s="608"/>
      <c r="L223" s="511">
        <v>15</v>
      </c>
      <c r="M223" s="536">
        <f t="shared" si="101"/>
        <v>0</v>
      </c>
      <c r="N223" s="542"/>
      <c r="O223" s="608"/>
      <c r="P223" s="608"/>
      <c r="AC223" s="538">
        <f>'ORÇAMENTO GERAL'!$J$100</f>
        <v>6743.68</v>
      </c>
      <c r="AD223" s="538">
        <f t="shared" si="104"/>
        <v>0</v>
      </c>
      <c r="AF223" s="538">
        <f>'ORÇAMENTO GERAL'!$J$102</f>
        <v>127.13</v>
      </c>
      <c r="AG223" s="538">
        <f t="shared" si="102"/>
        <v>0</v>
      </c>
      <c r="AI223" s="538">
        <f>'ORÇAMENTO GERAL'!$J$104</f>
        <v>6743.68</v>
      </c>
      <c r="AJ223" s="538">
        <f t="shared" si="103"/>
        <v>0</v>
      </c>
    </row>
    <row r="224" spans="1:36" ht="49.5" customHeight="1" hidden="1">
      <c r="A224" s="511">
        <v>16</v>
      </c>
      <c r="B224" s="536">
        <f t="shared" si="98"/>
        <v>0</v>
      </c>
      <c r="C224" s="856"/>
      <c r="D224" s="857"/>
      <c r="E224" s="858"/>
      <c r="H224" s="511">
        <v>16</v>
      </c>
      <c r="I224" s="536">
        <f t="shared" si="99"/>
        <v>0</v>
      </c>
      <c r="J224" s="542">
        <f t="shared" si="100"/>
        <v>0</v>
      </c>
      <c r="K224" s="608"/>
      <c r="L224" s="511">
        <v>16</v>
      </c>
      <c r="M224" s="536">
        <f t="shared" si="101"/>
        <v>0</v>
      </c>
      <c r="N224" s="542"/>
      <c r="O224" s="608"/>
      <c r="P224" s="608"/>
      <c r="AC224" s="538">
        <f>'ORÇAMENTO GERAL'!$J$100</f>
        <v>6743.68</v>
      </c>
      <c r="AD224" s="538">
        <f t="shared" si="104"/>
        <v>0</v>
      </c>
      <c r="AF224" s="538">
        <f>'ORÇAMENTO GERAL'!$J$102</f>
        <v>127.13</v>
      </c>
      <c r="AG224" s="538">
        <f t="shared" si="102"/>
        <v>0</v>
      </c>
      <c r="AI224" s="538">
        <f>'ORÇAMENTO GERAL'!$J$104</f>
        <v>6743.68</v>
      </c>
      <c r="AJ224" s="538">
        <f t="shared" si="103"/>
        <v>0</v>
      </c>
    </row>
    <row r="225" spans="1:36" ht="49.5" customHeight="1" hidden="1">
      <c r="A225" s="511">
        <v>17</v>
      </c>
      <c r="B225" s="536">
        <f t="shared" si="98"/>
        <v>0</v>
      </c>
      <c r="C225" s="856"/>
      <c r="D225" s="857"/>
      <c r="E225" s="858"/>
      <c r="H225" s="511">
        <v>17</v>
      </c>
      <c r="I225" s="536">
        <f t="shared" si="99"/>
        <v>0</v>
      </c>
      <c r="J225" s="542">
        <f t="shared" si="100"/>
        <v>0</v>
      </c>
      <c r="K225" s="608"/>
      <c r="L225" s="511">
        <v>17</v>
      </c>
      <c r="M225" s="536">
        <f t="shared" si="101"/>
        <v>0</v>
      </c>
      <c r="N225" s="542"/>
      <c r="O225" s="608"/>
      <c r="P225" s="608"/>
      <c r="AC225" s="538">
        <f>'ORÇAMENTO GERAL'!$J$100</f>
        <v>6743.68</v>
      </c>
      <c r="AD225" s="538">
        <f t="shared" si="104"/>
        <v>0</v>
      </c>
      <c r="AF225" s="538">
        <f>'ORÇAMENTO GERAL'!$J$102</f>
        <v>127.13</v>
      </c>
      <c r="AG225" s="538">
        <f t="shared" si="102"/>
        <v>0</v>
      </c>
      <c r="AI225" s="538">
        <f>'ORÇAMENTO GERAL'!$J$104</f>
        <v>6743.68</v>
      </c>
      <c r="AJ225" s="538">
        <f t="shared" si="103"/>
        <v>0</v>
      </c>
    </row>
    <row r="226" spans="1:36" ht="49.5" customHeight="1" hidden="1">
      <c r="A226" s="511">
        <v>18</v>
      </c>
      <c r="B226" s="536">
        <f t="shared" si="98"/>
        <v>0</v>
      </c>
      <c r="C226" s="856"/>
      <c r="D226" s="857"/>
      <c r="E226" s="858"/>
      <c r="H226" s="511">
        <v>18</v>
      </c>
      <c r="I226" s="536">
        <f t="shared" si="99"/>
        <v>0</v>
      </c>
      <c r="J226" s="542">
        <f t="shared" si="100"/>
        <v>0</v>
      </c>
      <c r="K226" s="608"/>
      <c r="L226" s="511">
        <v>18</v>
      </c>
      <c r="M226" s="536">
        <f t="shared" si="101"/>
        <v>0</v>
      </c>
      <c r="N226" s="542"/>
      <c r="O226" s="608"/>
      <c r="P226" s="608"/>
      <c r="AC226" s="538">
        <f>'ORÇAMENTO GERAL'!$J$100</f>
        <v>6743.68</v>
      </c>
      <c r="AD226" s="538">
        <f t="shared" si="104"/>
        <v>0</v>
      </c>
      <c r="AF226" s="538">
        <f>'ORÇAMENTO GERAL'!$J$102</f>
        <v>127.13</v>
      </c>
      <c r="AG226" s="538">
        <f t="shared" si="102"/>
        <v>0</v>
      </c>
      <c r="AI226" s="538">
        <f>'ORÇAMENTO GERAL'!$J$104</f>
        <v>6743.68</v>
      </c>
      <c r="AJ226" s="538">
        <f t="shared" si="103"/>
        <v>0</v>
      </c>
    </row>
    <row r="227" spans="1:36" ht="49.5" customHeight="1" hidden="1">
      <c r="A227" s="511">
        <v>19</v>
      </c>
      <c r="B227" s="536">
        <f t="shared" si="98"/>
        <v>0</v>
      </c>
      <c r="C227" s="856"/>
      <c r="D227" s="857"/>
      <c r="E227" s="858"/>
      <c r="H227" s="511">
        <v>19</v>
      </c>
      <c r="I227" s="536">
        <f t="shared" si="99"/>
        <v>0</v>
      </c>
      <c r="J227" s="542">
        <f t="shared" si="100"/>
        <v>0</v>
      </c>
      <c r="K227" s="608"/>
      <c r="L227" s="511">
        <v>19</v>
      </c>
      <c r="M227" s="536">
        <f t="shared" si="101"/>
        <v>0</v>
      </c>
      <c r="N227" s="542"/>
      <c r="O227" s="608"/>
      <c r="P227" s="608"/>
      <c r="AC227" s="538">
        <f>'ORÇAMENTO GERAL'!$J$100</f>
        <v>6743.68</v>
      </c>
      <c r="AD227" s="538">
        <f t="shared" si="104"/>
        <v>0</v>
      </c>
      <c r="AF227" s="538">
        <f>'ORÇAMENTO GERAL'!$J$102</f>
        <v>127.13</v>
      </c>
      <c r="AG227" s="538">
        <f t="shared" si="102"/>
        <v>0</v>
      </c>
      <c r="AI227" s="538">
        <f>'ORÇAMENTO GERAL'!$J$104</f>
        <v>6743.68</v>
      </c>
      <c r="AJ227" s="538">
        <f t="shared" si="103"/>
        <v>0</v>
      </c>
    </row>
    <row r="228" spans="1:36" ht="49.5" customHeight="1" hidden="1">
      <c r="A228" s="511">
        <v>20</v>
      </c>
      <c r="B228" s="536">
        <f t="shared" si="98"/>
        <v>0</v>
      </c>
      <c r="C228" s="856"/>
      <c r="D228" s="857"/>
      <c r="E228" s="858"/>
      <c r="H228" s="511">
        <v>20</v>
      </c>
      <c r="I228" s="536">
        <f t="shared" si="99"/>
        <v>0</v>
      </c>
      <c r="J228" s="542">
        <f t="shared" si="100"/>
        <v>0</v>
      </c>
      <c r="K228" s="608"/>
      <c r="L228" s="511">
        <v>20</v>
      </c>
      <c r="M228" s="536">
        <f t="shared" si="101"/>
        <v>0</v>
      </c>
      <c r="N228" s="542"/>
      <c r="O228" s="608"/>
      <c r="P228" s="608"/>
      <c r="AC228" s="538">
        <f>'ORÇAMENTO GERAL'!$J$100</f>
        <v>6743.68</v>
      </c>
      <c r="AD228" s="538">
        <f t="shared" si="104"/>
        <v>0</v>
      </c>
      <c r="AF228" s="538">
        <f>'ORÇAMENTO GERAL'!$J$102</f>
        <v>127.13</v>
      </c>
      <c r="AG228" s="538">
        <f t="shared" si="102"/>
        <v>0</v>
      </c>
      <c r="AI228" s="538">
        <f>'ORÇAMENTO GERAL'!$J$104</f>
        <v>6743.68</v>
      </c>
      <c r="AJ228" s="538">
        <f t="shared" si="103"/>
        <v>0</v>
      </c>
    </row>
    <row r="229" spans="1:16" ht="49.5" customHeight="1">
      <c r="A229" s="863" t="s">
        <v>24</v>
      </c>
      <c r="B229" s="863"/>
      <c r="C229" s="864">
        <f>SUM(C209:E228)</f>
        <v>15</v>
      </c>
      <c r="D229" s="864"/>
      <c r="E229" s="864"/>
      <c r="H229" s="863" t="s">
        <v>24</v>
      </c>
      <c r="I229" s="863"/>
      <c r="J229" s="539">
        <f>SUM(J209:K228)</f>
        <v>15</v>
      </c>
      <c r="K229" s="609"/>
      <c r="L229" s="863" t="s">
        <v>24</v>
      </c>
      <c r="M229" s="863"/>
      <c r="N229" s="539">
        <f>SUM(N209:P228)</f>
        <v>0</v>
      </c>
      <c r="O229" s="609"/>
      <c r="P229" s="609"/>
    </row>
    <row r="230" ht="49.5" customHeight="1"/>
    <row r="231" ht="49.5" customHeight="1"/>
    <row r="232" ht="49.5" customHeight="1"/>
    <row r="233" ht="49.5" customHeight="1"/>
    <row r="234" ht="49.5" customHeight="1"/>
    <row r="235" ht="49.5" customHeight="1"/>
    <row r="236" ht="49.5" customHeight="1"/>
    <row r="237" ht="49.5" customHeight="1"/>
  </sheetData>
  <sheetProtection/>
  <mergeCells count="164">
    <mergeCell ref="AC182:AD182"/>
    <mergeCell ref="N99:N101"/>
    <mergeCell ref="O99:O100"/>
    <mergeCell ref="P99:P100"/>
    <mergeCell ref="R99:R101"/>
    <mergeCell ref="C99:E100"/>
    <mergeCell ref="Q127:Q129"/>
    <mergeCell ref="R127:R129"/>
    <mergeCell ref="N155:N157"/>
    <mergeCell ref="O155:O156"/>
    <mergeCell ref="N43:N45"/>
    <mergeCell ref="O43:O44"/>
    <mergeCell ref="L229:M229"/>
    <mergeCell ref="A98:R98"/>
    <mergeCell ref="J99:J101"/>
    <mergeCell ref="L43:L45"/>
    <mergeCell ref="A126:R126"/>
    <mergeCell ref="A124:B124"/>
    <mergeCell ref="M99:M101"/>
    <mergeCell ref="A99:A103"/>
    <mergeCell ref="AI207:AJ207"/>
    <mergeCell ref="AF182:AG182"/>
    <mergeCell ref="AC207:AD207"/>
    <mergeCell ref="T18:AD18"/>
    <mergeCell ref="T46:AD46"/>
    <mergeCell ref="T74:AD74"/>
    <mergeCell ref="AF207:AG207"/>
    <mergeCell ref="T102:AD102"/>
    <mergeCell ref="T130:AD130"/>
    <mergeCell ref="T158:AD158"/>
    <mergeCell ref="B99:B103"/>
    <mergeCell ref="A68:B68"/>
    <mergeCell ref="L71:L73"/>
    <mergeCell ref="M43:M45"/>
    <mergeCell ref="A96:B96"/>
    <mergeCell ref="F99:I100"/>
    <mergeCell ref="L99:L101"/>
    <mergeCell ref="K43:K45"/>
    <mergeCell ref="A70:R70"/>
    <mergeCell ref="K99:K101"/>
    <mergeCell ref="C216:E216"/>
    <mergeCell ref="C227:E227"/>
    <mergeCell ref="C221:E221"/>
    <mergeCell ref="C222:E222"/>
    <mergeCell ref="C217:E217"/>
    <mergeCell ref="C225:E225"/>
    <mergeCell ref="C220:E220"/>
    <mergeCell ref="C218:E218"/>
    <mergeCell ref="A204:B204"/>
    <mergeCell ref="C204:E204"/>
    <mergeCell ref="C201:E201"/>
    <mergeCell ref="C190:E190"/>
    <mergeCell ref="C188:E188"/>
    <mergeCell ref="C189:E189"/>
    <mergeCell ref="C196:E196"/>
    <mergeCell ref="C197:E197"/>
    <mergeCell ref="C193:E193"/>
    <mergeCell ref="C194:E194"/>
    <mergeCell ref="C208:E208"/>
    <mergeCell ref="A207:E207"/>
    <mergeCell ref="C219:E219"/>
    <mergeCell ref="C211:E211"/>
    <mergeCell ref="C210:E210"/>
    <mergeCell ref="C209:E209"/>
    <mergeCell ref="C212:E212"/>
    <mergeCell ref="C213:E213"/>
    <mergeCell ref="C214:E214"/>
    <mergeCell ref="C215:E215"/>
    <mergeCell ref="C195:E195"/>
    <mergeCell ref="C200:E200"/>
    <mergeCell ref="C203:E203"/>
    <mergeCell ref="C198:E198"/>
    <mergeCell ref="C199:E199"/>
    <mergeCell ref="C202:E202"/>
    <mergeCell ref="C192:E192"/>
    <mergeCell ref="J155:J157"/>
    <mergeCell ref="C183:E183"/>
    <mergeCell ref="M127:M129"/>
    <mergeCell ref="J127:J129"/>
    <mergeCell ref="M71:M73"/>
    <mergeCell ref="C71:E72"/>
    <mergeCell ref="C185:E185"/>
    <mergeCell ref="C191:E191"/>
    <mergeCell ref="C186:E186"/>
    <mergeCell ref="A71:A75"/>
    <mergeCell ref="R43:R45"/>
    <mergeCell ref="A43:A47"/>
    <mergeCell ref="B43:B47"/>
    <mergeCell ref="F71:I72"/>
    <mergeCell ref="P43:P44"/>
    <mergeCell ref="N71:N73"/>
    <mergeCell ref="Q43:Q45"/>
    <mergeCell ref="O71:O72"/>
    <mergeCell ref="P71:P72"/>
    <mergeCell ref="A40:B40"/>
    <mergeCell ref="K71:K73"/>
    <mergeCell ref="Q71:Q73"/>
    <mergeCell ref="C43:E44"/>
    <mergeCell ref="J43:J45"/>
    <mergeCell ref="A42:R42"/>
    <mergeCell ref="F43:I44"/>
    <mergeCell ref="R71:R73"/>
    <mergeCell ref="B71:B75"/>
    <mergeCell ref="J71:J73"/>
    <mergeCell ref="C15:E16"/>
    <mergeCell ref="F15:I16"/>
    <mergeCell ref="Q15:Q17"/>
    <mergeCell ref="R15:R17"/>
    <mergeCell ref="K15:K17"/>
    <mergeCell ref="L15:L17"/>
    <mergeCell ref="M15:M17"/>
    <mergeCell ref="N15:N17"/>
    <mergeCell ref="O15:O16"/>
    <mergeCell ref="P15:P16"/>
    <mergeCell ref="A6:R6"/>
    <mergeCell ref="A7:R7"/>
    <mergeCell ref="A8:R8"/>
    <mergeCell ref="A12:R12"/>
    <mergeCell ref="A14:R14"/>
    <mergeCell ref="Q99:Q101"/>
    <mergeCell ref="J15:J17"/>
    <mergeCell ref="A13:R13"/>
    <mergeCell ref="A15:A19"/>
    <mergeCell ref="B15:B19"/>
    <mergeCell ref="A152:B152"/>
    <mergeCell ref="B127:B131"/>
    <mergeCell ref="C127:E128"/>
    <mergeCell ref="F127:I128"/>
    <mergeCell ref="L127:L129"/>
    <mergeCell ref="P127:P128"/>
    <mergeCell ref="N127:N129"/>
    <mergeCell ref="O127:O128"/>
    <mergeCell ref="A127:A131"/>
    <mergeCell ref="K127:K129"/>
    <mergeCell ref="P155:P156"/>
    <mergeCell ref="M155:M157"/>
    <mergeCell ref="C187:E187"/>
    <mergeCell ref="A154:R154"/>
    <mergeCell ref="A155:A159"/>
    <mergeCell ref="B155:B159"/>
    <mergeCell ref="C155:E156"/>
    <mergeCell ref="F155:I156"/>
    <mergeCell ref="L155:L157"/>
    <mergeCell ref="Q155:Q157"/>
    <mergeCell ref="R155:R157"/>
    <mergeCell ref="K155:K157"/>
    <mergeCell ref="H229:I229"/>
    <mergeCell ref="C228:E228"/>
    <mergeCell ref="A229:B229"/>
    <mergeCell ref="C229:E229"/>
    <mergeCell ref="C226:E226"/>
    <mergeCell ref="H204:I204"/>
    <mergeCell ref="C223:E223"/>
    <mergeCell ref="C224:E224"/>
    <mergeCell ref="A2:R2"/>
    <mergeCell ref="A3:R3"/>
    <mergeCell ref="A4:R4"/>
    <mergeCell ref="C10:R10"/>
    <mergeCell ref="H182:J182"/>
    <mergeCell ref="H207:J207"/>
    <mergeCell ref="L207:N207"/>
    <mergeCell ref="A180:B180"/>
    <mergeCell ref="A182:E182"/>
    <mergeCell ref="C184:E184"/>
  </mergeCells>
  <conditionalFormatting sqref="A40 S37:S40 S68 S96 S124 S152 S180 R20:S20 S21 L20:L39 N20:O39 R21:R39 B20:I39 C40:R40">
    <cfRule type="cellIs" priority="592" dxfId="33" operator="equal" stopIfTrue="1">
      <formula>0</formula>
    </cfRule>
  </conditionalFormatting>
  <conditionalFormatting sqref="A40 S37:S40 S68 S96 S124 S152 S180 R20:S20 S21 L20:L39 N20:O39 R21:R39 B20:I39 C40:R40">
    <cfRule type="cellIs" priority="591" dxfId="0" operator="equal">
      <formula>0</formula>
    </cfRule>
  </conditionalFormatting>
  <conditionalFormatting sqref="A20:A39">
    <cfRule type="cellIs" priority="589" dxfId="0" operator="equal">
      <formula>0</formula>
    </cfRule>
    <cfRule type="cellIs" priority="590" dxfId="116" operator="equal">
      <formula>0</formula>
    </cfRule>
  </conditionalFormatting>
  <conditionalFormatting sqref="S62:S65 S67 S48:S49 F48:H67 C68:R68">
    <cfRule type="cellIs" priority="558" dxfId="33" operator="equal" stopIfTrue="1">
      <formula>0</formula>
    </cfRule>
  </conditionalFormatting>
  <conditionalFormatting sqref="S62:S65 S67 S48:S49 F48:H67 C68:R68">
    <cfRule type="cellIs" priority="557" dxfId="0" operator="equal">
      <formula>0</formula>
    </cfRule>
  </conditionalFormatting>
  <conditionalFormatting sqref="S95 S76:S78 F76:H95 C96:R96">
    <cfRule type="cellIs" priority="536" dxfId="33" operator="equal" stopIfTrue="1">
      <formula>0</formula>
    </cfRule>
  </conditionalFormatting>
  <conditionalFormatting sqref="S95 S76:S78 F76:H95 C96:R96">
    <cfRule type="cellIs" priority="535" dxfId="0" operator="equal">
      <formula>0</formula>
    </cfRule>
  </conditionalFormatting>
  <conditionalFormatting sqref="S104:S109 F104:H123 C124:R124">
    <cfRule type="cellIs" priority="514" dxfId="33" operator="equal" stopIfTrue="1">
      <formula>0</formula>
    </cfRule>
  </conditionalFormatting>
  <conditionalFormatting sqref="S104:S109 F104:H123 C124:R124">
    <cfRule type="cellIs" priority="513" dxfId="0" operator="equal">
      <formula>0</formula>
    </cfRule>
  </conditionalFormatting>
  <conditionalFormatting sqref="A48:A65 A67">
    <cfRule type="cellIs" priority="467" dxfId="0" operator="equal">
      <formula>0</formula>
    </cfRule>
    <cfRule type="cellIs" priority="468" dxfId="116" operator="equal">
      <formula>0</formula>
    </cfRule>
  </conditionalFormatting>
  <conditionalFormatting sqref="C104:C123 E104:E123">
    <cfRule type="cellIs" priority="476" dxfId="33" operator="equal" stopIfTrue="1">
      <formula>0</formula>
    </cfRule>
  </conditionalFormatting>
  <conditionalFormatting sqref="C104:C123 E104:E123">
    <cfRule type="cellIs" priority="475" dxfId="0" operator="equal">
      <formula>0</formula>
    </cfRule>
  </conditionalFormatting>
  <conditionalFormatting sqref="C48:E67">
    <cfRule type="cellIs" priority="480" dxfId="33" operator="equal" stopIfTrue="1">
      <formula>0</formula>
    </cfRule>
  </conditionalFormatting>
  <conditionalFormatting sqref="C48:E67">
    <cfRule type="cellIs" priority="479" dxfId="0" operator="equal">
      <formula>0</formula>
    </cfRule>
  </conditionalFormatting>
  <conditionalFormatting sqref="C76:C95 E76:E95">
    <cfRule type="cellIs" priority="478" dxfId="33" operator="equal" stopIfTrue="1">
      <formula>0</formula>
    </cfRule>
  </conditionalFormatting>
  <conditionalFormatting sqref="C76:C95 E76:E95">
    <cfRule type="cellIs" priority="477" dxfId="0" operator="equal">
      <formula>0</formula>
    </cfRule>
  </conditionalFormatting>
  <conditionalFormatting sqref="A68 B48:B67">
    <cfRule type="cellIs" priority="470" dxfId="33" operator="equal" stopIfTrue="1">
      <formula>0</formula>
    </cfRule>
  </conditionalFormatting>
  <conditionalFormatting sqref="A68 B48:B67">
    <cfRule type="cellIs" priority="469" dxfId="0" operator="equal">
      <formula>0</formula>
    </cfRule>
  </conditionalFormatting>
  <conditionalFormatting sqref="A96 B76:B95">
    <cfRule type="cellIs" priority="462" dxfId="33" operator="equal" stopIfTrue="1">
      <formula>0</formula>
    </cfRule>
  </conditionalFormatting>
  <conditionalFormatting sqref="A96 B76:B95">
    <cfRule type="cellIs" priority="461" dxfId="0" operator="equal">
      <formula>0</formula>
    </cfRule>
  </conditionalFormatting>
  <conditionalFormatting sqref="A76:A95">
    <cfRule type="cellIs" priority="459" dxfId="0" operator="equal">
      <formula>0</formula>
    </cfRule>
    <cfRule type="cellIs" priority="460" dxfId="116" operator="equal">
      <formula>0</formula>
    </cfRule>
  </conditionalFormatting>
  <conditionalFormatting sqref="A124 B104:B123">
    <cfRule type="cellIs" priority="454" dxfId="33" operator="equal" stopIfTrue="1">
      <formula>0</formula>
    </cfRule>
  </conditionalFormatting>
  <conditionalFormatting sqref="A124 B104:B123">
    <cfRule type="cellIs" priority="453" dxfId="0" operator="equal">
      <formula>0</formula>
    </cfRule>
  </conditionalFormatting>
  <conditionalFormatting sqref="A104:A123">
    <cfRule type="cellIs" priority="451" dxfId="0" operator="equal">
      <formula>0</formula>
    </cfRule>
    <cfRule type="cellIs" priority="452" dxfId="116" operator="equal">
      <formula>0</formula>
    </cfRule>
  </conditionalFormatting>
  <conditionalFormatting sqref="S22:S26">
    <cfRule type="cellIs" priority="446" dxfId="33" operator="equal" stopIfTrue="1">
      <formula>0</formula>
    </cfRule>
  </conditionalFormatting>
  <conditionalFormatting sqref="S22:S26">
    <cfRule type="cellIs" priority="445" dxfId="0" operator="equal">
      <formula>0</formula>
    </cfRule>
  </conditionalFormatting>
  <conditionalFormatting sqref="S27:S30 S36">
    <cfRule type="cellIs" priority="440" dxfId="33" operator="equal" stopIfTrue="1">
      <formula>0</formula>
    </cfRule>
  </conditionalFormatting>
  <conditionalFormatting sqref="S27:S30 S36">
    <cfRule type="cellIs" priority="439" dxfId="0" operator="equal">
      <formula>0</formula>
    </cfRule>
  </conditionalFormatting>
  <conditionalFormatting sqref="S32:S35">
    <cfRule type="cellIs" priority="434" dxfId="33" operator="equal" stopIfTrue="1">
      <formula>0</formula>
    </cfRule>
  </conditionalFormatting>
  <conditionalFormatting sqref="S32:S35">
    <cfRule type="cellIs" priority="433" dxfId="0" operator="equal">
      <formula>0</formula>
    </cfRule>
  </conditionalFormatting>
  <conditionalFormatting sqref="S31">
    <cfRule type="cellIs" priority="428" dxfId="33" operator="equal" stopIfTrue="1">
      <formula>0</formula>
    </cfRule>
  </conditionalFormatting>
  <conditionalFormatting sqref="S31">
    <cfRule type="cellIs" priority="427" dxfId="0" operator="equal">
      <formula>0</formula>
    </cfRule>
  </conditionalFormatting>
  <conditionalFormatting sqref="S58:S61">
    <cfRule type="cellIs" priority="424" dxfId="33" operator="equal" stopIfTrue="1">
      <formula>0</formula>
    </cfRule>
  </conditionalFormatting>
  <conditionalFormatting sqref="S58:S61">
    <cfRule type="cellIs" priority="423" dxfId="0" operator="equal">
      <formula>0</formula>
    </cfRule>
  </conditionalFormatting>
  <conditionalFormatting sqref="A66">
    <cfRule type="cellIs" priority="385" dxfId="0" operator="equal">
      <formula>0</formula>
    </cfRule>
    <cfRule type="cellIs" priority="386" dxfId="116" operator="equal">
      <formula>0</formula>
    </cfRule>
  </conditionalFormatting>
  <conditionalFormatting sqref="S54:S57">
    <cfRule type="cellIs" priority="414" dxfId="33" operator="equal" stopIfTrue="1">
      <formula>0</formula>
    </cfRule>
  </conditionalFormatting>
  <conditionalFormatting sqref="S54:S57">
    <cfRule type="cellIs" priority="413" dxfId="0" operator="equal">
      <formula>0</formula>
    </cfRule>
  </conditionalFormatting>
  <conditionalFormatting sqref="S50:S53">
    <cfRule type="cellIs" priority="404" dxfId="33" operator="equal" stopIfTrue="1">
      <formula>0</formula>
    </cfRule>
  </conditionalFormatting>
  <conditionalFormatting sqref="S50:S53">
    <cfRule type="cellIs" priority="403" dxfId="0" operator="equal">
      <formula>0</formula>
    </cfRule>
  </conditionalFormatting>
  <conditionalFormatting sqref="S66">
    <cfRule type="cellIs" priority="394" dxfId="33" operator="equal" stopIfTrue="1">
      <formula>0</formula>
    </cfRule>
  </conditionalFormatting>
  <conditionalFormatting sqref="S66">
    <cfRule type="cellIs" priority="393" dxfId="0" operator="equal">
      <formula>0</formula>
    </cfRule>
  </conditionalFormatting>
  <conditionalFormatting sqref="S91:S94">
    <cfRule type="cellIs" priority="384" dxfId="33" operator="equal" stopIfTrue="1">
      <formula>0</formula>
    </cfRule>
  </conditionalFormatting>
  <conditionalFormatting sqref="S91:S94">
    <cfRule type="cellIs" priority="383" dxfId="0" operator="equal">
      <formula>0</formula>
    </cfRule>
  </conditionalFormatting>
  <conditionalFormatting sqref="S87:S90">
    <cfRule type="cellIs" priority="374" dxfId="33" operator="equal" stopIfTrue="1">
      <formula>0</formula>
    </cfRule>
  </conditionalFormatting>
  <conditionalFormatting sqref="S87:S90">
    <cfRule type="cellIs" priority="373" dxfId="0" operator="equal">
      <formula>0</formula>
    </cfRule>
  </conditionalFormatting>
  <conditionalFormatting sqref="S83:S86">
    <cfRule type="cellIs" priority="364" dxfId="33" operator="equal" stopIfTrue="1">
      <formula>0</formula>
    </cfRule>
  </conditionalFormatting>
  <conditionalFormatting sqref="S83:S86">
    <cfRule type="cellIs" priority="363" dxfId="0" operator="equal">
      <formula>0</formula>
    </cfRule>
  </conditionalFormatting>
  <conditionalFormatting sqref="S79:S82">
    <cfRule type="cellIs" priority="354" dxfId="33" operator="equal" stopIfTrue="1">
      <formula>0</formula>
    </cfRule>
  </conditionalFormatting>
  <conditionalFormatting sqref="S79:S82">
    <cfRule type="cellIs" priority="353" dxfId="0" operator="equal">
      <formula>0</formula>
    </cfRule>
  </conditionalFormatting>
  <conditionalFormatting sqref="S110:S114">
    <cfRule type="cellIs" priority="344" dxfId="33" operator="equal" stopIfTrue="1">
      <formula>0</formula>
    </cfRule>
  </conditionalFormatting>
  <conditionalFormatting sqref="S110:S114">
    <cfRule type="cellIs" priority="343" dxfId="0" operator="equal">
      <formula>0</formula>
    </cfRule>
  </conditionalFormatting>
  <conditionalFormatting sqref="S120:S123">
    <cfRule type="cellIs" priority="334" dxfId="33" operator="equal" stopIfTrue="1">
      <formula>0</formula>
    </cfRule>
  </conditionalFormatting>
  <conditionalFormatting sqref="S120:S123">
    <cfRule type="cellIs" priority="333" dxfId="0" operator="equal">
      <formula>0</formula>
    </cfRule>
  </conditionalFormatting>
  <conditionalFormatting sqref="S115:S119">
    <cfRule type="cellIs" priority="324" dxfId="33" operator="equal" stopIfTrue="1">
      <formula>0</formula>
    </cfRule>
  </conditionalFormatting>
  <conditionalFormatting sqref="S115:S119">
    <cfRule type="cellIs" priority="323" dxfId="0" operator="equal">
      <formula>0</formula>
    </cfRule>
  </conditionalFormatting>
  <conditionalFormatting sqref="S132:S137 F132:H151 C152:R152">
    <cfRule type="cellIs" priority="308" dxfId="33" operator="equal" stopIfTrue="1">
      <formula>0</formula>
    </cfRule>
  </conditionalFormatting>
  <conditionalFormatting sqref="S132:S137 F132:H151 C152:R152">
    <cfRule type="cellIs" priority="307" dxfId="0" operator="equal">
      <formula>0</formula>
    </cfRule>
  </conditionalFormatting>
  <conditionalFormatting sqref="C132:C151 E132:E151">
    <cfRule type="cellIs" priority="304" dxfId="33" operator="equal" stopIfTrue="1">
      <formula>0</formula>
    </cfRule>
  </conditionalFormatting>
  <conditionalFormatting sqref="C132:C151 E132:E151">
    <cfRule type="cellIs" priority="303" dxfId="0" operator="equal">
      <formula>0</formula>
    </cfRule>
  </conditionalFormatting>
  <conditionalFormatting sqref="A152 B132:B151">
    <cfRule type="cellIs" priority="302" dxfId="33" operator="equal" stopIfTrue="1">
      <formula>0</formula>
    </cfRule>
  </conditionalFormatting>
  <conditionalFormatting sqref="A152 B132:B151">
    <cfRule type="cellIs" priority="301" dxfId="0" operator="equal">
      <formula>0</formula>
    </cfRule>
  </conditionalFormatting>
  <conditionalFormatting sqref="A132:A151">
    <cfRule type="cellIs" priority="299" dxfId="0" operator="equal">
      <formula>0</formula>
    </cfRule>
    <cfRule type="cellIs" priority="300" dxfId="116" operator="equal">
      <formula>0</formula>
    </cfRule>
  </conditionalFormatting>
  <conditionalFormatting sqref="S138:S142">
    <cfRule type="cellIs" priority="298" dxfId="33" operator="equal" stopIfTrue="1">
      <formula>0</formula>
    </cfRule>
  </conditionalFormatting>
  <conditionalFormatting sqref="S138:S142">
    <cfRule type="cellIs" priority="297" dxfId="0" operator="equal">
      <formula>0</formula>
    </cfRule>
  </conditionalFormatting>
  <conditionalFormatting sqref="S148:S151">
    <cfRule type="cellIs" priority="294" dxfId="33" operator="equal" stopIfTrue="1">
      <formula>0</formula>
    </cfRule>
  </conditionalFormatting>
  <conditionalFormatting sqref="S148:S151">
    <cfRule type="cellIs" priority="293" dxfId="0" operator="equal">
      <formula>0</formula>
    </cfRule>
  </conditionalFormatting>
  <conditionalFormatting sqref="S143:S147">
    <cfRule type="cellIs" priority="290" dxfId="33" operator="equal" stopIfTrue="1">
      <formula>0</formula>
    </cfRule>
  </conditionalFormatting>
  <conditionalFormatting sqref="S143:S147">
    <cfRule type="cellIs" priority="289" dxfId="0" operator="equal">
      <formula>0</formula>
    </cfRule>
  </conditionalFormatting>
  <conditionalFormatting sqref="S160:S165 F160:H179 C180:R180">
    <cfRule type="cellIs" priority="284" dxfId="33" operator="equal" stopIfTrue="1">
      <formula>0</formula>
    </cfRule>
  </conditionalFormatting>
  <conditionalFormatting sqref="S160:S165 F160:H179 C180:R180">
    <cfRule type="cellIs" priority="283" dxfId="0" operator="equal">
      <formula>0</formula>
    </cfRule>
  </conditionalFormatting>
  <conditionalFormatting sqref="C160:C179 E160:E179">
    <cfRule type="cellIs" priority="280" dxfId="33" operator="equal" stopIfTrue="1">
      <formula>0</formula>
    </cfRule>
  </conditionalFormatting>
  <conditionalFormatting sqref="C160:C179 E160:E179">
    <cfRule type="cellIs" priority="279" dxfId="0" operator="equal">
      <formula>0</formula>
    </cfRule>
  </conditionalFormatting>
  <conditionalFormatting sqref="A180 B160:B179">
    <cfRule type="cellIs" priority="278" dxfId="33" operator="equal" stopIfTrue="1">
      <formula>0</formula>
    </cfRule>
  </conditionalFormatting>
  <conditionalFormatting sqref="A180 B160:B179">
    <cfRule type="cellIs" priority="277" dxfId="0" operator="equal">
      <formula>0</formula>
    </cfRule>
  </conditionalFormatting>
  <conditionalFormatting sqref="A160:A179">
    <cfRule type="cellIs" priority="275" dxfId="0" operator="equal">
      <formula>0</formula>
    </cfRule>
    <cfRule type="cellIs" priority="276" dxfId="116" operator="equal">
      <formula>0</formula>
    </cfRule>
  </conditionalFormatting>
  <conditionalFormatting sqref="S166:S170">
    <cfRule type="cellIs" priority="274" dxfId="33" operator="equal" stopIfTrue="1">
      <formula>0</formula>
    </cfRule>
  </conditionalFormatting>
  <conditionalFormatting sqref="S166:S170">
    <cfRule type="cellIs" priority="273" dxfId="0" operator="equal">
      <formula>0</formula>
    </cfRule>
  </conditionalFormatting>
  <conditionalFormatting sqref="S176:S179">
    <cfRule type="cellIs" priority="270" dxfId="33" operator="equal" stopIfTrue="1">
      <formula>0</formula>
    </cfRule>
  </conditionalFormatting>
  <conditionalFormatting sqref="S176:S179">
    <cfRule type="cellIs" priority="269" dxfId="0" operator="equal">
      <formula>0</formula>
    </cfRule>
  </conditionalFormatting>
  <conditionalFormatting sqref="S171:S175">
    <cfRule type="cellIs" priority="266" dxfId="33" operator="equal" stopIfTrue="1">
      <formula>0</formula>
    </cfRule>
  </conditionalFormatting>
  <conditionalFormatting sqref="S171:S175">
    <cfRule type="cellIs" priority="265" dxfId="0" operator="equal">
      <formula>0</formula>
    </cfRule>
  </conditionalFormatting>
  <conditionalFormatting sqref="J20:J39">
    <cfRule type="cellIs" priority="260" dxfId="33" operator="equal" stopIfTrue="1">
      <formula>0</formula>
    </cfRule>
  </conditionalFormatting>
  <conditionalFormatting sqref="J20:J39">
    <cfRule type="cellIs" priority="259" dxfId="0" operator="equal">
      <formula>0</formula>
    </cfRule>
  </conditionalFormatting>
  <conditionalFormatting sqref="M20:M39">
    <cfRule type="cellIs" priority="246" dxfId="33" operator="equal" stopIfTrue="1">
      <formula>0</formula>
    </cfRule>
  </conditionalFormatting>
  <conditionalFormatting sqref="M20:M39">
    <cfRule type="cellIs" priority="245" dxfId="0" operator="equal">
      <formula>0</formula>
    </cfRule>
  </conditionalFormatting>
  <conditionalFormatting sqref="K20:K39">
    <cfRule type="cellIs" priority="224" dxfId="33" operator="equal" stopIfTrue="1">
      <formula>0</formula>
    </cfRule>
  </conditionalFormatting>
  <conditionalFormatting sqref="K20:K39">
    <cfRule type="cellIs" priority="223" dxfId="0" operator="equal">
      <formula>0</formula>
    </cfRule>
  </conditionalFormatting>
  <conditionalFormatting sqref="P20:P39">
    <cfRule type="cellIs" priority="172" dxfId="33" operator="equal" stopIfTrue="1">
      <formula>0</formula>
    </cfRule>
  </conditionalFormatting>
  <conditionalFormatting sqref="P20:P39">
    <cfRule type="cellIs" priority="171" dxfId="0" operator="equal">
      <formula>0</formula>
    </cfRule>
  </conditionalFormatting>
  <conditionalFormatting sqref="P48:P67">
    <cfRule type="cellIs" priority="64" dxfId="33" operator="equal" stopIfTrue="1">
      <formula>0</formula>
    </cfRule>
  </conditionalFormatting>
  <conditionalFormatting sqref="P48:P67">
    <cfRule type="cellIs" priority="63" dxfId="0" operator="equal">
      <formula>0</formula>
    </cfRule>
  </conditionalFormatting>
  <conditionalFormatting sqref="Q48:Q67">
    <cfRule type="cellIs" priority="62" dxfId="33" operator="equal" stopIfTrue="1">
      <formula>0</formula>
    </cfRule>
  </conditionalFormatting>
  <conditionalFormatting sqref="Q48:Q67">
    <cfRule type="cellIs" priority="61" dxfId="0" operator="equal">
      <formula>0</formula>
    </cfRule>
  </conditionalFormatting>
  <conditionalFormatting sqref="I76:I95 L76:L95 R76:R95 N76:O95">
    <cfRule type="cellIs" priority="60" dxfId="33" operator="equal" stopIfTrue="1">
      <formula>0</formula>
    </cfRule>
  </conditionalFormatting>
  <conditionalFormatting sqref="I76:I95 L76:L95 R76:R95 N76:O95">
    <cfRule type="cellIs" priority="59" dxfId="0" operator="equal">
      <formula>0</formula>
    </cfRule>
  </conditionalFormatting>
  <conditionalFormatting sqref="J76:J95">
    <cfRule type="cellIs" priority="58" dxfId="33" operator="equal" stopIfTrue="1">
      <formula>0</formula>
    </cfRule>
  </conditionalFormatting>
  <conditionalFormatting sqref="J76:J95">
    <cfRule type="cellIs" priority="57" dxfId="0" operator="equal">
      <formula>0</formula>
    </cfRule>
  </conditionalFormatting>
  <conditionalFormatting sqref="M76:M95">
    <cfRule type="cellIs" priority="56" dxfId="33" operator="equal" stopIfTrue="1">
      <formula>0</formula>
    </cfRule>
  </conditionalFormatting>
  <conditionalFormatting sqref="M76:M95">
    <cfRule type="cellIs" priority="55" dxfId="0" operator="equal">
      <formula>0</formula>
    </cfRule>
  </conditionalFormatting>
  <conditionalFormatting sqref="K48:K67">
    <cfRule type="cellIs" priority="66" dxfId="33" operator="equal" stopIfTrue="1">
      <formula>0</formula>
    </cfRule>
  </conditionalFormatting>
  <conditionalFormatting sqref="K48:K67">
    <cfRule type="cellIs" priority="65" dxfId="0" operator="equal">
      <formula>0</formula>
    </cfRule>
  </conditionalFormatting>
  <conditionalFormatting sqref="M48:M67">
    <cfRule type="cellIs" priority="68" dxfId="33" operator="equal" stopIfTrue="1">
      <formula>0</formula>
    </cfRule>
  </conditionalFormatting>
  <conditionalFormatting sqref="M48:M67">
    <cfRule type="cellIs" priority="67" dxfId="0" operator="equal">
      <formula>0</formula>
    </cfRule>
  </conditionalFormatting>
  <conditionalFormatting sqref="J48:J67">
    <cfRule type="cellIs" priority="70" dxfId="33" operator="equal" stopIfTrue="1">
      <formula>0</formula>
    </cfRule>
  </conditionalFormatting>
  <conditionalFormatting sqref="J48:J67">
    <cfRule type="cellIs" priority="69" dxfId="0" operator="equal">
      <formula>0</formula>
    </cfRule>
  </conditionalFormatting>
  <conditionalFormatting sqref="I48:I67 L48:L67 R48:R67 N48:O67">
    <cfRule type="cellIs" priority="72" dxfId="33" operator="equal" stopIfTrue="1">
      <formula>0</formula>
    </cfRule>
  </conditionalFormatting>
  <conditionalFormatting sqref="I48:I67 L48:L67 R48:R67 N48:O67">
    <cfRule type="cellIs" priority="71" dxfId="0" operator="equal">
      <formula>0</formula>
    </cfRule>
  </conditionalFormatting>
  <conditionalFormatting sqref="Q76:Q95">
    <cfRule type="cellIs" priority="50" dxfId="33" operator="equal" stopIfTrue="1">
      <formula>0</formula>
    </cfRule>
  </conditionalFormatting>
  <conditionalFormatting sqref="Q76:Q95">
    <cfRule type="cellIs" priority="49" dxfId="0" operator="equal">
      <formula>0</formula>
    </cfRule>
  </conditionalFormatting>
  <conditionalFormatting sqref="Q20:Q39">
    <cfRule type="cellIs" priority="74" dxfId="33" operator="equal" stopIfTrue="1">
      <formula>0</formula>
    </cfRule>
  </conditionalFormatting>
  <conditionalFormatting sqref="Q20:Q39">
    <cfRule type="cellIs" priority="73" dxfId="0" operator="equal">
      <formula>0</formula>
    </cfRule>
  </conditionalFormatting>
  <conditionalFormatting sqref="K76:K95">
    <cfRule type="cellIs" priority="54" dxfId="33" operator="equal" stopIfTrue="1">
      <formula>0</formula>
    </cfRule>
  </conditionalFormatting>
  <conditionalFormatting sqref="K76:K95">
    <cfRule type="cellIs" priority="53" dxfId="0" operator="equal">
      <formula>0</formula>
    </cfRule>
  </conditionalFormatting>
  <conditionalFormatting sqref="P76:P95">
    <cfRule type="cellIs" priority="52" dxfId="33" operator="equal" stopIfTrue="1">
      <formula>0</formula>
    </cfRule>
  </conditionalFormatting>
  <conditionalFormatting sqref="P76:P95">
    <cfRule type="cellIs" priority="51" dxfId="0" operator="equal">
      <formula>0</formula>
    </cfRule>
  </conditionalFormatting>
  <conditionalFormatting sqref="I104:I123 L104:L123 R104:R123 N104:O123">
    <cfRule type="cellIs" priority="48" dxfId="33" operator="equal" stopIfTrue="1">
      <formula>0</formula>
    </cfRule>
  </conditionalFormatting>
  <conditionalFormatting sqref="I104:I123 L104:L123 R104:R123 N104:O123">
    <cfRule type="cellIs" priority="47" dxfId="0" operator="equal">
      <formula>0</formula>
    </cfRule>
  </conditionalFormatting>
  <conditionalFormatting sqref="J104:J123">
    <cfRule type="cellIs" priority="46" dxfId="33" operator="equal" stopIfTrue="1">
      <formula>0</formula>
    </cfRule>
  </conditionalFormatting>
  <conditionalFormatting sqref="J104:J123">
    <cfRule type="cellIs" priority="45" dxfId="0" operator="equal">
      <formula>0</formula>
    </cfRule>
  </conditionalFormatting>
  <conditionalFormatting sqref="M104:M123">
    <cfRule type="cellIs" priority="44" dxfId="33" operator="equal" stopIfTrue="1">
      <formula>0</formula>
    </cfRule>
  </conditionalFormatting>
  <conditionalFormatting sqref="M104:M123">
    <cfRule type="cellIs" priority="43" dxfId="0" operator="equal">
      <formula>0</formula>
    </cfRule>
  </conditionalFormatting>
  <conditionalFormatting sqref="K104:K123">
    <cfRule type="cellIs" priority="42" dxfId="33" operator="equal" stopIfTrue="1">
      <formula>0</formula>
    </cfRule>
  </conditionalFormatting>
  <conditionalFormatting sqref="K104:K123">
    <cfRule type="cellIs" priority="41" dxfId="0" operator="equal">
      <formula>0</formula>
    </cfRule>
  </conditionalFormatting>
  <conditionalFormatting sqref="P104:P123">
    <cfRule type="cellIs" priority="40" dxfId="33" operator="equal" stopIfTrue="1">
      <formula>0</formula>
    </cfRule>
  </conditionalFormatting>
  <conditionalFormatting sqref="P104:P123">
    <cfRule type="cellIs" priority="39" dxfId="0" operator="equal">
      <formula>0</formula>
    </cfRule>
  </conditionalFormatting>
  <conditionalFormatting sqref="Q104:Q123">
    <cfRule type="cellIs" priority="38" dxfId="33" operator="equal" stopIfTrue="1">
      <formula>0</formula>
    </cfRule>
  </conditionalFormatting>
  <conditionalFormatting sqref="Q104:Q123">
    <cfRule type="cellIs" priority="37" dxfId="0" operator="equal">
      <formula>0</formula>
    </cfRule>
  </conditionalFormatting>
  <conditionalFormatting sqref="I132:I151 L132:L151 R132:R151 N132:O151">
    <cfRule type="cellIs" priority="36" dxfId="33" operator="equal" stopIfTrue="1">
      <formula>0</formula>
    </cfRule>
  </conditionalFormatting>
  <conditionalFormatting sqref="I132:I151 L132:L151 R132:R151 N132:O151">
    <cfRule type="cellIs" priority="35" dxfId="0" operator="equal">
      <formula>0</formula>
    </cfRule>
  </conditionalFormatting>
  <conditionalFormatting sqref="J132:J151">
    <cfRule type="cellIs" priority="34" dxfId="33" operator="equal" stopIfTrue="1">
      <formula>0</formula>
    </cfRule>
  </conditionalFormatting>
  <conditionalFormatting sqref="J132:J151">
    <cfRule type="cellIs" priority="33" dxfId="0" operator="equal">
      <formula>0</formula>
    </cfRule>
  </conditionalFormatting>
  <conditionalFormatting sqref="M132:M151">
    <cfRule type="cellIs" priority="32" dxfId="33" operator="equal" stopIfTrue="1">
      <formula>0</formula>
    </cfRule>
  </conditionalFormatting>
  <conditionalFormatting sqref="M132:M151">
    <cfRule type="cellIs" priority="31" dxfId="0" operator="equal">
      <formula>0</formula>
    </cfRule>
  </conditionalFormatting>
  <conditionalFormatting sqref="K132:K151">
    <cfRule type="cellIs" priority="30" dxfId="33" operator="equal" stopIfTrue="1">
      <formula>0</formula>
    </cfRule>
  </conditionalFormatting>
  <conditionalFormatting sqref="K132:K151">
    <cfRule type="cellIs" priority="29" dxfId="0" operator="equal">
      <formula>0</formula>
    </cfRule>
  </conditionalFormatting>
  <conditionalFormatting sqref="P132:P151">
    <cfRule type="cellIs" priority="28" dxfId="33" operator="equal" stopIfTrue="1">
      <formula>0</formula>
    </cfRule>
  </conditionalFormatting>
  <conditionalFormatting sqref="P132:P151">
    <cfRule type="cellIs" priority="27" dxfId="0" operator="equal">
      <formula>0</formula>
    </cfRule>
  </conditionalFormatting>
  <conditionalFormatting sqref="J160:J179">
    <cfRule type="cellIs" priority="22" dxfId="33" operator="equal" stopIfTrue="1">
      <formula>0</formula>
    </cfRule>
  </conditionalFormatting>
  <conditionalFormatting sqref="J160:J179">
    <cfRule type="cellIs" priority="21" dxfId="0" operator="equal">
      <formula>0</formula>
    </cfRule>
  </conditionalFormatting>
  <conditionalFormatting sqref="I160:I179 L160:L179 R160:R179 N160:O179">
    <cfRule type="cellIs" priority="24" dxfId="33" operator="equal" stopIfTrue="1">
      <formula>0</formula>
    </cfRule>
  </conditionalFormatting>
  <conditionalFormatting sqref="I160:I179 L160:L179 R160:R179 N160:O179">
    <cfRule type="cellIs" priority="23" dxfId="0" operator="equal">
      <formula>0</formula>
    </cfRule>
  </conditionalFormatting>
  <conditionalFormatting sqref="M160:M179">
    <cfRule type="cellIs" priority="20" dxfId="33" operator="equal" stopIfTrue="1">
      <formula>0</formula>
    </cfRule>
  </conditionalFormatting>
  <conditionalFormatting sqref="M160:M179">
    <cfRule type="cellIs" priority="19" dxfId="0" operator="equal">
      <formula>0</formula>
    </cfRule>
  </conditionalFormatting>
  <conditionalFormatting sqref="K160:K179">
    <cfRule type="cellIs" priority="18" dxfId="33" operator="equal" stopIfTrue="1">
      <formula>0</formula>
    </cfRule>
  </conditionalFormatting>
  <conditionalFormatting sqref="K160:K179">
    <cfRule type="cellIs" priority="17" dxfId="0" operator="equal">
      <formula>0</formula>
    </cfRule>
  </conditionalFormatting>
  <conditionalFormatting sqref="P160:P179">
    <cfRule type="cellIs" priority="16" dxfId="33" operator="equal" stopIfTrue="1">
      <formula>0</formula>
    </cfRule>
  </conditionalFormatting>
  <conditionalFormatting sqref="P160:P179">
    <cfRule type="cellIs" priority="15" dxfId="0" operator="equal">
      <formula>0</formula>
    </cfRule>
  </conditionalFormatting>
  <conditionalFormatting sqref="Q132:Q151">
    <cfRule type="cellIs" priority="12" dxfId="33" operator="equal" stopIfTrue="1">
      <formula>0</formula>
    </cfRule>
  </conditionalFormatting>
  <conditionalFormatting sqref="Q132:Q151">
    <cfRule type="cellIs" priority="11" dxfId="0" operator="equal">
      <formula>0</formula>
    </cfRule>
  </conditionalFormatting>
  <conditionalFormatting sqref="Q160:Q179">
    <cfRule type="cellIs" priority="10" dxfId="33" operator="equal" stopIfTrue="1">
      <formula>0</formula>
    </cfRule>
  </conditionalFormatting>
  <conditionalFormatting sqref="Q160:Q179">
    <cfRule type="cellIs" priority="9" dxfId="0" operator="equal">
      <formula>0</formula>
    </cfRule>
  </conditionalFormatting>
  <conditionalFormatting sqref="D76:D95">
    <cfRule type="cellIs" priority="8" dxfId="33" operator="equal" stopIfTrue="1">
      <formula>0</formula>
    </cfRule>
  </conditionalFormatting>
  <conditionalFormatting sqref="D76:D95">
    <cfRule type="cellIs" priority="7" dxfId="0" operator="equal">
      <formula>0</formula>
    </cfRule>
  </conditionalFormatting>
  <conditionalFormatting sqref="D104:D123">
    <cfRule type="cellIs" priority="6" dxfId="33" operator="equal" stopIfTrue="1">
      <formula>0</formula>
    </cfRule>
  </conditionalFormatting>
  <conditionalFormatting sqref="D104:D123">
    <cfRule type="cellIs" priority="5" dxfId="0" operator="equal">
      <formula>0</formula>
    </cfRule>
  </conditionalFormatting>
  <conditionalFormatting sqref="D132:D151">
    <cfRule type="cellIs" priority="4" dxfId="33" operator="equal" stopIfTrue="1">
      <formula>0</formula>
    </cfRule>
  </conditionalFormatting>
  <conditionalFormatting sqref="D132:D151">
    <cfRule type="cellIs" priority="3" dxfId="0" operator="equal">
      <formula>0</formula>
    </cfRule>
  </conditionalFormatting>
  <conditionalFormatting sqref="D160:D179">
    <cfRule type="cellIs" priority="2" dxfId="33" operator="equal" stopIfTrue="1">
      <formula>0</formula>
    </cfRule>
  </conditionalFormatting>
  <conditionalFormatting sqref="D160:D179">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0" fitToWidth="1" horizontalDpi="600" verticalDpi="600" orientation="portrait" paperSize="9" scale="19" r:id="rId2"/>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H453"/>
  <sheetViews>
    <sheetView view="pageBreakPreview" zoomScale="25" zoomScaleNormal="25" zoomScaleSheetLayoutView="25" zoomScalePageLayoutView="0" workbookViewId="0" topLeftCell="A1">
      <selection activeCell="I16" sqref="I16"/>
    </sheetView>
  </sheetViews>
  <sheetFormatPr defaultColWidth="9.140625" defaultRowHeight="12.75"/>
  <cols>
    <col min="1" max="1" width="20.140625" style="551" bestFit="1" customWidth="1"/>
    <col min="2" max="2" width="87.57421875" style="562" bestFit="1" customWidth="1"/>
    <col min="3" max="3" width="55.00390625" style="562" bestFit="1" customWidth="1"/>
    <col min="4" max="4" width="52.140625" style="562" bestFit="1" customWidth="1"/>
    <col min="5" max="9" width="45.7109375" style="562" customWidth="1"/>
    <col min="10" max="13" width="35.7109375" style="562" customWidth="1"/>
    <col min="14" max="14" width="45.7109375" style="562" customWidth="1"/>
    <col min="15" max="18" width="35.7109375" style="562" customWidth="1"/>
    <col min="19" max="19" width="68.140625" style="562" bestFit="1" customWidth="1"/>
    <col min="20" max="20" width="9.140625" style="545" customWidth="1"/>
    <col min="21" max="21" width="15.7109375" style="545" customWidth="1"/>
    <col min="22" max="33" width="20.7109375" style="545" customWidth="1"/>
    <col min="34" max="34" width="30.421875" style="545" bestFit="1" customWidth="1"/>
    <col min="35" max="16384" width="9.140625" style="545" customWidth="1"/>
  </cols>
  <sheetData>
    <row r="1" spans="1:19" ht="39.75" customHeight="1">
      <c r="A1" s="543"/>
      <c r="B1" s="544"/>
      <c r="C1" s="544"/>
      <c r="D1" s="544"/>
      <c r="E1" s="544"/>
      <c r="F1" s="544"/>
      <c r="G1" s="544"/>
      <c r="H1" s="544"/>
      <c r="I1" s="544"/>
      <c r="J1" s="544"/>
      <c r="K1" s="544"/>
      <c r="L1" s="544"/>
      <c r="M1" s="544"/>
      <c r="N1" s="544"/>
      <c r="O1" s="544"/>
      <c r="P1" s="544"/>
      <c r="Q1" s="544"/>
      <c r="R1" s="544"/>
      <c r="S1" s="563"/>
    </row>
    <row r="2" spans="1:19" ht="39.75" customHeight="1">
      <c r="A2" s="898"/>
      <c r="B2" s="899"/>
      <c r="C2" s="899"/>
      <c r="D2" s="899"/>
      <c r="E2" s="899"/>
      <c r="F2" s="899"/>
      <c r="G2" s="899"/>
      <c r="H2" s="899"/>
      <c r="I2" s="899"/>
      <c r="J2" s="899"/>
      <c r="K2" s="899"/>
      <c r="L2" s="899"/>
      <c r="M2" s="899"/>
      <c r="N2" s="899"/>
      <c r="O2" s="899"/>
      <c r="P2" s="899"/>
      <c r="Q2" s="899"/>
      <c r="R2" s="899"/>
      <c r="S2" s="900"/>
    </row>
    <row r="3" spans="1:19" ht="39.75" customHeight="1">
      <c r="A3" s="901"/>
      <c r="B3" s="902"/>
      <c r="C3" s="902"/>
      <c r="D3" s="902"/>
      <c r="E3" s="902"/>
      <c r="F3" s="902"/>
      <c r="G3" s="902"/>
      <c r="H3" s="902"/>
      <c r="I3" s="902"/>
      <c r="J3" s="902"/>
      <c r="K3" s="902"/>
      <c r="L3" s="902"/>
      <c r="M3" s="902"/>
      <c r="N3" s="902"/>
      <c r="O3" s="902"/>
      <c r="P3" s="902"/>
      <c r="Q3" s="902"/>
      <c r="R3" s="902"/>
      <c r="S3" s="903"/>
    </row>
    <row r="4" spans="1:19" ht="39.75" customHeight="1">
      <c r="A4" s="901"/>
      <c r="B4" s="902"/>
      <c r="C4" s="902"/>
      <c r="D4" s="902"/>
      <c r="E4" s="902"/>
      <c r="F4" s="902"/>
      <c r="G4" s="902"/>
      <c r="H4" s="902"/>
      <c r="I4" s="902"/>
      <c r="J4" s="902"/>
      <c r="K4" s="902"/>
      <c r="L4" s="902"/>
      <c r="M4" s="902"/>
      <c r="N4" s="902"/>
      <c r="O4" s="902"/>
      <c r="P4" s="902"/>
      <c r="Q4" s="902"/>
      <c r="R4" s="902"/>
      <c r="S4" s="903"/>
    </row>
    <row r="5" spans="1:19" ht="39.75" customHeight="1">
      <c r="A5" s="898" t="s">
        <v>20</v>
      </c>
      <c r="B5" s="899"/>
      <c r="C5" s="899"/>
      <c r="D5" s="899"/>
      <c r="E5" s="899"/>
      <c r="F5" s="899"/>
      <c r="G5" s="899"/>
      <c r="H5" s="899"/>
      <c r="I5" s="899"/>
      <c r="J5" s="899"/>
      <c r="K5" s="899"/>
      <c r="L5" s="899"/>
      <c r="M5" s="899"/>
      <c r="N5" s="899"/>
      <c r="O5" s="899"/>
      <c r="P5" s="899"/>
      <c r="Q5" s="899"/>
      <c r="R5" s="899"/>
      <c r="S5" s="900"/>
    </row>
    <row r="6" spans="1:19" ht="39.75" customHeight="1">
      <c r="A6" s="901" t="s">
        <v>194</v>
      </c>
      <c r="B6" s="902"/>
      <c r="C6" s="902"/>
      <c r="D6" s="902"/>
      <c r="E6" s="902"/>
      <c r="F6" s="902"/>
      <c r="G6" s="902"/>
      <c r="H6" s="902"/>
      <c r="I6" s="902"/>
      <c r="J6" s="902"/>
      <c r="K6" s="902"/>
      <c r="L6" s="902"/>
      <c r="M6" s="902"/>
      <c r="N6" s="902"/>
      <c r="O6" s="902"/>
      <c r="P6" s="902"/>
      <c r="Q6" s="902"/>
      <c r="R6" s="902"/>
      <c r="S6" s="903"/>
    </row>
    <row r="7" spans="1:19" ht="39.75" customHeight="1">
      <c r="A7" s="901" t="s">
        <v>19</v>
      </c>
      <c r="B7" s="902"/>
      <c r="C7" s="902"/>
      <c r="D7" s="902"/>
      <c r="E7" s="902"/>
      <c r="F7" s="902"/>
      <c r="G7" s="902"/>
      <c r="H7" s="902"/>
      <c r="I7" s="902"/>
      <c r="J7" s="902"/>
      <c r="K7" s="902"/>
      <c r="L7" s="902"/>
      <c r="M7" s="902"/>
      <c r="N7" s="902"/>
      <c r="O7" s="902"/>
      <c r="P7" s="902"/>
      <c r="Q7" s="902"/>
      <c r="R7" s="902"/>
      <c r="S7" s="903"/>
    </row>
    <row r="8" spans="1:19" ht="54.75" customHeight="1">
      <c r="A8" s="904"/>
      <c r="B8" s="905"/>
      <c r="C8" s="905"/>
      <c r="D8" s="905"/>
      <c r="E8" s="905"/>
      <c r="F8" s="905"/>
      <c r="G8" s="905"/>
      <c r="H8" s="905"/>
      <c r="I8" s="905"/>
      <c r="J8" s="905"/>
      <c r="K8" s="905"/>
      <c r="L8" s="905"/>
      <c r="M8" s="905"/>
      <c r="N8" s="905"/>
      <c r="O8" s="905"/>
      <c r="P8" s="905"/>
      <c r="Q8" s="905"/>
      <c r="R8" s="905"/>
      <c r="S8" s="906"/>
    </row>
    <row r="9" spans="1:19" ht="54.75" customHeight="1">
      <c r="A9" s="643"/>
      <c r="B9" s="639" t="s">
        <v>691</v>
      </c>
      <c r="C9" s="907" t="str">
        <f>'ORÇAMENTO GERAL'!D9</f>
        <v>EXECUÇÃO DOS SERVIÇOS DE DRENAGEM URBANA E TERRAPLENAGEM NA NS. DO CARMO, PASS. KENEDY, PASS. UBIRATAN MACIEL E PASS. ALEGRE - BAIRRO COQUEIRO  - NO MUNICÍPIO DE ANANINDEUA - PA.</v>
      </c>
      <c r="D9" s="908"/>
      <c r="E9" s="908"/>
      <c r="F9" s="908"/>
      <c r="G9" s="908"/>
      <c r="H9" s="908"/>
      <c r="I9" s="908"/>
      <c r="J9" s="908"/>
      <c r="K9" s="908"/>
      <c r="L9" s="908"/>
      <c r="M9" s="908"/>
      <c r="N9" s="908"/>
      <c r="O9" s="908"/>
      <c r="P9" s="908"/>
      <c r="Q9" s="908"/>
      <c r="R9" s="908"/>
      <c r="S9" s="909"/>
    </row>
    <row r="10" spans="1:19" ht="39.75" customHeight="1" thickBot="1">
      <c r="A10" s="546"/>
      <c r="B10" s="547"/>
      <c r="C10" s="547"/>
      <c r="D10" s="547"/>
      <c r="E10" s="547"/>
      <c r="F10" s="547"/>
      <c r="G10" s="547"/>
      <c r="H10" s="547"/>
      <c r="I10" s="547"/>
      <c r="J10" s="547"/>
      <c r="K10" s="547"/>
      <c r="L10" s="547"/>
      <c r="M10" s="547"/>
      <c r="N10" s="547"/>
      <c r="O10" s="547"/>
      <c r="P10" s="547"/>
      <c r="Q10" s="547"/>
      <c r="R10" s="547"/>
      <c r="S10" s="564"/>
    </row>
    <row r="11" spans="1:19" s="548" customFormat="1" ht="99.75" customHeight="1" thickBot="1" thickTop="1">
      <c r="A11" s="918" t="s">
        <v>402</v>
      </c>
      <c r="B11" s="919"/>
      <c r="C11" s="919"/>
      <c r="D11" s="919"/>
      <c r="E11" s="919"/>
      <c r="F11" s="919"/>
      <c r="G11" s="919"/>
      <c r="H11" s="919"/>
      <c r="I11" s="919"/>
      <c r="J11" s="919"/>
      <c r="K11" s="919"/>
      <c r="L11" s="919"/>
      <c r="M11" s="919"/>
      <c r="N11" s="919"/>
      <c r="O11" s="919"/>
      <c r="P11" s="919"/>
      <c r="Q11" s="919"/>
      <c r="R11" s="919"/>
      <c r="S11" s="920"/>
    </row>
    <row r="12" spans="1:19" ht="39.75" customHeight="1" thickBot="1" thickTop="1">
      <c r="A12" s="904"/>
      <c r="B12" s="905"/>
      <c r="C12" s="905"/>
      <c r="D12" s="905"/>
      <c r="E12" s="905"/>
      <c r="F12" s="905"/>
      <c r="G12" s="905"/>
      <c r="H12" s="905"/>
      <c r="I12" s="905"/>
      <c r="J12" s="905"/>
      <c r="K12" s="905"/>
      <c r="L12" s="905"/>
      <c r="M12" s="905"/>
      <c r="N12" s="905"/>
      <c r="O12" s="905"/>
      <c r="P12" s="905"/>
      <c r="Q12" s="905"/>
      <c r="R12" s="905"/>
      <c r="S12" s="906"/>
    </row>
    <row r="13" spans="1:19" ht="39.75" customHeight="1">
      <c r="A13" s="921" t="s">
        <v>383</v>
      </c>
      <c r="B13" s="922"/>
      <c r="C13" s="925" t="s">
        <v>393</v>
      </c>
      <c r="D13" s="928" t="s">
        <v>391</v>
      </c>
      <c r="E13" s="912" t="s">
        <v>384</v>
      </c>
      <c r="F13" s="912"/>
      <c r="G13" s="912"/>
      <c r="H13" s="912"/>
      <c r="I13" s="912"/>
      <c r="J13" s="912" t="s">
        <v>385</v>
      </c>
      <c r="K13" s="912"/>
      <c r="L13" s="912"/>
      <c r="M13" s="912"/>
      <c r="N13" s="912"/>
      <c r="O13" s="912"/>
      <c r="P13" s="912"/>
      <c r="Q13" s="912"/>
      <c r="R13" s="912"/>
      <c r="S13" s="913"/>
    </row>
    <row r="14" spans="1:19" ht="39.75" customHeight="1">
      <c r="A14" s="923"/>
      <c r="B14" s="924"/>
      <c r="C14" s="926"/>
      <c r="D14" s="929"/>
      <c r="E14" s="896"/>
      <c r="F14" s="896"/>
      <c r="G14" s="896"/>
      <c r="H14" s="896"/>
      <c r="I14" s="896"/>
      <c r="J14" s="896" t="s">
        <v>646</v>
      </c>
      <c r="K14" s="896"/>
      <c r="L14" s="896"/>
      <c r="M14" s="896"/>
      <c r="N14" s="896"/>
      <c r="O14" s="896" t="s">
        <v>535</v>
      </c>
      <c r="P14" s="896"/>
      <c r="Q14" s="896"/>
      <c r="R14" s="896"/>
      <c r="S14" s="897"/>
    </row>
    <row r="15" spans="1:34" ht="315">
      <c r="A15" s="923"/>
      <c r="B15" s="924"/>
      <c r="C15" s="926"/>
      <c r="D15" s="929"/>
      <c r="E15" s="738" t="s">
        <v>398</v>
      </c>
      <c r="F15" s="738" t="s">
        <v>512</v>
      </c>
      <c r="G15" s="738" t="s">
        <v>399</v>
      </c>
      <c r="H15" s="738" t="s">
        <v>511</v>
      </c>
      <c r="I15" s="738" t="s">
        <v>387</v>
      </c>
      <c r="J15" s="738" t="s">
        <v>390</v>
      </c>
      <c r="K15" s="738" t="s">
        <v>599</v>
      </c>
      <c r="L15" s="738" t="s">
        <v>591</v>
      </c>
      <c r="M15" s="738" t="s">
        <v>590</v>
      </c>
      <c r="N15" s="738" t="s">
        <v>592</v>
      </c>
      <c r="O15" s="738" t="s">
        <v>390</v>
      </c>
      <c r="P15" s="738" t="s">
        <v>599</v>
      </c>
      <c r="Q15" s="738" t="s">
        <v>591</v>
      </c>
      <c r="R15" s="738" t="s">
        <v>590</v>
      </c>
      <c r="S15" s="739" t="s">
        <v>592</v>
      </c>
      <c r="V15" s="550"/>
      <c r="W15" s="550"/>
      <c r="X15" s="550"/>
      <c r="Y15" s="550"/>
      <c r="Z15" s="550"/>
      <c r="AA15" s="550"/>
      <c r="AB15" s="550"/>
      <c r="AC15" s="550"/>
      <c r="AD15" s="550"/>
      <c r="AE15" s="550"/>
      <c r="AF15" s="550"/>
      <c r="AG15" s="550"/>
      <c r="AH15" s="551"/>
    </row>
    <row r="16" spans="1:34" ht="52.5">
      <c r="A16" s="914" t="s">
        <v>7</v>
      </c>
      <c r="B16" s="916" t="s">
        <v>389</v>
      </c>
      <c r="C16" s="927"/>
      <c r="D16" s="930"/>
      <c r="E16" s="745"/>
      <c r="F16" s="745"/>
      <c r="G16" s="741"/>
      <c r="H16" s="741"/>
      <c r="I16" s="741">
        <v>15</v>
      </c>
      <c r="J16" s="745"/>
      <c r="K16" s="741"/>
      <c r="L16" s="741"/>
      <c r="M16" s="741"/>
      <c r="N16" s="741">
        <v>15</v>
      </c>
      <c r="O16" s="745"/>
      <c r="P16" s="745"/>
      <c r="Q16" s="745"/>
      <c r="R16" s="745"/>
      <c r="S16" s="765">
        <v>15</v>
      </c>
      <c r="V16" s="551"/>
      <c r="W16" s="551"/>
      <c r="X16" s="551"/>
      <c r="Y16" s="551"/>
      <c r="Z16" s="551"/>
      <c r="AA16" s="551"/>
      <c r="AB16" s="551"/>
      <c r="AC16" s="551"/>
      <c r="AD16" s="551"/>
      <c r="AE16" s="551"/>
      <c r="AF16" s="551"/>
      <c r="AG16" s="551"/>
      <c r="AH16" s="551"/>
    </row>
    <row r="17" spans="1:34" ht="53.25" thickBot="1">
      <c r="A17" s="915"/>
      <c r="B17" s="917"/>
      <c r="C17" s="766" t="s">
        <v>55</v>
      </c>
      <c r="D17" s="767" t="s">
        <v>58</v>
      </c>
      <c r="E17" s="768" t="s">
        <v>576</v>
      </c>
      <c r="F17" s="768" t="s">
        <v>8</v>
      </c>
      <c r="G17" s="768" t="s">
        <v>588</v>
      </c>
      <c r="H17" s="768" t="s">
        <v>540</v>
      </c>
      <c r="I17" s="768" t="s">
        <v>589</v>
      </c>
      <c r="J17" s="768" t="s">
        <v>239</v>
      </c>
      <c r="K17" s="768" t="s">
        <v>593</v>
      </c>
      <c r="L17" s="768" t="s">
        <v>595</v>
      </c>
      <c r="M17" s="768" t="s">
        <v>596</v>
      </c>
      <c r="N17" s="768" t="s">
        <v>597</v>
      </c>
      <c r="O17" s="768" t="s">
        <v>594</v>
      </c>
      <c r="P17" s="766" t="s">
        <v>600</v>
      </c>
      <c r="Q17" s="766" t="s">
        <v>601</v>
      </c>
      <c r="R17" s="766" t="s">
        <v>647</v>
      </c>
      <c r="S17" s="769" t="s">
        <v>648</v>
      </c>
      <c r="V17" s="552" t="s">
        <v>403</v>
      </c>
      <c r="W17" s="552" t="s">
        <v>403</v>
      </c>
      <c r="X17" s="552" t="s">
        <v>403</v>
      </c>
      <c r="Y17" s="552" t="s">
        <v>403</v>
      </c>
      <c r="Z17" s="552" t="s">
        <v>403</v>
      </c>
      <c r="AA17" s="552" t="s">
        <v>403</v>
      </c>
      <c r="AB17" s="552" t="s">
        <v>403</v>
      </c>
      <c r="AC17" s="552" t="s">
        <v>403</v>
      </c>
      <c r="AD17" s="552" t="s">
        <v>403</v>
      </c>
      <c r="AE17" s="552" t="s">
        <v>403</v>
      </c>
      <c r="AF17" s="552" t="s">
        <v>403</v>
      </c>
      <c r="AG17" s="552" t="s">
        <v>403</v>
      </c>
      <c r="AH17" s="553"/>
    </row>
    <row r="18" spans="1:34" ht="73.5" customHeight="1" thickBot="1">
      <c r="A18" s="554"/>
      <c r="B18" s="555"/>
      <c r="C18" s="555"/>
      <c r="D18" s="555"/>
      <c r="E18" s="555"/>
      <c r="F18" s="555"/>
      <c r="G18" s="555"/>
      <c r="H18" s="555"/>
      <c r="I18" s="555"/>
      <c r="J18" s="555"/>
      <c r="K18" s="555"/>
      <c r="L18" s="555"/>
      <c r="M18" s="555"/>
      <c r="N18" s="555"/>
      <c r="O18" s="555"/>
      <c r="P18" s="555"/>
      <c r="Q18" s="555"/>
      <c r="R18" s="555"/>
      <c r="S18" s="656"/>
      <c r="U18" s="556"/>
      <c r="V18" s="549" t="s">
        <v>398</v>
      </c>
      <c r="W18" s="549" t="s">
        <v>399</v>
      </c>
      <c r="X18" s="549" t="s">
        <v>511</v>
      </c>
      <c r="Y18" s="549" t="s">
        <v>387</v>
      </c>
      <c r="Z18" s="549" t="s">
        <v>599</v>
      </c>
      <c r="AA18" s="549" t="s">
        <v>591</v>
      </c>
      <c r="AB18" s="549" t="s">
        <v>590</v>
      </c>
      <c r="AC18" s="549" t="s">
        <v>592</v>
      </c>
      <c r="AD18" s="549" t="s">
        <v>599</v>
      </c>
      <c r="AE18" s="549" t="s">
        <v>591</v>
      </c>
      <c r="AF18" s="549" t="s">
        <v>590</v>
      </c>
      <c r="AG18" s="549" t="s">
        <v>592</v>
      </c>
      <c r="AH18" s="552" t="s">
        <v>376</v>
      </c>
    </row>
    <row r="19" spans="1:34" ht="139.5" customHeight="1" thickTop="1">
      <c r="A19" s="722">
        <f>DADOS!A9</f>
        <v>1</v>
      </c>
      <c r="B19" s="723" t="str">
        <f>DADOS!B9</f>
        <v>PASS. NS. DO CARMO</v>
      </c>
      <c r="C19" s="724">
        <f>DADOS!E9</f>
        <v>553</v>
      </c>
      <c r="D19" s="725">
        <f>DADOS!F9</f>
        <v>6</v>
      </c>
      <c r="E19" s="725">
        <f>C19*(D19+1)</f>
        <v>3871</v>
      </c>
      <c r="F19" s="725">
        <v>0.2</v>
      </c>
      <c r="G19" s="725">
        <f>E19*F19</f>
        <v>774.2</v>
      </c>
      <c r="H19" s="725">
        <f>G19</f>
        <v>774.2</v>
      </c>
      <c r="I19" s="725">
        <f>G19*1.3*$I$16</f>
        <v>15096.9</v>
      </c>
      <c r="J19" s="725">
        <v>0.1</v>
      </c>
      <c r="K19" s="725">
        <f>E19*J19</f>
        <v>387.1</v>
      </c>
      <c r="L19" s="725">
        <f>K19</f>
        <v>387.1</v>
      </c>
      <c r="M19" s="725">
        <f>K19</f>
        <v>387.1</v>
      </c>
      <c r="N19" s="725">
        <f>K19*1.3*$N$16</f>
        <v>7548.45</v>
      </c>
      <c r="O19" s="725">
        <v>0.1</v>
      </c>
      <c r="P19" s="725">
        <f>E19*O19</f>
        <v>387.1</v>
      </c>
      <c r="Q19" s="725">
        <f>P19</f>
        <v>387.1</v>
      </c>
      <c r="R19" s="725">
        <f>P19</f>
        <v>387.1</v>
      </c>
      <c r="S19" s="764">
        <f>P19*1.3*$S$16</f>
        <v>7548.45</v>
      </c>
      <c r="U19" s="557">
        <f aca="true" t="shared" si="0" ref="U19:U38">A19</f>
        <v>1</v>
      </c>
      <c r="V19" s="558">
        <f>'ORÇAMENTO GERAL'!$J$107</f>
        <v>5.72</v>
      </c>
      <c r="W19" s="558">
        <f>'ORÇAMENTO GERAL'!$J$108</f>
        <v>2.7</v>
      </c>
      <c r="X19" s="558">
        <f>'ORÇAMENTO GERAL'!$J$109</f>
        <v>8.06</v>
      </c>
      <c r="Y19" s="558">
        <f>'ORÇAMENTO GERAL'!$J$110</f>
        <v>3.54</v>
      </c>
      <c r="Z19" s="558">
        <f>'ORÇAMENTO GERAL'!$J$113</f>
        <v>326.03</v>
      </c>
      <c r="AA19" s="558">
        <f>'ORÇAMENTO GERAL'!$J$114</f>
        <v>8.06</v>
      </c>
      <c r="AB19" s="558">
        <f>'ORÇAMENTO GERAL'!$J$115</f>
        <v>1.73</v>
      </c>
      <c r="AC19" s="558">
        <f>'ORÇAMENTO GERAL'!$J$116</f>
        <v>2.4</v>
      </c>
      <c r="AD19" s="558">
        <f>'ORÇAMENTO GERAL'!$J$117</f>
        <v>131.37</v>
      </c>
      <c r="AE19" s="558">
        <f>'ORÇAMENTO GERAL'!$J$118</f>
        <v>8.06</v>
      </c>
      <c r="AF19" s="558">
        <f>'ORÇAMENTO GERAL'!$J$119</f>
        <v>1.73</v>
      </c>
      <c r="AG19" s="558">
        <f>'ORÇAMENTO GERAL'!$J$120</f>
        <v>2.4</v>
      </c>
      <c r="AH19" s="559">
        <f aca="true" t="shared" si="1" ref="AH19:AH38">(E19*V19)+(G19*W19)+(H19*X19)+(I19*Y19)+(K19*Z19)+(L19*AA19)+(M19*AB19)+(N19*AC19)+(P19*AD19)+(Q19*AE19)+(R19*AF19)+(S19*AG19)</f>
        <v>304787.06</v>
      </c>
    </row>
    <row r="20" spans="1:34" s="560" customFormat="1" ht="139.5" customHeight="1">
      <c r="A20" s="729">
        <v>2</v>
      </c>
      <c r="B20" s="723" t="str">
        <f>DADOS!B10</f>
        <v>PASS. KENEDY</v>
      </c>
      <c r="C20" s="724">
        <f>DADOS!E10</f>
        <v>305</v>
      </c>
      <c r="D20" s="725">
        <f>DADOS!F10</f>
        <v>6</v>
      </c>
      <c r="E20" s="725">
        <f aca="true" t="shared" si="2" ref="E20:E38">C20*(D20+1)</f>
        <v>2135</v>
      </c>
      <c r="F20" s="725">
        <v>0.2</v>
      </c>
      <c r="G20" s="725">
        <f aca="true" t="shared" si="3" ref="G20:G38">E20*F20</f>
        <v>427</v>
      </c>
      <c r="H20" s="725">
        <f aca="true" t="shared" si="4" ref="H20:H38">G20</f>
        <v>427</v>
      </c>
      <c r="I20" s="725">
        <f aca="true" t="shared" si="5" ref="I20:I38">G20*1.3*$I$16</f>
        <v>8326.5</v>
      </c>
      <c r="J20" s="725">
        <v>0.1</v>
      </c>
      <c r="K20" s="725">
        <f aca="true" t="shared" si="6" ref="K20:K38">E20*J20</f>
        <v>213.5</v>
      </c>
      <c r="L20" s="725">
        <f aca="true" t="shared" si="7" ref="L20:L38">K20</f>
        <v>213.5</v>
      </c>
      <c r="M20" s="725">
        <f aca="true" t="shared" si="8" ref="M20:M38">K20</f>
        <v>213.5</v>
      </c>
      <c r="N20" s="725">
        <f aca="true" t="shared" si="9" ref="N20:N38">K20*1.3*$N$16</f>
        <v>4163.25</v>
      </c>
      <c r="O20" s="725">
        <v>0.1</v>
      </c>
      <c r="P20" s="725">
        <f aca="true" t="shared" si="10" ref="P20:P38">E20*O20</f>
        <v>213.5</v>
      </c>
      <c r="Q20" s="725">
        <f aca="true" t="shared" si="11" ref="Q20:Q38">P20</f>
        <v>213.5</v>
      </c>
      <c r="R20" s="725">
        <f aca="true" t="shared" si="12" ref="R20:R38">P20</f>
        <v>213.5</v>
      </c>
      <c r="S20" s="764">
        <f aca="true" t="shared" si="13" ref="S20:S38">P20*1.3*$S$16</f>
        <v>4163.25</v>
      </c>
      <c r="U20" s="557">
        <f t="shared" si="0"/>
        <v>2</v>
      </c>
      <c r="V20" s="558">
        <f>'ORÇAMENTO GERAL'!$J$107</f>
        <v>5.72</v>
      </c>
      <c r="W20" s="558">
        <f>'ORÇAMENTO GERAL'!$J$108</f>
        <v>2.7</v>
      </c>
      <c r="X20" s="558">
        <f>'ORÇAMENTO GERAL'!$J$109</f>
        <v>8.06</v>
      </c>
      <c r="Y20" s="558">
        <f>'ORÇAMENTO GERAL'!$J$110</f>
        <v>3.54</v>
      </c>
      <c r="Z20" s="558">
        <f>'ORÇAMENTO GERAL'!$J$113</f>
        <v>326.03</v>
      </c>
      <c r="AA20" s="558">
        <f>'ORÇAMENTO GERAL'!$J$114</f>
        <v>8.06</v>
      </c>
      <c r="AB20" s="558">
        <f>'ORÇAMENTO GERAL'!$J$115</f>
        <v>1.73</v>
      </c>
      <c r="AC20" s="558">
        <f>'ORÇAMENTO GERAL'!$J$116</f>
        <v>2.4</v>
      </c>
      <c r="AD20" s="558">
        <f>'ORÇAMENTO GERAL'!$J$117</f>
        <v>131.37</v>
      </c>
      <c r="AE20" s="558">
        <f>'ORÇAMENTO GERAL'!$J$118</f>
        <v>8.06</v>
      </c>
      <c r="AF20" s="558">
        <f>'ORÇAMENTO GERAL'!$J$119</f>
        <v>1.73</v>
      </c>
      <c r="AG20" s="558">
        <f>'ORÇAMENTO GERAL'!$J$120</f>
        <v>2.4</v>
      </c>
      <c r="AH20" s="559">
        <f t="shared" si="1"/>
        <v>168101.36</v>
      </c>
    </row>
    <row r="21" spans="1:34" s="560" customFormat="1" ht="139.5" customHeight="1">
      <c r="A21" s="722">
        <v>3</v>
      </c>
      <c r="B21" s="723" t="str">
        <f>DADOS!B11</f>
        <v>PASS. UBIRATAN MACIEL</v>
      </c>
      <c r="C21" s="724">
        <f>DADOS!E11</f>
        <v>300</v>
      </c>
      <c r="D21" s="725">
        <f>DADOS!F11</f>
        <v>6</v>
      </c>
      <c r="E21" s="725">
        <f t="shared" si="2"/>
        <v>2100</v>
      </c>
      <c r="F21" s="725">
        <v>0.2</v>
      </c>
      <c r="G21" s="725">
        <f t="shared" si="3"/>
        <v>420</v>
      </c>
      <c r="H21" s="725">
        <f t="shared" si="4"/>
        <v>420</v>
      </c>
      <c r="I21" s="725">
        <f t="shared" si="5"/>
        <v>8190</v>
      </c>
      <c r="J21" s="725">
        <v>0.1</v>
      </c>
      <c r="K21" s="725">
        <f t="shared" si="6"/>
        <v>210</v>
      </c>
      <c r="L21" s="725">
        <f t="shared" si="7"/>
        <v>210</v>
      </c>
      <c r="M21" s="725">
        <f t="shared" si="8"/>
        <v>210</v>
      </c>
      <c r="N21" s="725">
        <f t="shared" si="9"/>
        <v>4095</v>
      </c>
      <c r="O21" s="725">
        <v>0.1</v>
      </c>
      <c r="P21" s="725">
        <f t="shared" si="10"/>
        <v>210</v>
      </c>
      <c r="Q21" s="725">
        <f t="shared" si="11"/>
        <v>210</v>
      </c>
      <c r="R21" s="725">
        <f t="shared" si="12"/>
        <v>210</v>
      </c>
      <c r="S21" s="764">
        <f t="shared" si="13"/>
        <v>4095</v>
      </c>
      <c r="U21" s="557">
        <f t="shared" si="0"/>
        <v>3</v>
      </c>
      <c r="V21" s="558">
        <f>'ORÇAMENTO GERAL'!$J$107</f>
        <v>5.72</v>
      </c>
      <c r="W21" s="558">
        <f>'ORÇAMENTO GERAL'!$J$108</f>
        <v>2.7</v>
      </c>
      <c r="X21" s="558">
        <f>'ORÇAMENTO GERAL'!$J$109</f>
        <v>8.06</v>
      </c>
      <c r="Y21" s="558">
        <f>'ORÇAMENTO GERAL'!$J$110</f>
        <v>3.54</v>
      </c>
      <c r="Z21" s="558">
        <f>'ORÇAMENTO GERAL'!$J$113</f>
        <v>326.03</v>
      </c>
      <c r="AA21" s="558">
        <f>'ORÇAMENTO GERAL'!$J$114</f>
        <v>8.06</v>
      </c>
      <c r="AB21" s="558">
        <f>'ORÇAMENTO GERAL'!$J$115</f>
        <v>1.73</v>
      </c>
      <c r="AC21" s="558">
        <f>'ORÇAMENTO GERAL'!$J$116</f>
        <v>2.4</v>
      </c>
      <c r="AD21" s="558">
        <f>'ORÇAMENTO GERAL'!$J$117</f>
        <v>131.37</v>
      </c>
      <c r="AE21" s="558">
        <f>'ORÇAMENTO GERAL'!$J$118</f>
        <v>8.06</v>
      </c>
      <c r="AF21" s="558">
        <f>'ORÇAMENTO GERAL'!$J$119</f>
        <v>1.73</v>
      </c>
      <c r="AG21" s="558">
        <f>'ORÇAMENTO GERAL'!$J$120</f>
        <v>2.4</v>
      </c>
      <c r="AH21" s="559">
        <f t="shared" si="1"/>
        <v>165345.6</v>
      </c>
    </row>
    <row r="22" spans="1:34" s="560" customFormat="1" ht="139.5" customHeight="1" thickBot="1">
      <c r="A22" s="729">
        <v>4</v>
      </c>
      <c r="B22" s="723" t="str">
        <f>DADOS!B12</f>
        <v>PASS. ALEGRE </v>
      </c>
      <c r="C22" s="724">
        <f>DADOS!E12</f>
        <v>215</v>
      </c>
      <c r="D22" s="725">
        <f>DADOS!F12</f>
        <v>6</v>
      </c>
      <c r="E22" s="725">
        <f t="shared" si="2"/>
        <v>1505</v>
      </c>
      <c r="F22" s="725">
        <v>0.2</v>
      </c>
      <c r="G22" s="725">
        <f t="shared" si="3"/>
        <v>301</v>
      </c>
      <c r="H22" s="725">
        <f t="shared" si="4"/>
        <v>301</v>
      </c>
      <c r="I22" s="725">
        <f t="shared" si="5"/>
        <v>5869.5</v>
      </c>
      <c r="J22" s="725">
        <v>0.1</v>
      </c>
      <c r="K22" s="725">
        <f t="shared" si="6"/>
        <v>150.5</v>
      </c>
      <c r="L22" s="725">
        <f t="shared" si="7"/>
        <v>150.5</v>
      </c>
      <c r="M22" s="725">
        <f t="shared" si="8"/>
        <v>150.5</v>
      </c>
      <c r="N22" s="725">
        <f t="shared" si="9"/>
        <v>2934.75</v>
      </c>
      <c r="O22" s="725">
        <v>0.1</v>
      </c>
      <c r="P22" s="725">
        <f t="shared" si="10"/>
        <v>150.5</v>
      </c>
      <c r="Q22" s="725">
        <f t="shared" si="11"/>
        <v>150.5</v>
      </c>
      <c r="R22" s="725">
        <f t="shared" si="12"/>
        <v>150.5</v>
      </c>
      <c r="S22" s="764">
        <f t="shared" si="13"/>
        <v>2934.75</v>
      </c>
      <c r="U22" s="557">
        <f t="shared" si="0"/>
        <v>4</v>
      </c>
      <c r="V22" s="558">
        <f>'ORÇAMENTO GERAL'!$J$107</f>
        <v>5.72</v>
      </c>
      <c r="W22" s="558">
        <f>'ORÇAMENTO GERAL'!$J$108</f>
        <v>2.7</v>
      </c>
      <c r="X22" s="558">
        <f>'ORÇAMENTO GERAL'!$J$109</f>
        <v>8.06</v>
      </c>
      <c r="Y22" s="558">
        <f>'ORÇAMENTO GERAL'!$J$110</f>
        <v>3.54</v>
      </c>
      <c r="Z22" s="558">
        <f>'ORÇAMENTO GERAL'!$J$113</f>
        <v>326.03</v>
      </c>
      <c r="AA22" s="558">
        <f>'ORÇAMENTO GERAL'!$J$114</f>
        <v>8.06</v>
      </c>
      <c r="AB22" s="558">
        <f>'ORÇAMENTO GERAL'!$J$115</f>
        <v>1.73</v>
      </c>
      <c r="AC22" s="558">
        <f>'ORÇAMENTO GERAL'!$J$116</f>
        <v>2.4</v>
      </c>
      <c r="AD22" s="558">
        <f>'ORÇAMENTO GERAL'!$J$117</f>
        <v>131.37</v>
      </c>
      <c r="AE22" s="558">
        <f>'ORÇAMENTO GERAL'!$J$118</f>
        <v>8.06</v>
      </c>
      <c r="AF22" s="558">
        <f>'ORÇAMENTO GERAL'!$J$119</f>
        <v>1.73</v>
      </c>
      <c r="AG22" s="558">
        <f>'ORÇAMENTO GERAL'!$J$120</f>
        <v>2.4</v>
      </c>
      <c r="AH22" s="559">
        <f t="shared" si="1"/>
        <v>118497.68</v>
      </c>
    </row>
    <row r="23" spans="1:34" s="560" customFormat="1" ht="54.75" customHeight="1" hidden="1">
      <c r="A23" s="722">
        <v>5</v>
      </c>
      <c r="B23" s="723">
        <f>DADOS!B13</f>
        <v>0</v>
      </c>
      <c r="C23" s="724">
        <f>DADOS!E13</f>
        <v>0</v>
      </c>
      <c r="D23" s="725">
        <f>DADOS!F13</f>
        <v>0</v>
      </c>
      <c r="E23" s="725">
        <f t="shared" si="2"/>
        <v>0</v>
      </c>
      <c r="F23" s="725">
        <v>0.3</v>
      </c>
      <c r="G23" s="725">
        <f t="shared" si="3"/>
        <v>0</v>
      </c>
      <c r="H23" s="725">
        <f t="shared" si="4"/>
        <v>0</v>
      </c>
      <c r="I23" s="725">
        <f t="shared" si="5"/>
        <v>0</v>
      </c>
      <c r="J23" s="725">
        <v>0.05</v>
      </c>
      <c r="K23" s="725">
        <f t="shared" si="6"/>
        <v>0</v>
      </c>
      <c r="L23" s="725">
        <f t="shared" si="7"/>
        <v>0</v>
      </c>
      <c r="M23" s="725">
        <f t="shared" si="8"/>
        <v>0</v>
      </c>
      <c r="N23" s="725">
        <f t="shared" si="9"/>
        <v>0</v>
      </c>
      <c r="O23" s="725">
        <v>0.25</v>
      </c>
      <c r="P23" s="725">
        <f t="shared" si="10"/>
        <v>0</v>
      </c>
      <c r="Q23" s="725">
        <f t="shared" si="11"/>
        <v>0</v>
      </c>
      <c r="R23" s="725">
        <f t="shared" si="12"/>
        <v>0</v>
      </c>
      <c r="S23" s="764">
        <f t="shared" si="13"/>
        <v>0</v>
      </c>
      <c r="U23" s="557">
        <f t="shared" si="0"/>
        <v>5</v>
      </c>
      <c r="V23" s="558">
        <f>'ORÇAMENTO GERAL'!$J$107</f>
        <v>5.72</v>
      </c>
      <c r="W23" s="558">
        <f>'ORÇAMENTO GERAL'!$J$108</f>
        <v>2.7</v>
      </c>
      <c r="X23" s="558">
        <f>'ORÇAMENTO GERAL'!$J$109</f>
        <v>8.06</v>
      </c>
      <c r="Y23" s="558">
        <f>'ORÇAMENTO GERAL'!$J$110</f>
        <v>3.54</v>
      </c>
      <c r="Z23" s="558">
        <f>'ORÇAMENTO GERAL'!$J$113</f>
        <v>326.03</v>
      </c>
      <c r="AA23" s="558">
        <f>'ORÇAMENTO GERAL'!$J$114</f>
        <v>8.06</v>
      </c>
      <c r="AB23" s="558">
        <f>'ORÇAMENTO GERAL'!$J$115</f>
        <v>1.73</v>
      </c>
      <c r="AC23" s="558">
        <f>'ORÇAMENTO GERAL'!$J$116</f>
        <v>2.4</v>
      </c>
      <c r="AD23" s="558">
        <f>'ORÇAMENTO GERAL'!$J$117</f>
        <v>131.37</v>
      </c>
      <c r="AE23" s="558">
        <f>'ORÇAMENTO GERAL'!$J$118</f>
        <v>8.06</v>
      </c>
      <c r="AF23" s="558">
        <f>'ORÇAMENTO GERAL'!$J$119</f>
        <v>1.73</v>
      </c>
      <c r="AG23" s="558">
        <f>'ORÇAMENTO GERAL'!$J$120</f>
        <v>2.4</v>
      </c>
      <c r="AH23" s="559">
        <f t="shared" si="1"/>
        <v>0</v>
      </c>
    </row>
    <row r="24" spans="1:34" s="560" customFormat="1" ht="54.75" customHeight="1" hidden="1">
      <c r="A24" s="729">
        <v>6</v>
      </c>
      <c r="B24" s="723">
        <f>DADOS!B14</f>
        <v>0</v>
      </c>
      <c r="C24" s="724">
        <f>DADOS!E14</f>
        <v>0</v>
      </c>
      <c r="D24" s="725">
        <f>DADOS!F14</f>
        <v>0</v>
      </c>
      <c r="E24" s="725">
        <f t="shared" si="2"/>
        <v>0</v>
      </c>
      <c r="F24" s="725">
        <v>0.2</v>
      </c>
      <c r="G24" s="725">
        <f t="shared" si="3"/>
        <v>0</v>
      </c>
      <c r="H24" s="725">
        <f t="shared" si="4"/>
        <v>0</v>
      </c>
      <c r="I24" s="725">
        <f t="shared" si="5"/>
        <v>0</v>
      </c>
      <c r="J24" s="725">
        <v>0.1</v>
      </c>
      <c r="K24" s="725">
        <f t="shared" si="6"/>
        <v>0</v>
      </c>
      <c r="L24" s="725">
        <f t="shared" si="7"/>
        <v>0</v>
      </c>
      <c r="M24" s="725">
        <f t="shared" si="8"/>
        <v>0</v>
      </c>
      <c r="N24" s="725">
        <f t="shared" si="9"/>
        <v>0</v>
      </c>
      <c r="O24" s="725">
        <v>0.1</v>
      </c>
      <c r="P24" s="725">
        <f t="shared" si="10"/>
        <v>0</v>
      </c>
      <c r="Q24" s="725">
        <f t="shared" si="11"/>
        <v>0</v>
      </c>
      <c r="R24" s="725">
        <f t="shared" si="12"/>
        <v>0</v>
      </c>
      <c r="S24" s="764">
        <f t="shared" si="13"/>
        <v>0</v>
      </c>
      <c r="U24" s="557">
        <f t="shared" si="0"/>
        <v>6</v>
      </c>
      <c r="V24" s="558">
        <f>'ORÇAMENTO GERAL'!$J$107</f>
        <v>5.72</v>
      </c>
      <c r="W24" s="558">
        <f>'ORÇAMENTO GERAL'!$J$108</f>
        <v>2.7</v>
      </c>
      <c r="X24" s="558">
        <f>'ORÇAMENTO GERAL'!$J$109</f>
        <v>8.06</v>
      </c>
      <c r="Y24" s="558">
        <f>'ORÇAMENTO GERAL'!$J$110</f>
        <v>3.54</v>
      </c>
      <c r="Z24" s="558">
        <f>'ORÇAMENTO GERAL'!$J$113</f>
        <v>326.03</v>
      </c>
      <c r="AA24" s="558">
        <f>'ORÇAMENTO GERAL'!$J$114</f>
        <v>8.06</v>
      </c>
      <c r="AB24" s="558">
        <f>'ORÇAMENTO GERAL'!$J$115</f>
        <v>1.73</v>
      </c>
      <c r="AC24" s="558">
        <f>'ORÇAMENTO GERAL'!$J$116</f>
        <v>2.4</v>
      </c>
      <c r="AD24" s="558">
        <f>'ORÇAMENTO GERAL'!$J$117</f>
        <v>131.37</v>
      </c>
      <c r="AE24" s="558">
        <f>'ORÇAMENTO GERAL'!$J$118</f>
        <v>8.06</v>
      </c>
      <c r="AF24" s="558">
        <f>'ORÇAMENTO GERAL'!$J$119</f>
        <v>1.73</v>
      </c>
      <c r="AG24" s="558">
        <f>'ORÇAMENTO GERAL'!$J$120</f>
        <v>2.4</v>
      </c>
      <c r="AH24" s="559">
        <f t="shared" si="1"/>
        <v>0</v>
      </c>
    </row>
    <row r="25" spans="1:34" s="560" customFormat="1" ht="54.75" customHeight="1" hidden="1">
      <c r="A25" s="722">
        <v>7</v>
      </c>
      <c r="B25" s="723">
        <f>DADOS!B15</f>
        <v>0</v>
      </c>
      <c r="C25" s="724">
        <f>DADOS!E15</f>
        <v>0</v>
      </c>
      <c r="D25" s="725">
        <f>DADOS!F15</f>
        <v>0</v>
      </c>
      <c r="E25" s="725">
        <f t="shared" si="2"/>
        <v>0</v>
      </c>
      <c r="F25" s="725">
        <v>0.2</v>
      </c>
      <c r="G25" s="725">
        <f t="shared" si="3"/>
        <v>0</v>
      </c>
      <c r="H25" s="725">
        <f t="shared" si="4"/>
        <v>0</v>
      </c>
      <c r="I25" s="725">
        <f t="shared" si="5"/>
        <v>0</v>
      </c>
      <c r="J25" s="725">
        <v>0.1</v>
      </c>
      <c r="K25" s="725">
        <f t="shared" si="6"/>
        <v>0</v>
      </c>
      <c r="L25" s="725">
        <f t="shared" si="7"/>
        <v>0</v>
      </c>
      <c r="M25" s="725">
        <f t="shared" si="8"/>
        <v>0</v>
      </c>
      <c r="N25" s="725">
        <f t="shared" si="9"/>
        <v>0</v>
      </c>
      <c r="O25" s="725">
        <v>0.1</v>
      </c>
      <c r="P25" s="725">
        <f t="shared" si="10"/>
        <v>0</v>
      </c>
      <c r="Q25" s="725">
        <f t="shared" si="11"/>
        <v>0</v>
      </c>
      <c r="R25" s="725">
        <f t="shared" si="12"/>
        <v>0</v>
      </c>
      <c r="S25" s="764">
        <f t="shared" si="13"/>
        <v>0</v>
      </c>
      <c r="U25" s="557">
        <f t="shared" si="0"/>
        <v>7</v>
      </c>
      <c r="V25" s="558">
        <f>'ORÇAMENTO GERAL'!$J$107</f>
        <v>5.72</v>
      </c>
      <c r="W25" s="558">
        <f>'ORÇAMENTO GERAL'!$J$108</f>
        <v>2.7</v>
      </c>
      <c r="X25" s="558">
        <f>'ORÇAMENTO GERAL'!$J$109</f>
        <v>8.06</v>
      </c>
      <c r="Y25" s="558">
        <f>'ORÇAMENTO GERAL'!$J$110</f>
        <v>3.54</v>
      </c>
      <c r="Z25" s="558">
        <f>'ORÇAMENTO GERAL'!$J$113</f>
        <v>326.03</v>
      </c>
      <c r="AA25" s="558">
        <f>'ORÇAMENTO GERAL'!$J$114</f>
        <v>8.06</v>
      </c>
      <c r="AB25" s="558">
        <f>'ORÇAMENTO GERAL'!$J$115</f>
        <v>1.73</v>
      </c>
      <c r="AC25" s="558">
        <f>'ORÇAMENTO GERAL'!$J$116</f>
        <v>2.4</v>
      </c>
      <c r="AD25" s="558">
        <f>'ORÇAMENTO GERAL'!$J$117</f>
        <v>131.37</v>
      </c>
      <c r="AE25" s="558">
        <f>'ORÇAMENTO GERAL'!$J$118</f>
        <v>8.06</v>
      </c>
      <c r="AF25" s="558">
        <f>'ORÇAMENTO GERAL'!$J$119</f>
        <v>1.73</v>
      </c>
      <c r="AG25" s="558">
        <f>'ORÇAMENTO GERAL'!$J$120</f>
        <v>2.4</v>
      </c>
      <c r="AH25" s="559">
        <f t="shared" si="1"/>
        <v>0</v>
      </c>
    </row>
    <row r="26" spans="1:34" ht="54.75" customHeight="1" hidden="1">
      <c r="A26" s="729">
        <v>8</v>
      </c>
      <c r="B26" s="723">
        <f>DADOS!B16</f>
        <v>0</v>
      </c>
      <c r="C26" s="724">
        <f>DADOS!E16</f>
        <v>0</v>
      </c>
      <c r="D26" s="725">
        <f>DADOS!F16</f>
        <v>0</v>
      </c>
      <c r="E26" s="725">
        <f t="shared" si="2"/>
        <v>0</v>
      </c>
      <c r="F26" s="725">
        <v>0.2</v>
      </c>
      <c r="G26" s="725">
        <f t="shared" si="3"/>
        <v>0</v>
      </c>
      <c r="H26" s="725">
        <f t="shared" si="4"/>
        <v>0</v>
      </c>
      <c r="I26" s="725">
        <f t="shared" si="5"/>
        <v>0</v>
      </c>
      <c r="J26" s="725">
        <v>0.1</v>
      </c>
      <c r="K26" s="725">
        <f t="shared" si="6"/>
        <v>0</v>
      </c>
      <c r="L26" s="725">
        <f t="shared" si="7"/>
        <v>0</v>
      </c>
      <c r="M26" s="725">
        <f t="shared" si="8"/>
        <v>0</v>
      </c>
      <c r="N26" s="725">
        <f t="shared" si="9"/>
        <v>0</v>
      </c>
      <c r="O26" s="725">
        <v>0.1</v>
      </c>
      <c r="P26" s="725">
        <f t="shared" si="10"/>
        <v>0</v>
      </c>
      <c r="Q26" s="725">
        <f t="shared" si="11"/>
        <v>0</v>
      </c>
      <c r="R26" s="725">
        <f t="shared" si="12"/>
        <v>0</v>
      </c>
      <c r="S26" s="764">
        <f t="shared" si="13"/>
        <v>0</v>
      </c>
      <c r="U26" s="557">
        <f t="shared" si="0"/>
        <v>8</v>
      </c>
      <c r="V26" s="558">
        <f>'ORÇAMENTO GERAL'!$J$107</f>
        <v>5.72</v>
      </c>
      <c r="W26" s="558">
        <f>'ORÇAMENTO GERAL'!$J$108</f>
        <v>2.7</v>
      </c>
      <c r="X26" s="558">
        <f>'ORÇAMENTO GERAL'!$J$109</f>
        <v>8.06</v>
      </c>
      <c r="Y26" s="558">
        <f>'ORÇAMENTO GERAL'!$J$110</f>
        <v>3.54</v>
      </c>
      <c r="Z26" s="558">
        <f>'ORÇAMENTO GERAL'!$J$113</f>
        <v>326.03</v>
      </c>
      <c r="AA26" s="558">
        <f>'ORÇAMENTO GERAL'!$J$114</f>
        <v>8.06</v>
      </c>
      <c r="AB26" s="558">
        <f>'ORÇAMENTO GERAL'!$J$115</f>
        <v>1.73</v>
      </c>
      <c r="AC26" s="558">
        <f>'ORÇAMENTO GERAL'!$J$116</f>
        <v>2.4</v>
      </c>
      <c r="AD26" s="558">
        <f>'ORÇAMENTO GERAL'!$J$117</f>
        <v>131.37</v>
      </c>
      <c r="AE26" s="558">
        <f>'ORÇAMENTO GERAL'!$J$118</f>
        <v>8.06</v>
      </c>
      <c r="AF26" s="558">
        <f>'ORÇAMENTO GERAL'!$J$119</f>
        <v>1.73</v>
      </c>
      <c r="AG26" s="558">
        <f>'ORÇAMENTO GERAL'!$J$120</f>
        <v>2.4</v>
      </c>
      <c r="AH26" s="559">
        <f t="shared" si="1"/>
        <v>0</v>
      </c>
    </row>
    <row r="27" spans="1:34" ht="54.75" customHeight="1" hidden="1">
      <c r="A27" s="722">
        <v>9</v>
      </c>
      <c r="B27" s="723">
        <f>DADOS!B17</f>
        <v>0</v>
      </c>
      <c r="C27" s="724">
        <f>DADOS!E17</f>
        <v>0</v>
      </c>
      <c r="D27" s="725">
        <f>DADOS!F17</f>
        <v>0</v>
      </c>
      <c r="E27" s="725">
        <f t="shared" si="2"/>
        <v>0</v>
      </c>
      <c r="F27" s="725">
        <v>0.2</v>
      </c>
      <c r="G27" s="725">
        <f t="shared" si="3"/>
        <v>0</v>
      </c>
      <c r="H27" s="725">
        <f t="shared" si="4"/>
        <v>0</v>
      </c>
      <c r="I27" s="725">
        <f t="shared" si="5"/>
        <v>0</v>
      </c>
      <c r="J27" s="725">
        <v>0.1</v>
      </c>
      <c r="K27" s="725">
        <f t="shared" si="6"/>
        <v>0</v>
      </c>
      <c r="L27" s="725">
        <f t="shared" si="7"/>
        <v>0</v>
      </c>
      <c r="M27" s="725">
        <f t="shared" si="8"/>
        <v>0</v>
      </c>
      <c r="N27" s="725">
        <f t="shared" si="9"/>
        <v>0</v>
      </c>
      <c r="O27" s="725">
        <v>0.1</v>
      </c>
      <c r="P27" s="725">
        <f t="shared" si="10"/>
        <v>0</v>
      </c>
      <c r="Q27" s="725">
        <f t="shared" si="11"/>
        <v>0</v>
      </c>
      <c r="R27" s="725">
        <f t="shared" si="12"/>
        <v>0</v>
      </c>
      <c r="S27" s="764">
        <f t="shared" si="13"/>
        <v>0</v>
      </c>
      <c r="U27" s="557">
        <f t="shared" si="0"/>
        <v>9</v>
      </c>
      <c r="V27" s="558">
        <f>'ORÇAMENTO GERAL'!$J$107</f>
        <v>5.72</v>
      </c>
      <c r="W27" s="558">
        <f>'ORÇAMENTO GERAL'!$J$108</f>
        <v>2.7</v>
      </c>
      <c r="X27" s="558">
        <f>'ORÇAMENTO GERAL'!$J$109</f>
        <v>8.06</v>
      </c>
      <c r="Y27" s="558">
        <f>'ORÇAMENTO GERAL'!$J$110</f>
        <v>3.54</v>
      </c>
      <c r="Z27" s="558">
        <f>'ORÇAMENTO GERAL'!$J$113</f>
        <v>326.03</v>
      </c>
      <c r="AA27" s="558">
        <f>'ORÇAMENTO GERAL'!$J$114</f>
        <v>8.06</v>
      </c>
      <c r="AB27" s="558">
        <f>'ORÇAMENTO GERAL'!$J$115</f>
        <v>1.73</v>
      </c>
      <c r="AC27" s="558">
        <f>'ORÇAMENTO GERAL'!$J$116</f>
        <v>2.4</v>
      </c>
      <c r="AD27" s="558">
        <f>'ORÇAMENTO GERAL'!$J$117</f>
        <v>131.37</v>
      </c>
      <c r="AE27" s="558">
        <f>'ORÇAMENTO GERAL'!$J$118</f>
        <v>8.06</v>
      </c>
      <c r="AF27" s="558">
        <f>'ORÇAMENTO GERAL'!$J$119</f>
        <v>1.73</v>
      </c>
      <c r="AG27" s="558">
        <f>'ORÇAMENTO GERAL'!$J$120</f>
        <v>2.4</v>
      </c>
      <c r="AH27" s="559">
        <f t="shared" si="1"/>
        <v>0</v>
      </c>
    </row>
    <row r="28" spans="1:34" ht="54.75" customHeight="1" hidden="1">
      <c r="A28" s="729">
        <v>10</v>
      </c>
      <c r="B28" s="723">
        <f>DADOS!B18</f>
        <v>0</v>
      </c>
      <c r="C28" s="724">
        <f>DADOS!E18</f>
        <v>0</v>
      </c>
      <c r="D28" s="725">
        <f>DADOS!F18</f>
        <v>0</v>
      </c>
      <c r="E28" s="725">
        <f t="shared" si="2"/>
        <v>0</v>
      </c>
      <c r="F28" s="725">
        <v>0.2</v>
      </c>
      <c r="G28" s="725">
        <f t="shared" si="3"/>
        <v>0</v>
      </c>
      <c r="H28" s="725">
        <f t="shared" si="4"/>
        <v>0</v>
      </c>
      <c r="I28" s="725">
        <f t="shared" si="5"/>
        <v>0</v>
      </c>
      <c r="J28" s="725">
        <v>0.1</v>
      </c>
      <c r="K28" s="725">
        <f t="shared" si="6"/>
        <v>0</v>
      </c>
      <c r="L28" s="725">
        <f t="shared" si="7"/>
        <v>0</v>
      </c>
      <c r="M28" s="725">
        <f t="shared" si="8"/>
        <v>0</v>
      </c>
      <c r="N28" s="725">
        <f t="shared" si="9"/>
        <v>0</v>
      </c>
      <c r="O28" s="725">
        <v>0.1</v>
      </c>
      <c r="P28" s="725">
        <f t="shared" si="10"/>
        <v>0</v>
      </c>
      <c r="Q28" s="725">
        <f t="shared" si="11"/>
        <v>0</v>
      </c>
      <c r="R28" s="725">
        <f t="shared" si="12"/>
        <v>0</v>
      </c>
      <c r="S28" s="764">
        <f t="shared" si="13"/>
        <v>0</v>
      </c>
      <c r="U28" s="557">
        <f t="shared" si="0"/>
        <v>10</v>
      </c>
      <c r="V28" s="558">
        <f>'ORÇAMENTO GERAL'!$J$107</f>
        <v>5.72</v>
      </c>
      <c r="W28" s="558">
        <f>'ORÇAMENTO GERAL'!$J$108</f>
        <v>2.7</v>
      </c>
      <c r="X28" s="558">
        <f>'ORÇAMENTO GERAL'!$J$109</f>
        <v>8.06</v>
      </c>
      <c r="Y28" s="558">
        <f>'ORÇAMENTO GERAL'!$J$110</f>
        <v>3.54</v>
      </c>
      <c r="Z28" s="558">
        <f>'ORÇAMENTO GERAL'!$J$113</f>
        <v>326.03</v>
      </c>
      <c r="AA28" s="558">
        <f>'ORÇAMENTO GERAL'!$J$114</f>
        <v>8.06</v>
      </c>
      <c r="AB28" s="558">
        <f>'ORÇAMENTO GERAL'!$J$115</f>
        <v>1.73</v>
      </c>
      <c r="AC28" s="558">
        <f>'ORÇAMENTO GERAL'!$J$116</f>
        <v>2.4</v>
      </c>
      <c r="AD28" s="558">
        <f>'ORÇAMENTO GERAL'!$J$117</f>
        <v>131.37</v>
      </c>
      <c r="AE28" s="558">
        <f>'ORÇAMENTO GERAL'!$J$118</f>
        <v>8.06</v>
      </c>
      <c r="AF28" s="558">
        <f>'ORÇAMENTO GERAL'!$J$119</f>
        <v>1.73</v>
      </c>
      <c r="AG28" s="558">
        <f>'ORÇAMENTO GERAL'!$J$120</f>
        <v>2.4</v>
      </c>
      <c r="AH28" s="559">
        <f t="shared" si="1"/>
        <v>0</v>
      </c>
    </row>
    <row r="29" spans="1:34" ht="54.75" customHeight="1" hidden="1">
      <c r="A29" s="722">
        <v>11</v>
      </c>
      <c r="B29" s="723">
        <f>DADOS!B19</f>
        <v>0</v>
      </c>
      <c r="C29" s="724">
        <f>DADOS!E19</f>
        <v>0</v>
      </c>
      <c r="D29" s="725">
        <f>DADOS!F19</f>
        <v>0</v>
      </c>
      <c r="E29" s="725">
        <f t="shared" si="2"/>
        <v>0</v>
      </c>
      <c r="F29" s="725">
        <v>0.2</v>
      </c>
      <c r="G29" s="725">
        <f t="shared" si="3"/>
        <v>0</v>
      </c>
      <c r="H29" s="725">
        <f t="shared" si="4"/>
        <v>0</v>
      </c>
      <c r="I29" s="725">
        <f t="shared" si="5"/>
        <v>0</v>
      </c>
      <c r="J29" s="725">
        <v>0.1</v>
      </c>
      <c r="K29" s="725">
        <f t="shared" si="6"/>
        <v>0</v>
      </c>
      <c r="L29" s="725">
        <f t="shared" si="7"/>
        <v>0</v>
      </c>
      <c r="M29" s="725">
        <f t="shared" si="8"/>
        <v>0</v>
      </c>
      <c r="N29" s="725">
        <f t="shared" si="9"/>
        <v>0</v>
      </c>
      <c r="O29" s="725">
        <v>0.1</v>
      </c>
      <c r="P29" s="725">
        <f t="shared" si="10"/>
        <v>0</v>
      </c>
      <c r="Q29" s="725">
        <f t="shared" si="11"/>
        <v>0</v>
      </c>
      <c r="R29" s="725">
        <f t="shared" si="12"/>
        <v>0</v>
      </c>
      <c r="S29" s="764">
        <f t="shared" si="13"/>
        <v>0</v>
      </c>
      <c r="U29" s="557">
        <f t="shared" si="0"/>
        <v>11</v>
      </c>
      <c r="V29" s="558">
        <f>'ORÇAMENTO GERAL'!$J$107</f>
        <v>5.72</v>
      </c>
      <c r="W29" s="558">
        <f>'ORÇAMENTO GERAL'!$J$108</f>
        <v>2.7</v>
      </c>
      <c r="X29" s="558">
        <f>'ORÇAMENTO GERAL'!$J$109</f>
        <v>8.06</v>
      </c>
      <c r="Y29" s="558">
        <f>'ORÇAMENTO GERAL'!$J$110</f>
        <v>3.54</v>
      </c>
      <c r="Z29" s="558">
        <f>'ORÇAMENTO GERAL'!$J$113</f>
        <v>326.03</v>
      </c>
      <c r="AA29" s="558">
        <f>'ORÇAMENTO GERAL'!$J$114</f>
        <v>8.06</v>
      </c>
      <c r="AB29" s="558">
        <f>'ORÇAMENTO GERAL'!$J$115</f>
        <v>1.73</v>
      </c>
      <c r="AC29" s="558">
        <f>'ORÇAMENTO GERAL'!$J$116</f>
        <v>2.4</v>
      </c>
      <c r="AD29" s="558">
        <f>'ORÇAMENTO GERAL'!$J$117</f>
        <v>131.37</v>
      </c>
      <c r="AE29" s="558">
        <f>'ORÇAMENTO GERAL'!$J$118</f>
        <v>8.06</v>
      </c>
      <c r="AF29" s="558">
        <f>'ORÇAMENTO GERAL'!$J$119</f>
        <v>1.73</v>
      </c>
      <c r="AG29" s="558">
        <f>'ORÇAMENTO GERAL'!$J$120</f>
        <v>2.4</v>
      </c>
      <c r="AH29" s="559">
        <f t="shared" si="1"/>
        <v>0</v>
      </c>
    </row>
    <row r="30" spans="1:34" s="560" customFormat="1" ht="54.75" customHeight="1" hidden="1">
      <c r="A30" s="729">
        <v>12</v>
      </c>
      <c r="B30" s="723">
        <f>DADOS!B20</f>
        <v>0</v>
      </c>
      <c r="C30" s="724">
        <f>DADOS!E20</f>
        <v>0</v>
      </c>
      <c r="D30" s="725">
        <f>DADOS!F20</f>
        <v>0</v>
      </c>
      <c r="E30" s="725">
        <f t="shared" si="2"/>
        <v>0</v>
      </c>
      <c r="F30" s="725">
        <v>0.2</v>
      </c>
      <c r="G30" s="725">
        <f t="shared" si="3"/>
        <v>0</v>
      </c>
      <c r="H30" s="725">
        <f t="shared" si="4"/>
        <v>0</v>
      </c>
      <c r="I30" s="725">
        <f t="shared" si="5"/>
        <v>0</v>
      </c>
      <c r="J30" s="725">
        <v>0.1</v>
      </c>
      <c r="K30" s="725">
        <f t="shared" si="6"/>
        <v>0</v>
      </c>
      <c r="L30" s="725">
        <f t="shared" si="7"/>
        <v>0</v>
      </c>
      <c r="M30" s="725">
        <f t="shared" si="8"/>
        <v>0</v>
      </c>
      <c r="N30" s="725">
        <f t="shared" si="9"/>
        <v>0</v>
      </c>
      <c r="O30" s="725">
        <v>0.1</v>
      </c>
      <c r="P30" s="725">
        <f t="shared" si="10"/>
        <v>0</v>
      </c>
      <c r="Q30" s="725">
        <f t="shared" si="11"/>
        <v>0</v>
      </c>
      <c r="R30" s="725">
        <f t="shared" si="12"/>
        <v>0</v>
      </c>
      <c r="S30" s="764">
        <f t="shared" si="13"/>
        <v>0</v>
      </c>
      <c r="U30" s="557">
        <f t="shared" si="0"/>
        <v>12</v>
      </c>
      <c r="V30" s="558">
        <f>'ORÇAMENTO GERAL'!$J$107</f>
        <v>5.72</v>
      </c>
      <c r="W30" s="558">
        <f>'ORÇAMENTO GERAL'!$J$108</f>
        <v>2.7</v>
      </c>
      <c r="X30" s="558">
        <f>'ORÇAMENTO GERAL'!$J$109</f>
        <v>8.06</v>
      </c>
      <c r="Y30" s="558">
        <f>'ORÇAMENTO GERAL'!$J$110</f>
        <v>3.54</v>
      </c>
      <c r="Z30" s="558">
        <f>'ORÇAMENTO GERAL'!$J$113</f>
        <v>326.03</v>
      </c>
      <c r="AA30" s="558">
        <f>'ORÇAMENTO GERAL'!$J$114</f>
        <v>8.06</v>
      </c>
      <c r="AB30" s="558">
        <f>'ORÇAMENTO GERAL'!$J$115</f>
        <v>1.73</v>
      </c>
      <c r="AC30" s="558">
        <f>'ORÇAMENTO GERAL'!$J$116</f>
        <v>2.4</v>
      </c>
      <c r="AD30" s="558">
        <f>'ORÇAMENTO GERAL'!$J$117</f>
        <v>131.37</v>
      </c>
      <c r="AE30" s="558">
        <f>'ORÇAMENTO GERAL'!$J$118</f>
        <v>8.06</v>
      </c>
      <c r="AF30" s="558">
        <f>'ORÇAMENTO GERAL'!$J$119</f>
        <v>1.73</v>
      </c>
      <c r="AG30" s="558">
        <f>'ORÇAMENTO GERAL'!$J$120</f>
        <v>2.4</v>
      </c>
      <c r="AH30" s="559">
        <f t="shared" si="1"/>
        <v>0</v>
      </c>
    </row>
    <row r="31" spans="1:34" s="560" customFormat="1" ht="54.75" customHeight="1" hidden="1">
      <c r="A31" s="722">
        <v>13</v>
      </c>
      <c r="B31" s="723">
        <f>DADOS!B21</f>
        <v>0</v>
      </c>
      <c r="C31" s="724">
        <f>DADOS!E21</f>
        <v>0</v>
      </c>
      <c r="D31" s="725">
        <f>DADOS!F21</f>
        <v>0</v>
      </c>
      <c r="E31" s="725">
        <f t="shared" si="2"/>
        <v>0</v>
      </c>
      <c r="F31" s="725">
        <v>0.2</v>
      </c>
      <c r="G31" s="725">
        <f t="shared" si="3"/>
        <v>0</v>
      </c>
      <c r="H31" s="725">
        <f t="shared" si="4"/>
        <v>0</v>
      </c>
      <c r="I31" s="725">
        <f t="shared" si="5"/>
        <v>0</v>
      </c>
      <c r="J31" s="725">
        <v>0.1</v>
      </c>
      <c r="K31" s="725">
        <f t="shared" si="6"/>
        <v>0</v>
      </c>
      <c r="L31" s="725">
        <f t="shared" si="7"/>
        <v>0</v>
      </c>
      <c r="M31" s="725">
        <f t="shared" si="8"/>
        <v>0</v>
      </c>
      <c r="N31" s="725">
        <f t="shared" si="9"/>
        <v>0</v>
      </c>
      <c r="O31" s="725">
        <v>0.1</v>
      </c>
      <c r="P31" s="725">
        <f t="shared" si="10"/>
        <v>0</v>
      </c>
      <c r="Q31" s="725">
        <f t="shared" si="11"/>
        <v>0</v>
      </c>
      <c r="R31" s="725">
        <f t="shared" si="12"/>
        <v>0</v>
      </c>
      <c r="S31" s="764">
        <f t="shared" si="13"/>
        <v>0</v>
      </c>
      <c r="U31" s="557">
        <f t="shared" si="0"/>
        <v>13</v>
      </c>
      <c r="V31" s="558">
        <f>'ORÇAMENTO GERAL'!$J$107</f>
        <v>5.72</v>
      </c>
      <c r="W31" s="558">
        <f>'ORÇAMENTO GERAL'!$J$108</f>
        <v>2.7</v>
      </c>
      <c r="X31" s="558">
        <f>'ORÇAMENTO GERAL'!$J$109</f>
        <v>8.06</v>
      </c>
      <c r="Y31" s="558">
        <f>'ORÇAMENTO GERAL'!$J$110</f>
        <v>3.54</v>
      </c>
      <c r="Z31" s="558">
        <f>'ORÇAMENTO GERAL'!$J$113</f>
        <v>326.03</v>
      </c>
      <c r="AA31" s="558">
        <f>'ORÇAMENTO GERAL'!$J$114</f>
        <v>8.06</v>
      </c>
      <c r="AB31" s="558">
        <f>'ORÇAMENTO GERAL'!$J$115</f>
        <v>1.73</v>
      </c>
      <c r="AC31" s="558">
        <f>'ORÇAMENTO GERAL'!$J$116</f>
        <v>2.4</v>
      </c>
      <c r="AD31" s="558">
        <f>'ORÇAMENTO GERAL'!$J$117</f>
        <v>131.37</v>
      </c>
      <c r="AE31" s="558">
        <f>'ORÇAMENTO GERAL'!$J$118</f>
        <v>8.06</v>
      </c>
      <c r="AF31" s="558">
        <f>'ORÇAMENTO GERAL'!$J$119</f>
        <v>1.73</v>
      </c>
      <c r="AG31" s="558">
        <f>'ORÇAMENTO GERAL'!$J$120</f>
        <v>2.4</v>
      </c>
      <c r="AH31" s="559">
        <f t="shared" si="1"/>
        <v>0</v>
      </c>
    </row>
    <row r="32" spans="1:34" s="560" customFormat="1" ht="54.75" customHeight="1" hidden="1">
      <c r="A32" s="729">
        <v>14</v>
      </c>
      <c r="B32" s="723">
        <f>DADOS!B22</f>
        <v>0</v>
      </c>
      <c r="C32" s="724">
        <f>DADOS!E22</f>
        <v>0</v>
      </c>
      <c r="D32" s="725">
        <f>DADOS!F22</f>
        <v>0</v>
      </c>
      <c r="E32" s="725">
        <f t="shared" si="2"/>
        <v>0</v>
      </c>
      <c r="F32" s="725">
        <v>0.2</v>
      </c>
      <c r="G32" s="725">
        <f t="shared" si="3"/>
        <v>0</v>
      </c>
      <c r="H32" s="725">
        <f t="shared" si="4"/>
        <v>0</v>
      </c>
      <c r="I32" s="725">
        <f t="shared" si="5"/>
        <v>0</v>
      </c>
      <c r="J32" s="725">
        <v>0.1</v>
      </c>
      <c r="K32" s="725">
        <f t="shared" si="6"/>
        <v>0</v>
      </c>
      <c r="L32" s="725">
        <f t="shared" si="7"/>
        <v>0</v>
      </c>
      <c r="M32" s="725">
        <f t="shared" si="8"/>
        <v>0</v>
      </c>
      <c r="N32" s="725">
        <f t="shared" si="9"/>
        <v>0</v>
      </c>
      <c r="O32" s="725">
        <v>0.1</v>
      </c>
      <c r="P32" s="725">
        <f t="shared" si="10"/>
        <v>0</v>
      </c>
      <c r="Q32" s="725">
        <f t="shared" si="11"/>
        <v>0</v>
      </c>
      <c r="R32" s="725">
        <f t="shared" si="12"/>
        <v>0</v>
      </c>
      <c r="S32" s="764">
        <f t="shared" si="13"/>
        <v>0</v>
      </c>
      <c r="U32" s="557">
        <f t="shared" si="0"/>
        <v>14</v>
      </c>
      <c r="V32" s="558">
        <f>'ORÇAMENTO GERAL'!$J$107</f>
        <v>5.72</v>
      </c>
      <c r="W32" s="558">
        <f>'ORÇAMENTO GERAL'!$J$108</f>
        <v>2.7</v>
      </c>
      <c r="X32" s="558">
        <f>'ORÇAMENTO GERAL'!$J$109</f>
        <v>8.06</v>
      </c>
      <c r="Y32" s="558">
        <f>'ORÇAMENTO GERAL'!$J$110</f>
        <v>3.54</v>
      </c>
      <c r="Z32" s="558">
        <f>'ORÇAMENTO GERAL'!$J$113</f>
        <v>326.03</v>
      </c>
      <c r="AA32" s="558">
        <f>'ORÇAMENTO GERAL'!$J$114</f>
        <v>8.06</v>
      </c>
      <c r="AB32" s="558">
        <f>'ORÇAMENTO GERAL'!$J$115</f>
        <v>1.73</v>
      </c>
      <c r="AC32" s="558">
        <f>'ORÇAMENTO GERAL'!$J$116</f>
        <v>2.4</v>
      </c>
      <c r="AD32" s="558">
        <f>'ORÇAMENTO GERAL'!$J$117</f>
        <v>131.37</v>
      </c>
      <c r="AE32" s="558">
        <f>'ORÇAMENTO GERAL'!$J$118</f>
        <v>8.06</v>
      </c>
      <c r="AF32" s="558">
        <f>'ORÇAMENTO GERAL'!$J$119</f>
        <v>1.73</v>
      </c>
      <c r="AG32" s="558">
        <f>'ORÇAMENTO GERAL'!$J$120</f>
        <v>2.4</v>
      </c>
      <c r="AH32" s="559">
        <f t="shared" si="1"/>
        <v>0</v>
      </c>
    </row>
    <row r="33" spans="1:34" s="560" customFormat="1" ht="54.75" customHeight="1" hidden="1">
      <c r="A33" s="722">
        <v>15</v>
      </c>
      <c r="B33" s="723">
        <f>DADOS!B23</f>
        <v>0</v>
      </c>
      <c r="C33" s="724">
        <f>DADOS!E23</f>
        <v>0</v>
      </c>
      <c r="D33" s="725">
        <f>DADOS!F23</f>
        <v>0</v>
      </c>
      <c r="E33" s="725">
        <f t="shared" si="2"/>
        <v>0</v>
      </c>
      <c r="F33" s="725">
        <v>0.2</v>
      </c>
      <c r="G33" s="725">
        <f t="shared" si="3"/>
        <v>0</v>
      </c>
      <c r="H33" s="725">
        <f t="shared" si="4"/>
        <v>0</v>
      </c>
      <c r="I33" s="725">
        <f t="shared" si="5"/>
        <v>0</v>
      </c>
      <c r="J33" s="725">
        <v>0.1</v>
      </c>
      <c r="K33" s="725">
        <f t="shared" si="6"/>
        <v>0</v>
      </c>
      <c r="L33" s="725">
        <f t="shared" si="7"/>
        <v>0</v>
      </c>
      <c r="M33" s="725">
        <f t="shared" si="8"/>
        <v>0</v>
      </c>
      <c r="N33" s="725">
        <f t="shared" si="9"/>
        <v>0</v>
      </c>
      <c r="O33" s="725">
        <v>0.1</v>
      </c>
      <c r="P33" s="725">
        <f t="shared" si="10"/>
        <v>0</v>
      </c>
      <c r="Q33" s="725">
        <f t="shared" si="11"/>
        <v>0</v>
      </c>
      <c r="R33" s="725">
        <f t="shared" si="12"/>
        <v>0</v>
      </c>
      <c r="S33" s="764">
        <f t="shared" si="13"/>
        <v>0</v>
      </c>
      <c r="U33" s="557">
        <f t="shared" si="0"/>
        <v>15</v>
      </c>
      <c r="V33" s="558">
        <f>'ORÇAMENTO GERAL'!$J$107</f>
        <v>5.72</v>
      </c>
      <c r="W33" s="558">
        <f>'ORÇAMENTO GERAL'!$J$108</f>
        <v>2.7</v>
      </c>
      <c r="X33" s="558">
        <f>'ORÇAMENTO GERAL'!$J$109</f>
        <v>8.06</v>
      </c>
      <c r="Y33" s="558">
        <f>'ORÇAMENTO GERAL'!$J$110</f>
        <v>3.54</v>
      </c>
      <c r="Z33" s="558">
        <f>'ORÇAMENTO GERAL'!$J$113</f>
        <v>326.03</v>
      </c>
      <c r="AA33" s="558">
        <f>'ORÇAMENTO GERAL'!$J$114</f>
        <v>8.06</v>
      </c>
      <c r="AB33" s="558">
        <f>'ORÇAMENTO GERAL'!$J$115</f>
        <v>1.73</v>
      </c>
      <c r="AC33" s="558">
        <f>'ORÇAMENTO GERAL'!$J$116</f>
        <v>2.4</v>
      </c>
      <c r="AD33" s="558">
        <f>'ORÇAMENTO GERAL'!$J$117</f>
        <v>131.37</v>
      </c>
      <c r="AE33" s="558">
        <f>'ORÇAMENTO GERAL'!$J$118</f>
        <v>8.06</v>
      </c>
      <c r="AF33" s="558">
        <f>'ORÇAMENTO GERAL'!$J$119</f>
        <v>1.73</v>
      </c>
      <c r="AG33" s="558">
        <f>'ORÇAMENTO GERAL'!$J$120</f>
        <v>2.4</v>
      </c>
      <c r="AH33" s="559">
        <f t="shared" si="1"/>
        <v>0</v>
      </c>
    </row>
    <row r="34" spans="1:34" s="560" customFormat="1" ht="54.75" customHeight="1" hidden="1">
      <c r="A34" s="729">
        <v>16</v>
      </c>
      <c r="B34" s="723">
        <f>DADOS!B24</f>
        <v>0</v>
      </c>
      <c r="C34" s="724">
        <f>DADOS!E24</f>
        <v>0</v>
      </c>
      <c r="D34" s="725">
        <f>DADOS!F24</f>
        <v>0</v>
      </c>
      <c r="E34" s="725">
        <f t="shared" si="2"/>
        <v>0</v>
      </c>
      <c r="F34" s="725">
        <v>0.2</v>
      </c>
      <c r="G34" s="725">
        <f t="shared" si="3"/>
        <v>0</v>
      </c>
      <c r="H34" s="725">
        <f t="shared" si="4"/>
        <v>0</v>
      </c>
      <c r="I34" s="725">
        <f t="shared" si="5"/>
        <v>0</v>
      </c>
      <c r="J34" s="725">
        <v>0.1</v>
      </c>
      <c r="K34" s="725">
        <f t="shared" si="6"/>
        <v>0</v>
      </c>
      <c r="L34" s="725">
        <f t="shared" si="7"/>
        <v>0</v>
      </c>
      <c r="M34" s="725">
        <f t="shared" si="8"/>
        <v>0</v>
      </c>
      <c r="N34" s="725">
        <f t="shared" si="9"/>
        <v>0</v>
      </c>
      <c r="O34" s="725">
        <v>0.1</v>
      </c>
      <c r="P34" s="725">
        <f t="shared" si="10"/>
        <v>0</v>
      </c>
      <c r="Q34" s="725">
        <f t="shared" si="11"/>
        <v>0</v>
      </c>
      <c r="R34" s="725">
        <f t="shared" si="12"/>
        <v>0</v>
      </c>
      <c r="S34" s="764">
        <f t="shared" si="13"/>
        <v>0</v>
      </c>
      <c r="U34" s="557">
        <f t="shared" si="0"/>
        <v>16</v>
      </c>
      <c r="V34" s="558">
        <f>'ORÇAMENTO GERAL'!$J$107</f>
        <v>5.72</v>
      </c>
      <c r="W34" s="558">
        <f>'ORÇAMENTO GERAL'!$J$108</f>
        <v>2.7</v>
      </c>
      <c r="X34" s="558">
        <f>'ORÇAMENTO GERAL'!$J$109</f>
        <v>8.06</v>
      </c>
      <c r="Y34" s="558">
        <f>'ORÇAMENTO GERAL'!$J$110</f>
        <v>3.54</v>
      </c>
      <c r="Z34" s="558">
        <f>'ORÇAMENTO GERAL'!$J$113</f>
        <v>326.03</v>
      </c>
      <c r="AA34" s="558">
        <f>'ORÇAMENTO GERAL'!$J$114</f>
        <v>8.06</v>
      </c>
      <c r="AB34" s="558">
        <f>'ORÇAMENTO GERAL'!$J$115</f>
        <v>1.73</v>
      </c>
      <c r="AC34" s="558">
        <f>'ORÇAMENTO GERAL'!$J$116</f>
        <v>2.4</v>
      </c>
      <c r="AD34" s="558">
        <f>'ORÇAMENTO GERAL'!$J$117</f>
        <v>131.37</v>
      </c>
      <c r="AE34" s="558">
        <f>'ORÇAMENTO GERAL'!$J$118</f>
        <v>8.06</v>
      </c>
      <c r="AF34" s="558">
        <f>'ORÇAMENTO GERAL'!$J$119</f>
        <v>1.73</v>
      </c>
      <c r="AG34" s="558">
        <f>'ORÇAMENTO GERAL'!$J$120</f>
        <v>2.4</v>
      </c>
      <c r="AH34" s="559">
        <f t="shared" si="1"/>
        <v>0</v>
      </c>
    </row>
    <row r="35" spans="1:34" ht="54.75" customHeight="1" hidden="1">
      <c r="A35" s="722">
        <v>17</v>
      </c>
      <c r="B35" s="723">
        <f>DADOS!B25</f>
        <v>0</v>
      </c>
      <c r="C35" s="724">
        <f>DADOS!E25</f>
        <v>0</v>
      </c>
      <c r="D35" s="725">
        <f>DADOS!F25</f>
        <v>0</v>
      </c>
      <c r="E35" s="725">
        <f t="shared" si="2"/>
        <v>0</v>
      </c>
      <c r="F35" s="725">
        <v>0.2</v>
      </c>
      <c r="G35" s="725">
        <f t="shared" si="3"/>
        <v>0</v>
      </c>
      <c r="H35" s="725">
        <f t="shared" si="4"/>
        <v>0</v>
      </c>
      <c r="I35" s="725">
        <f t="shared" si="5"/>
        <v>0</v>
      </c>
      <c r="J35" s="725">
        <v>0.1</v>
      </c>
      <c r="K35" s="725">
        <f t="shared" si="6"/>
        <v>0</v>
      </c>
      <c r="L35" s="725">
        <f t="shared" si="7"/>
        <v>0</v>
      </c>
      <c r="M35" s="725">
        <f t="shared" si="8"/>
        <v>0</v>
      </c>
      <c r="N35" s="725">
        <f t="shared" si="9"/>
        <v>0</v>
      </c>
      <c r="O35" s="725">
        <v>0.1</v>
      </c>
      <c r="P35" s="725">
        <f t="shared" si="10"/>
        <v>0</v>
      </c>
      <c r="Q35" s="725">
        <f t="shared" si="11"/>
        <v>0</v>
      </c>
      <c r="R35" s="725">
        <f t="shared" si="12"/>
        <v>0</v>
      </c>
      <c r="S35" s="764">
        <f t="shared" si="13"/>
        <v>0</v>
      </c>
      <c r="U35" s="557">
        <f t="shared" si="0"/>
        <v>17</v>
      </c>
      <c r="V35" s="558">
        <f>'ORÇAMENTO GERAL'!$J$107</f>
        <v>5.72</v>
      </c>
      <c r="W35" s="558">
        <f>'ORÇAMENTO GERAL'!$J$108</f>
        <v>2.7</v>
      </c>
      <c r="X35" s="558">
        <f>'ORÇAMENTO GERAL'!$J$109</f>
        <v>8.06</v>
      </c>
      <c r="Y35" s="558">
        <f>'ORÇAMENTO GERAL'!$J$110</f>
        <v>3.54</v>
      </c>
      <c r="Z35" s="558">
        <f>'ORÇAMENTO GERAL'!$J$113</f>
        <v>326.03</v>
      </c>
      <c r="AA35" s="558">
        <f>'ORÇAMENTO GERAL'!$J$114</f>
        <v>8.06</v>
      </c>
      <c r="AB35" s="558">
        <f>'ORÇAMENTO GERAL'!$J$115</f>
        <v>1.73</v>
      </c>
      <c r="AC35" s="558">
        <f>'ORÇAMENTO GERAL'!$J$116</f>
        <v>2.4</v>
      </c>
      <c r="AD35" s="558">
        <f>'ORÇAMENTO GERAL'!$J$117</f>
        <v>131.37</v>
      </c>
      <c r="AE35" s="558">
        <f>'ORÇAMENTO GERAL'!$J$118</f>
        <v>8.06</v>
      </c>
      <c r="AF35" s="558">
        <f>'ORÇAMENTO GERAL'!$J$119</f>
        <v>1.73</v>
      </c>
      <c r="AG35" s="558">
        <f>'ORÇAMENTO GERAL'!$J$120</f>
        <v>2.4</v>
      </c>
      <c r="AH35" s="559">
        <f t="shared" si="1"/>
        <v>0</v>
      </c>
    </row>
    <row r="36" spans="1:34" ht="54.75" customHeight="1" hidden="1">
      <c r="A36" s="729">
        <v>18</v>
      </c>
      <c r="B36" s="723">
        <f>DADOS!B26</f>
        <v>0</v>
      </c>
      <c r="C36" s="724">
        <f>DADOS!E26</f>
        <v>0</v>
      </c>
      <c r="D36" s="725">
        <f>DADOS!F26</f>
        <v>0</v>
      </c>
      <c r="E36" s="725">
        <f t="shared" si="2"/>
        <v>0</v>
      </c>
      <c r="F36" s="725">
        <v>0.2</v>
      </c>
      <c r="G36" s="725">
        <f t="shared" si="3"/>
        <v>0</v>
      </c>
      <c r="H36" s="725">
        <f t="shared" si="4"/>
        <v>0</v>
      </c>
      <c r="I36" s="725">
        <f t="shared" si="5"/>
        <v>0</v>
      </c>
      <c r="J36" s="725">
        <v>0.1</v>
      </c>
      <c r="K36" s="725">
        <f t="shared" si="6"/>
        <v>0</v>
      </c>
      <c r="L36" s="725">
        <f t="shared" si="7"/>
        <v>0</v>
      </c>
      <c r="M36" s="725">
        <f t="shared" si="8"/>
        <v>0</v>
      </c>
      <c r="N36" s="725">
        <f t="shared" si="9"/>
        <v>0</v>
      </c>
      <c r="O36" s="725">
        <v>0.1</v>
      </c>
      <c r="P36" s="725">
        <f t="shared" si="10"/>
        <v>0</v>
      </c>
      <c r="Q36" s="725">
        <f t="shared" si="11"/>
        <v>0</v>
      </c>
      <c r="R36" s="725">
        <f t="shared" si="12"/>
        <v>0</v>
      </c>
      <c r="S36" s="764">
        <f t="shared" si="13"/>
        <v>0</v>
      </c>
      <c r="U36" s="557">
        <f t="shared" si="0"/>
        <v>18</v>
      </c>
      <c r="V36" s="558">
        <f>'ORÇAMENTO GERAL'!$J$107</f>
        <v>5.72</v>
      </c>
      <c r="W36" s="558">
        <f>'ORÇAMENTO GERAL'!$J$108</f>
        <v>2.7</v>
      </c>
      <c r="X36" s="558">
        <f>'ORÇAMENTO GERAL'!$J$109</f>
        <v>8.06</v>
      </c>
      <c r="Y36" s="558">
        <f>'ORÇAMENTO GERAL'!$J$110</f>
        <v>3.54</v>
      </c>
      <c r="Z36" s="558">
        <f>'ORÇAMENTO GERAL'!$J$113</f>
        <v>326.03</v>
      </c>
      <c r="AA36" s="558">
        <f>'ORÇAMENTO GERAL'!$J$114</f>
        <v>8.06</v>
      </c>
      <c r="AB36" s="558">
        <f>'ORÇAMENTO GERAL'!$J$115</f>
        <v>1.73</v>
      </c>
      <c r="AC36" s="558">
        <f>'ORÇAMENTO GERAL'!$J$116</f>
        <v>2.4</v>
      </c>
      <c r="AD36" s="558">
        <f>'ORÇAMENTO GERAL'!$J$117</f>
        <v>131.37</v>
      </c>
      <c r="AE36" s="558">
        <f>'ORÇAMENTO GERAL'!$J$118</f>
        <v>8.06</v>
      </c>
      <c r="AF36" s="558">
        <f>'ORÇAMENTO GERAL'!$J$119</f>
        <v>1.73</v>
      </c>
      <c r="AG36" s="558">
        <f>'ORÇAMENTO GERAL'!$J$120</f>
        <v>2.4</v>
      </c>
      <c r="AH36" s="559">
        <f t="shared" si="1"/>
        <v>0</v>
      </c>
    </row>
    <row r="37" spans="1:34" ht="54.75" customHeight="1" hidden="1">
      <c r="A37" s="722">
        <v>19</v>
      </c>
      <c r="B37" s="723">
        <f>DADOS!B27</f>
        <v>0</v>
      </c>
      <c r="C37" s="724">
        <f>DADOS!E27</f>
        <v>0</v>
      </c>
      <c r="D37" s="725">
        <f>DADOS!F27</f>
        <v>0</v>
      </c>
      <c r="E37" s="725">
        <f t="shared" si="2"/>
        <v>0</v>
      </c>
      <c r="F37" s="725">
        <v>0.2</v>
      </c>
      <c r="G37" s="725">
        <f t="shared" si="3"/>
        <v>0</v>
      </c>
      <c r="H37" s="725">
        <f t="shared" si="4"/>
        <v>0</v>
      </c>
      <c r="I37" s="725">
        <f t="shared" si="5"/>
        <v>0</v>
      </c>
      <c r="J37" s="725">
        <v>0.1</v>
      </c>
      <c r="K37" s="725">
        <f t="shared" si="6"/>
        <v>0</v>
      </c>
      <c r="L37" s="725">
        <f t="shared" si="7"/>
        <v>0</v>
      </c>
      <c r="M37" s="725">
        <f t="shared" si="8"/>
        <v>0</v>
      </c>
      <c r="N37" s="725">
        <f t="shared" si="9"/>
        <v>0</v>
      </c>
      <c r="O37" s="725">
        <v>0.1</v>
      </c>
      <c r="P37" s="725">
        <f t="shared" si="10"/>
        <v>0</v>
      </c>
      <c r="Q37" s="725">
        <f t="shared" si="11"/>
        <v>0</v>
      </c>
      <c r="R37" s="725">
        <f t="shared" si="12"/>
        <v>0</v>
      </c>
      <c r="S37" s="764">
        <f t="shared" si="13"/>
        <v>0</v>
      </c>
      <c r="U37" s="557">
        <f t="shared" si="0"/>
        <v>19</v>
      </c>
      <c r="V37" s="558">
        <f>'ORÇAMENTO GERAL'!$J$107</f>
        <v>5.72</v>
      </c>
      <c r="W37" s="558">
        <f>'ORÇAMENTO GERAL'!$J$108</f>
        <v>2.7</v>
      </c>
      <c r="X37" s="558">
        <f>'ORÇAMENTO GERAL'!$J$109</f>
        <v>8.06</v>
      </c>
      <c r="Y37" s="558">
        <f>'ORÇAMENTO GERAL'!$J$110</f>
        <v>3.54</v>
      </c>
      <c r="Z37" s="558">
        <f>'ORÇAMENTO GERAL'!$J$113</f>
        <v>326.03</v>
      </c>
      <c r="AA37" s="558">
        <f>'ORÇAMENTO GERAL'!$J$114</f>
        <v>8.06</v>
      </c>
      <c r="AB37" s="558">
        <f>'ORÇAMENTO GERAL'!$J$115</f>
        <v>1.73</v>
      </c>
      <c r="AC37" s="558">
        <f>'ORÇAMENTO GERAL'!$J$116</f>
        <v>2.4</v>
      </c>
      <c r="AD37" s="558">
        <f>'ORÇAMENTO GERAL'!$J$117</f>
        <v>131.37</v>
      </c>
      <c r="AE37" s="558">
        <f>'ORÇAMENTO GERAL'!$J$118</f>
        <v>8.06</v>
      </c>
      <c r="AF37" s="558">
        <f>'ORÇAMENTO GERAL'!$J$119</f>
        <v>1.73</v>
      </c>
      <c r="AG37" s="558">
        <f>'ORÇAMENTO GERAL'!$J$120</f>
        <v>2.4</v>
      </c>
      <c r="AH37" s="559">
        <f t="shared" si="1"/>
        <v>0</v>
      </c>
    </row>
    <row r="38" spans="1:34" ht="54.75" customHeight="1" hidden="1" thickBot="1">
      <c r="A38" s="731">
        <v>20</v>
      </c>
      <c r="B38" s="723">
        <f>DADOS!B28</f>
        <v>0</v>
      </c>
      <c r="C38" s="724">
        <f>DADOS!E28</f>
        <v>0</v>
      </c>
      <c r="D38" s="725">
        <f>DADOS!F28</f>
        <v>0</v>
      </c>
      <c r="E38" s="725">
        <f t="shared" si="2"/>
        <v>0</v>
      </c>
      <c r="F38" s="725">
        <v>0.2</v>
      </c>
      <c r="G38" s="725">
        <f t="shared" si="3"/>
        <v>0</v>
      </c>
      <c r="H38" s="725">
        <f t="shared" si="4"/>
        <v>0</v>
      </c>
      <c r="I38" s="725">
        <f t="shared" si="5"/>
        <v>0</v>
      </c>
      <c r="J38" s="725">
        <v>0.1</v>
      </c>
      <c r="K38" s="725">
        <f t="shared" si="6"/>
        <v>0</v>
      </c>
      <c r="L38" s="725">
        <f t="shared" si="7"/>
        <v>0</v>
      </c>
      <c r="M38" s="725">
        <f t="shared" si="8"/>
        <v>0</v>
      </c>
      <c r="N38" s="725">
        <f t="shared" si="9"/>
        <v>0</v>
      </c>
      <c r="O38" s="725">
        <v>0.1</v>
      </c>
      <c r="P38" s="725">
        <f t="shared" si="10"/>
        <v>0</v>
      </c>
      <c r="Q38" s="725">
        <f t="shared" si="11"/>
        <v>0</v>
      </c>
      <c r="R38" s="725">
        <f t="shared" si="12"/>
        <v>0</v>
      </c>
      <c r="S38" s="764">
        <f t="shared" si="13"/>
        <v>0</v>
      </c>
      <c r="U38" s="557">
        <f t="shared" si="0"/>
        <v>20</v>
      </c>
      <c r="V38" s="558">
        <f>'ORÇAMENTO GERAL'!$J$107</f>
        <v>5.72</v>
      </c>
      <c r="W38" s="558">
        <f>'ORÇAMENTO GERAL'!$J$108</f>
        <v>2.7</v>
      </c>
      <c r="X38" s="558">
        <f>'ORÇAMENTO GERAL'!$J$109</f>
        <v>8.06</v>
      </c>
      <c r="Y38" s="558">
        <f>'ORÇAMENTO GERAL'!$J$110</f>
        <v>3.54</v>
      </c>
      <c r="Z38" s="558">
        <f>'ORÇAMENTO GERAL'!$J$113</f>
        <v>326.03</v>
      </c>
      <c r="AA38" s="558">
        <f>'ORÇAMENTO GERAL'!$J$114</f>
        <v>8.06</v>
      </c>
      <c r="AB38" s="558">
        <f>'ORÇAMENTO GERAL'!$J$115</f>
        <v>1.73</v>
      </c>
      <c r="AC38" s="558">
        <f>'ORÇAMENTO GERAL'!$J$116</f>
        <v>2.4</v>
      </c>
      <c r="AD38" s="558">
        <f>'ORÇAMENTO GERAL'!$J$117</f>
        <v>131.37</v>
      </c>
      <c r="AE38" s="558">
        <f>'ORÇAMENTO GERAL'!$J$118</f>
        <v>8.06</v>
      </c>
      <c r="AF38" s="558">
        <f>'ORÇAMENTO GERAL'!$J$119</f>
        <v>1.73</v>
      </c>
      <c r="AG38" s="558">
        <f>'ORÇAMENTO GERAL'!$J$120</f>
        <v>2.4</v>
      </c>
      <c r="AH38" s="559">
        <f t="shared" si="1"/>
        <v>0</v>
      </c>
    </row>
    <row r="39" spans="1:19" s="560" customFormat="1" ht="139.5" customHeight="1" thickBot="1">
      <c r="A39" s="910" t="s">
        <v>382</v>
      </c>
      <c r="B39" s="911"/>
      <c r="C39" s="732">
        <f aca="true" t="shared" si="14" ref="C39:R39">SUM(C19:C38)</f>
        <v>1373</v>
      </c>
      <c r="D39" s="732"/>
      <c r="E39" s="732">
        <f t="shared" si="14"/>
        <v>9611</v>
      </c>
      <c r="F39" s="732"/>
      <c r="G39" s="732">
        <f t="shared" si="14"/>
        <v>1922.2</v>
      </c>
      <c r="H39" s="732">
        <f t="shared" si="14"/>
        <v>1922.2</v>
      </c>
      <c r="I39" s="732">
        <f t="shared" si="14"/>
        <v>37482.9</v>
      </c>
      <c r="J39" s="732"/>
      <c r="K39" s="732">
        <f t="shared" si="14"/>
        <v>961.1</v>
      </c>
      <c r="L39" s="732">
        <f t="shared" si="14"/>
        <v>961.1</v>
      </c>
      <c r="M39" s="732">
        <f t="shared" si="14"/>
        <v>961.1</v>
      </c>
      <c r="N39" s="732">
        <f t="shared" si="14"/>
        <v>18741.45</v>
      </c>
      <c r="O39" s="732"/>
      <c r="P39" s="732">
        <f t="shared" si="14"/>
        <v>961.1</v>
      </c>
      <c r="Q39" s="732">
        <f t="shared" si="14"/>
        <v>961.1</v>
      </c>
      <c r="R39" s="732">
        <f t="shared" si="14"/>
        <v>961.1</v>
      </c>
      <c r="S39" s="733">
        <f>SUM(S19:S38)</f>
        <v>18741.45</v>
      </c>
    </row>
    <row r="40" spans="1:19" s="560" customFormat="1" ht="19.5" customHeight="1">
      <c r="A40" s="561"/>
      <c r="B40" s="562"/>
      <c r="C40" s="562"/>
      <c r="D40" s="562"/>
      <c r="E40" s="562"/>
      <c r="F40" s="562"/>
      <c r="G40" s="562"/>
      <c r="H40" s="562"/>
      <c r="I40" s="562"/>
      <c r="J40" s="562"/>
      <c r="K40" s="562"/>
      <c r="L40" s="562"/>
      <c r="M40" s="562"/>
      <c r="N40" s="562"/>
      <c r="O40" s="562"/>
      <c r="P40" s="562"/>
      <c r="Q40" s="562"/>
      <c r="R40" s="562"/>
      <c r="S40" s="562"/>
    </row>
    <row r="41" spans="1:19" s="560" customFormat="1" ht="19.5" customHeight="1">
      <c r="A41" s="561"/>
      <c r="B41" s="562"/>
      <c r="C41" s="562"/>
      <c r="D41" s="562"/>
      <c r="E41" s="562"/>
      <c r="F41" s="562"/>
      <c r="G41" s="562"/>
      <c r="H41" s="562"/>
      <c r="I41" s="562"/>
      <c r="J41" s="562"/>
      <c r="K41" s="562"/>
      <c r="L41" s="562"/>
      <c r="M41" s="562"/>
      <c r="N41" s="562"/>
      <c r="O41" s="562"/>
      <c r="P41" s="562"/>
      <c r="Q41" s="562"/>
      <c r="R41" s="562"/>
      <c r="S41" s="562"/>
    </row>
    <row r="42" spans="1:19" s="560" customFormat="1" ht="19.5" customHeight="1">
      <c r="A42" s="561"/>
      <c r="B42" s="562"/>
      <c r="C42" s="562"/>
      <c r="D42" s="562"/>
      <c r="E42" s="562"/>
      <c r="F42" s="562"/>
      <c r="G42" s="562"/>
      <c r="H42" s="562"/>
      <c r="I42" s="562"/>
      <c r="J42" s="562"/>
      <c r="K42" s="562"/>
      <c r="L42" s="562"/>
      <c r="M42" s="562"/>
      <c r="N42" s="562"/>
      <c r="O42" s="562"/>
      <c r="P42" s="562"/>
      <c r="Q42" s="562"/>
      <c r="R42" s="562"/>
      <c r="S42" s="562"/>
    </row>
    <row r="43" spans="1:19" s="560" customFormat="1" ht="19.5" customHeight="1">
      <c r="A43" s="561"/>
      <c r="B43" s="562"/>
      <c r="C43" s="562"/>
      <c r="D43" s="562"/>
      <c r="E43" s="562"/>
      <c r="F43" s="562"/>
      <c r="G43" s="562"/>
      <c r="H43" s="562"/>
      <c r="I43" s="562"/>
      <c r="J43" s="562"/>
      <c r="K43" s="562"/>
      <c r="L43" s="562"/>
      <c r="M43" s="562"/>
      <c r="N43" s="562"/>
      <c r="O43" s="562"/>
      <c r="P43" s="562"/>
      <c r="Q43" s="562"/>
      <c r="R43" s="562"/>
      <c r="S43" s="562"/>
    </row>
    <row r="44" spans="1:19" s="560" customFormat="1" ht="19.5" customHeight="1">
      <c r="A44" s="561"/>
      <c r="B44" s="562"/>
      <c r="C44" s="562"/>
      <c r="D44" s="562"/>
      <c r="E44" s="562"/>
      <c r="F44" s="562"/>
      <c r="G44" s="562"/>
      <c r="H44" s="562"/>
      <c r="I44" s="562"/>
      <c r="J44" s="562"/>
      <c r="K44" s="562"/>
      <c r="L44" s="562"/>
      <c r="M44" s="562"/>
      <c r="N44" s="562"/>
      <c r="O44" s="562"/>
      <c r="P44" s="562"/>
      <c r="Q44" s="562"/>
      <c r="R44" s="562"/>
      <c r="S44" s="562"/>
    </row>
    <row r="45" spans="1:19" s="560" customFormat="1" ht="19.5" customHeight="1">
      <c r="A45" s="561"/>
      <c r="B45" s="562"/>
      <c r="C45" s="562"/>
      <c r="D45" s="562"/>
      <c r="E45" s="562"/>
      <c r="F45" s="562"/>
      <c r="G45" s="562"/>
      <c r="H45" s="562"/>
      <c r="I45" s="562"/>
      <c r="J45" s="562"/>
      <c r="K45" s="562"/>
      <c r="L45" s="562"/>
      <c r="M45" s="562"/>
      <c r="N45" s="562"/>
      <c r="O45" s="562"/>
      <c r="P45" s="562"/>
      <c r="Q45" s="562"/>
      <c r="R45" s="562"/>
      <c r="S45" s="562"/>
    </row>
    <row r="46" spans="1:19" s="560" customFormat="1" ht="19.5" customHeight="1">
      <c r="A46" s="561"/>
      <c r="B46" s="562"/>
      <c r="C46" s="562"/>
      <c r="D46" s="562"/>
      <c r="E46" s="562"/>
      <c r="F46" s="562"/>
      <c r="G46" s="562"/>
      <c r="H46" s="562"/>
      <c r="I46" s="562"/>
      <c r="J46" s="562"/>
      <c r="K46" s="562"/>
      <c r="L46" s="562"/>
      <c r="M46" s="562"/>
      <c r="N46" s="562"/>
      <c r="O46" s="562"/>
      <c r="P46" s="562"/>
      <c r="Q46" s="562"/>
      <c r="R46" s="562"/>
      <c r="S46" s="562"/>
    </row>
    <row r="47" spans="1:19" s="560" customFormat="1" ht="19.5" customHeight="1">
      <c r="A47" s="561"/>
      <c r="B47" s="562"/>
      <c r="C47" s="562"/>
      <c r="D47" s="562"/>
      <c r="E47" s="562"/>
      <c r="F47" s="562"/>
      <c r="G47" s="562"/>
      <c r="H47" s="562"/>
      <c r="I47" s="562"/>
      <c r="J47" s="562"/>
      <c r="K47" s="562"/>
      <c r="L47" s="562"/>
      <c r="M47" s="562"/>
      <c r="N47" s="562"/>
      <c r="O47" s="562"/>
      <c r="P47" s="562"/>
      <c r="Q47" s="562"/>
      <c r="R47" s="562"/>
      <c r="S47" s="562"/>
    </row>
    <row r="48" spans="1:19" s="560" customFormat="1" ht="19.5" customHeight="1">
      <c r="A48" s="561"/>
      <c r="B48" s="562"/>
      <c r="C48" s="562"/>
      <c r="D48" s="562"/>
      <c r="E48" s="562"/>
      <c r="F48" s="562"/>
      <c r="G48" s="562"/>
      <c r="H48" s="562"/>
      <c r="I48" s="562"/>
      <c r="J48" s="562"/>
      <c r="K48" s="562"/>
      <c r="L48" s="562"/>
      <c r="M48" s="562"/>
      <c r="N48" s="562"/>
      <c r="O48" s="562"/>
      <c r="P48" s="562"/>
      <c r="Q48" s="562"/>
      <c r="R48" s="562"/>
      <c r="S48" s="562"/>
    </row>
    <row r="49" spans="1:19" s="560" customFormat="1" ht="19.5" customHeight="1">
      <c r="A49" s="561"/>
      <c r="B49" s="562"/>
      <c r="C49" s="562"/>
      <c r="D49" s="562"/>
      <c r="E49" s="562"/>
      <c r="F49" s="562"/>
      <c r="G49" s="562"/>
      <c r="H49" s="562"/>
      <c r="I49" s="562"/>
      <c r="J49" s="562"/>
      <c r="K49" s="562"/>
      <c r="L49" s="562"/>
      <c r="M49" s="562"/>
      <c r="N49" s="562"/>
      <c r="O49" s="562"/>
      <c r="P49" s="562"/>
      <c r="Q49" s="562"/>
      <c r="R49" s="562"/>
      <c r="S49" s="562"/>
    </row>
    <row r="50" spans="1:19" s="560" customFormat="1" ht="19.5" customHeight="1">
      <c r="A50" s="561"/>
      <c r="B50" s="562"/>
      <c r="C50" s="562"/>
      <c r="D50" s="562"/>
      <c r="E50" s="562"/>
      <c r="F50" s="562"/>
      <c r="G50" s="562"/>
      <c r="H50" s="562"/>
      <c r="I50" s="562"/>
      <c r="J50" s="562"/>
      <c r="K50" s="562"/>
      <c r="L50" s="562"/>
      <c r="M50" s="562"/>
      <c r="N50" s="562"/>
      <c r="O50" s="562"/>
      <c r="P50" s="562"/>
      <c r="Q50" s="562"/>
      <c r="R50" s="562"/>
      <c r="S50" s="562"/>
    </row>
    <row r="51" spans="1:19" s="560" customFormat="1" ht="19.5" customHeight="1">
      <c r="A51" s="561"/>
      <c r="B51" s="562"/>
      <c r="C51" s="562"/>
      <c r="D51" s="562"/>
      <c r="E51" s="562"/>
      <c r="F51" s="562"/>
      <c r="G51" s="562"/>
      <c r="H51" s="562"/>
      <c r="I51" s="562"/>
      <c r="J51" s="562"/>
      <c r="K51" s="562"/>
      <c r="L51" s="562"/>
      <c r="M51" s="562"/>
      <c r="N51" s="562"/>
      <c r="O51" s="562"/>
      <c r="P51" s="562"/>
      <c r="Q51" s="562"/>
      <c r="R51" s="562"/>
      <c r="S51" s="562"/>
    </row>
    <row r="52" spans="1:19" s="560" customFormat="1" ht="19.5" customHeight="1">
      <c r="A52" s="561"/>
      <c r="B52" s="562"/>
      <c r="C52" s="562"/>
      <c r="D52" s="562"/>
      <c r="E52" s="562"/>
      <c r="F52" s="562"/>
      <c r="G52" s="562"/>
      <c r="H52" s="562"/>
      <c r="I52" s="562"/>
      <c r="J52" s="562"/>
      <c r="K52" s="562"/>
      <c r="L52" s="562"/>
      <c r="M52" s="562"/>
      <c r="N52" s="562"/>
      <c r="O52" s="562"/>
      <c r="P52" s="562"/>
      <c r="Q52" s="562"/>
      <c r="R52" s="562"/>
      <c r="S52" s="562"/>
    </row>
    <row r="53" spans="1:19" s="560" customFormat="1" ht="19.5" customHeight="1">
      <c r="A53" s="561"/>
      <c r="B53" s="562"/>
      <c r="C53" s="562"/>
      <c r="D53" s="562"/>
      <c r="E53" s="562"/>
      <c r="F53" s="562"/>
      <c r="G53" s="562"/>
      <c r="H53" s="562"/>
      <c r="I53" s="562"/>
      <c r="J53" s="562"/>
      <c r="K53" s="562"/>
      <c r="L53" s="562"/>
      <c r="M53" s="562"/>
      <c r="N53" s="562"/>
      <c r="O53" s="562"/>
      <c r="P53" s="562"/>
      <c r="Q53" s="562"/>
      <c r="R53" s="562"/>
      <c r="S53" s="562"/>
    </row>
    <row r="54" spans="1:19" s="560" customFormat="1" ht="19.5" customHeight="1">
      <c r="A54" s="561"/>
      <c r="B54" s="562"/>
      <c r="C54" s="562"/>
      <c r="D54" s="562"/>
      <c r="E54" s="562"/>
      <c r="F54" s="562"/>
      <c r="G54" s="562"/>
      <c r="H54" s="562"/>
      <c r="I54" s="562"/>
      <c r="J54" s="562"/>
      <c r="K54" s="562"/>
      <c r="L54" s="562"/>
      <c r="M54" s="562"/>
      <c r="N54" s="562"/>
      <c r="O54" s="562"/>
      <c r="P54" s="562"/>
      <c r="Q54" s="562"/>
      <c r="R54" s="562"/>
      <c r="S54" s="562"/>
    </row>
    <row r="55" spans="1:19" s="560" customFormat="1" ht="19.5" customHeight="1">
      <c r="A55" s="561"/>
      <c r="B55" s="562"/>
      <c r="C55" s="562"/>
      <c r="D55" s="562"/>
      <c r="E55" s="562"/>
      <c r="F55" s="562"/>
      <c r="G55" s="562"/>
      <c r="H55" s="562"/>
      <c r="I55" s="562"/>
      <c r="J55" s="562"/>
      <c r="K55" s="562"/>
      <c r="L55" s="562"/>
      <c r="M55" s="562"/>
      <c r="N55" s="562"/>
      <c r="O55" s="562"/>
      <c r="P55" s="562"/>
      <c r="Q55" s="562"/>
      <c r="R55" s="562"/>
      <c r="S55" s="562"/>
    </row>
    <row r="56" spans="1:19" s="560" customFormat="1" ht="19.5" customHeight="1">
      <c r="A56" s="561"/>
      <c r="B56" s="562"/>
      <c r="C56" s="562"/>
      <c r="D56" s="562"/>
      <c r="E56" s="562"/>
      <c r="F56" s="562"/>
      <c r="G56" s="562"/>
      <c r="H56" s="562"/>
      <c r="I56" s="562"/>
      <c r="J56" s="562"/>
      <c r="K56" s="562"/>
      <c r="L56" s="562"/>
      <c r="M56" s="562"/>
      <c r="N56" s="562"/>
      <c r="O56" s="562"/>
      <c r="P56" s="562"/>
      <c r="Q56" s="562"/>
      <c r="R56" s="562"/>
      <c r="S56" s="562"/>
    </row>
    <row r="57" spans="1:19" s="560" customFormat="1" ht="19.5" customHeight="1">
      <c r="A57" s="561"/>
      <c r="B57" s="562"/>
      <c r="C57" s="562"/>
      <c r="D57" s="562"/>
      <c r="E57" s="562"/>
      <c r="F57" s="562"/>
      <c r="G57" s="562"/>
      <c r="H57" s="562"/>
      <c r="I57" s="562"/>
      <c r="J57" s="562"/>
      <c r="K57" s="562"/>
      <c r="L57" s="562"/>
      <c r="M57" s="562"/>
      <c r="N57" s="562"/>
      <c r="O57" s="562"/>
      <c r="P57" s="562"/>
      <c r="Q57" s="562"/>
      <c r="R57" s="562"/>
      <c r="S57" s="562"/>
    </row>
    <row r="58" spans="1:19" s="560" customFormat="1" ht="19.5" customHeight="1">
      <c r="A58" s="561"/>
      <c r="B58" s="562"/>
      <c r="C58" s="562"/>
      <c r="D58" s="562"/>
      <c r="E58" s="562"/>
      <c r="F58" s="562"/>
      <c r="G58" s="562"/>
      <c r="H58" s="562"/>
      <c r="I58" s="562"/>
      <c r="J58" s="562"/>
      <c r="K58" s="562"/>
      <c r="L58" s="562"/>
      <c r="M58" s="562"/>
      <c r="N58" s="562"/>
      <c r="O58" s="562"/>
      <c r="P58" s="562"/>
      <c r="Q58" s="562"/>
      <c r="R58" s="562"/>
      <c r="S58" s="562"/>
    </row>
    <row r="59" spans="1:19" s="560" customFormat="1" ht="19.5" customHeight="1">
      <c r="A59" s="561"/>
      <c r="B59" s="562"/>
      <c r="C59" s="562"/>
      <c r="D59" s="562"/>
      <c r="E59" s="562"/>
      <c r="F59" s="562"/>
      <c r="G59" s="562"/>
      <c r="H59" s="562"/>
      <c r="I59" s="562"/>
      <c r="J59" s="562"/>
      <c r="K59" s="562"/>
      <c r="L59" s="562"/>
      <c r="M59" s="562"/>
      <c r="N59" s="562"/>
      <c r="O59" s="562"/>
      <c r="P59" s="562"/>
      <c r="Q59" s="562"/>
      <c r="R59" s="562"/>
      <c r="S59" s="562"/>
    </row>
    <row r="60" spans="1:19" s="560" customFormat="1" ht="19.5" customHeight="1">
      <c r="A60" s="561"/>
      <c r="B60" s="562"/>
      <c r="C60" s="562"/>
      <c r="D60" s="562"/>
      <c r="E60" s="562"/>
      <c r="F60" s="562"/>
      <c r="G60" s="562"/>
      <c r="H60" s="562"/>
      <c r="I60" s="562"/>
      <c r="J60" s="562"/>
      <c r="K60" s="562"/>
      <c r="L60" s="562"/>
      <c r="M60" s="562"/>
      <c r="N60" s="562"/>
      <c r="O60" s="562"/>
      <c r="P60" s="562"/>
      <c r="Q60" s="562"/>
      <c r="R60" s="562"/>
      <c r="S60" s="562"/>
    </row>
    <row r="61" spans="1:19" s="560" customFormat="1" ht="19.5" customHeight="1">
      <c r="A61" s="561"/>
      <c r="B61" s="562"/>
      <c r="C61" s="562"/>
      <c r="D61" s="562"/>
      <c r="E61" s="562"/>
      <c r="F61" s="562"/>
      <c r="G61" s="562"/>
      <c r="H61" s="562"/>
      <c r="I61" s="562"/>
      <c r="J61" s="562"/>
      <c r="K61" s="562"/>
      <c r="L61" s="562"/>
      <c r="M61" s="562"/>
      <c r="N61" s="562"/>
      <c r="O61" s="562"/>
      <c r="P61" s="562"/>
      <c r="Q61" s="562"/>
      <c r="R61" s="562"/>
      <c r="S61" s="562"/>
    </row>
    <row r="62" spans="1:19" s="560" customFormat="1" ht="19.5" customHeight="1">
      <c r="A62" s="561"/>
      <c r="B62" s="562"/>
      <c r="C62" s="562"/>
      <c r="D62" s="562"/>
      <c r="E62" s="562"/>
      <c r="F62" s="562"/>
      <c r="G62" s="562"/>
      <c r="H62" s="562"/>
      <c r="I62" s="562"/>
      <c r="J62" s="562"/>
      <c r="K62" s="562"/>
      <c r="L62" s="562"/>
      <c r="M62" s="562"/>
      <c r="N62" s="562"/>
      <c r="O62" s="562"/>
      <c r="P62" s="562"/>
      <c r="Q62" s="562"/>
      <c r="R62" s="562"/>
      <c r="S62" s="562"/>
    </row>
    <row r="63" spans="1:19" s="560" customFormat="1" ht="19.5" customHeight="1">
      <c r="A63" s="561"/>
      <c r="B63" s="562"/>
      <c r="C63" s="562"/>
      <c r="D63" s="562"/>
      <c r="E63" s="562"/>
      <c r="F63" s="562"/>
      <c r="G63" s="562"/>
      <c r="H63" s="562"/>
      <c r="I63" s="562"/>
      <c r="J63" s="562"/>
      <c r="K63" s="562"/>
      <c r="L63" s="562"/>
      <c r="M63" s="562"/>
      <c r="N63" s="562"/>
      <c r="O63" s="562"/>
      <c r="P63" s="562"/>
      <c r="Q63" s="562"/>
      <c r="R63" s="562"/>
      <c r="S63" s="562"/>
    </row>
    <row r="64" spans="1:19" s="560" customFormat="1" ht="19.5" customHeight="1">
      <c r="A64" s="561"/>
      <c r="B64" s="562"/>
      <c r="C64" s="562"/>
      <c r="D64" s="562"/>
      <c r="E64" s="562"/>
      <c r="F64" s="562"/>
      <c r="G64" s="562"/>
      <c r="H64" s="562"/>
      <c r="I64" s="562"/>
      <c r="J64" s="562"/>
      <c r="K64" s="562"/>
      <c r="L64" s="562"/>
      <c r="M64" s="562"/>
      <c r="N64" s="562"/>
      <c r="O64" s="562"/>
      <c r="P64" s="562"/>
      <c r="Q64" s="562"/>
      <c r="R64" s="562"/>
      <c r="S64" s="562"/>
    </row>
    <row r="65" spans="1:19" s="560" customFormat="1" ht="19.5" customHeight="1">
      <c r="A65" s="561"/>
      <c r="B65" s="562"/>
      <c r="C65" s="562"/>
      <c r="D65" s="562"/>
      <c r="E65" s="562"/>
      <c r="F65" s="562"/>
      <c r="G65" s="562"/>
      <c r="H65" s="562"/>
      <c r="I65" s="562"/>
      <c r="J65" s="562"/>
      <c r="K65" s="562"/>
      <c r="L65" s="562"/>
      <c r="M65" s="562"/>
      <c r="N65" s="562"/>
      <c r="O65" s="562"/>
      <c r="P65" s="562"/>
      <c r="Q65" s="562"/>
      <c r="R65" s="562"/>
      <c r="S65" s="562"/>
    </row>
    <row r="66" spans="1:19" s="560" customFormat="1" ht="19.5" customHeight="1">
      <c r="A66" s="561"/>
      <c r="B66" s="562"/>
      <c r="C66" s="562"/>
      <c r="D66" s="562"/>
      <c r="E66" s="562"/>
      <c r="F66" s="562"/>
      <c r="G66" s="562"/>
      <c r="H66" s="562"/>
      <c r="I66" s="562"/>
      <c r="J66" s="562"/>
      <c r="K66" s="562"/>
      <c r="L66" s="562"/>
      <c r="M66" s="562"/>
      <c r="N66" s="562"/>
      <c r="O66" s="562"/>
      <c r="P66" s="562"/>
      <c r="Q66" s="562"/>
      <c r="R66" s="562"/>
      <c r="S66" s="562"/>
    </row>
    <row r="67" spans="1:19" s="560" customFormat="1" ht="19.5" customHeight="1">
      <c r="A67" s="561"/>
      <c r="B67" s="562"/>
      <c r="C67" s="562"/>
      <c r="D67" s="562"/>
      <c r="E67" s="562"/>
      <c r="F67" s="562"/>
      <c r="G67" s="562"/>
      <c r="H67" s="562"/>
      <c r="I67" s="562"/>
      <c r="J67" s="562"/>
      <c r="K67" s="562"/>
      <c r="L67" s="562"/>
      <c r="M67" s="562"/>
      <c r="N67" s="562"/>
      <c r="O67" s="562"/>
      <c r="P67" s="562"/>
      <c r="Q67" s="562"/>
      <c r="R67" s="562"/>
      <c r="S67" s="562"/>
    </row>
    <row r="68" spans="1:19" s="560" customFormat="1" ht="19.5" customHeight="1">
      <c r="A68" s="561"/>
      <c r="B68" s="562"/>
      <c r="C68" s="562"/>
      <c r="D68" s="562"/>
      <c r="E68" s="562"/>
      <c r="F68" s="562"/>
      <c r="G68" s="562"/>
      <c r="H68" s="562"/>
      <c r="I68" s="562"/>
      <c r="J68" s="562"/>
      <c r="K68" s="562"/>
      <c r="L68" s="562"/>
      <c r="M68" s="562"/>
      <c r="N68" s="562"/>
      <c r="O68" s="562"/>
      <c r="P68" s="562"/>
      <c r="Q68" s="562"/>
      <c r="R68" s="562"/>
      <c r="S68" s="562"/>
    </row>
    <row r="69" spans="1:19" s="560" customFormat="1" ht="19.5" customHeight="1">
      <c r="A69" s="561"/>
      <c r="B69" s="562"/>
      <c r="C69" s="562"/>
      <c r="D69" s="562"/>
      <c r="E69" s="562"/>
      <c r="F69" s="562"/>
      <c r="G69" s="562"/>
      <c r="H69" s="562"/>
      <c r="I69" s="562"/>
      <c r="J69" s="562"/>
      <c r="K69" s="562"/>
      <c r="L69" s="562"/>
      <c r="M69" s="562"/>
      <c r="N69" s="562"/>
      <c r="O69" s="562"/>
      <c r="P69" s="562"/>
      <c r="Q69" s="562"/>
      <c r="R69" s="562"/>
      <c r="S69" s="562"/>
    </row>
    <row r="70" spans="1:19" s="560" customFormat="1" ht="19.5" customHeight="1">
      <c r="A70" s="561"/>
      <c r="B70" s="562"/>
      <c r="C70" s="562"/>
      <c r="D70" s="562"/>
      <c r="E70" s="562"/>
      <c r="F70" s="562"/>
      <c r="G70" s="562"/>
      <c r="H70" s="562"/>
      <c r="I70" s="562"/>
      <c r="J70" s="562"/>
      <c r="K70" s="562"/>
      <c r="L70" s="562"/>
      <c r="M70" s="562"/>
      <c r="N70" s="562"/>
      <c r="O70" s="562"/>
      <c r="P70" s="562"/>
      <c r="Q70" s="562"/>
      <c r="R70" s="562"/>
      <c r="S70" s="562"/>
    </row>
    <row r="71" spans="1:19" s="560" customFormat="1" ht="19.5" customHeight="1">
      <c r="A71" s="561"/>
      <c r="B71" s="562"/>
      <c r="C71" s="562"/>
      <c r="D71" s="562"/>
      <c r="E71" s="562"/>
      <c r="F71" s="562"/>
      <c r="G71" s="562"/>
      <c r="H71" s="562"/>
      <c r="I71" s="562"/>
      <c r="J71" s="562"/>
      <c r="K71" s="562"/>
      <c r="L71" s="562"/>
      <c r="M71" s="562"/>
      <c r="N71" s="562"/>
      <c r="O71" s="562"/>
      <c r="P71" s="562"/>
      <c r="Q71" s="562"/>
      <c r="R71" s="562"/>
      <c r="S71" s="562"/>
    </row>
    <row r="72" spans="1:19" s="560" customFormat="1" ht="19.5" customHeight="1">
      <c r="A72" s="561"/>
      <c r="B72" s="562"/>
      <c r="C72" s="562"/>
      <c r="D72" s="562"/>
      <c r="E72" s="562"/>
      <c r="F72" s="562"/>
      <c r="G72" s="562"/>
      <c r="H72" s="562"/>
      <c r="I72" s="562"/>
      <c r="J72" s="562"/>
      <c r="K72" s="562"/>
      <c r="L72" s="562"/>
      <c r="M72" s="562"/>
      <c r="N72" s="562"/>
      <c r="O72" s="562"/>
      <c r="P72" s="562"/>
      <c r="Q72" s="562"/>
      <c r="R72" s="562"/>
      <c r="S72" s="562"/>
    </row>
    <row r="73" spans="1:19" s="560" customFormat="1" ht="19.5" customHeight="1">
      <c r="A73" s="561"/>
      <c r="B73" s="562"/>
      <c r="C73" s="562"/>
      <c r="D73" s="562"/>
      <c r="E73" s="562"/>
      <c r="F73" s="562"/>
      <c r="G73" s="562"/>
      <c r="H73" s="562"/>
      <c r="I73" s="562"/>
      <c r="J73" s="562"/>
      <c r="K73" s="562"/>
      <c r="L73" s="562"/>
      <c r="M73" s="562"/>
      <c r="N73" s="562"/>
      <c r="O73" s="562"/>
      <c r="P73" s="562"/>
      <c r="Q73" s="562"/>
      <c r="R73" s="562"/>
      <c r="S73" s="562"/>
    </row>
    <row r="74" ht="19.5" customHeight="1"/>
    <row r="75" ht="9.75" customHeight="1"/>
    <row r="76" ht="19.5" customHeight="1"/>
    <row r="77" ht="19.5" customHeight="1"/>
    <row r="78" ht="19.5" customHeight="1"/>
    <row r="79" spans="1:19" s="560" customFormat="1" ht="19.5" customHeight="1">
      <c r="A79" s="561"/>
      <c r="B79" s="562"/>
      <c r="C79" s="562"/>
      <c r="D79" s="562"/>
      <c r="E79" s="562"/>
      <c r="F79" s="562"/>
      <c r="G79" s="562"/>
      <c r="H79" s="562"/>
      <c r="I79" s="562"/>
      <c r="J79" s="562"/>
      <c r="K79" s="562"/>
      <c r="L79" s="562"/>
      <c r="M79" s="562"/>
      <c r="N79" s="562"/>
      <c r="O79" s="562"/>
      <c r="P79" s="562"/>
      <c r="Q79" s="562"/>
      <c r="R79" s="562"/>
      <c r="S79" s="562"/>
    </row>
    <row r="80" spans="1:19" s="560" customFormat="1" ht="19.5" customHeight="1">
      <c r="A80" s="561"/>
      <c r="B80" s="562"/>
      <c r="C80" s="562"/>
      <c r="D80" s="562"/>
      <c r="E80" s="562"/>
      <c r="F80" s="562"/>
      <c r="G80" s="562"/>
      <c r="H80" s="562"/>
      <c r="I80" s="562"/>
      <c r="J80" s="562"/>
      <c r="K80" s="562"/>
      <c r="L80" s="562"/>
      <c r="M80" s="562"/>
      <c r="N80" s="562"/>
      <c r="O80" s="562"/>
      <c r="P80" s="562"/>
      <c r="Q80" s="562"/>
      <c r="R80" s="562"/>
      <c r="S80" s="562"/>
    </row>
    <row r="81" spans="1:19" s="560" customFormat="1" ht="19.5" customHeight="1">
      <c r="A81" s="561"/>
      <c r="B81" s="562"/>
      <c r="C81" s="562"/>
      <c r="D81" s="562"/>
      <c r="E81" s="562"/>
      <c r="F81" s="562"/>
      <c r="G81" s="562"/>
      <c r="H81" s="562"/>
      <c r="I81" s="562"/>
      <c r="J81" s="562"/>
      <c r="K81" s="562"/>
      <c r="L81" s="562"/>
      <c r="M81" s="562"/>
      <c r="N81" s="562"/>
      <c r="O81" s="562"/>
      <c r="P81" s="562"/>
      <c r="Q81" s="562"/>
      <c r="R81" s="562"/>
      <c r="S81" s="562"/>
    </row>
    <row r="82" spans="1:19" s="560" customFormat="1" ht="19.5" customHeight="1">
      <c r="A82" s="561"/>
      <c r="B82" s="562"/>
      <c r="C82" s="562"/>
      <c r="D82" s="562"/>
      <c r="E82" s="562"/>
      <c r="F82" s="562"/>
      <c r="G82" s="562"/>
      <c r="H82" s="562"/>
      <c r="I82" s="562"/>
      <c r="J82" s="562"/>
      <c r="K82" s="562"/>
      <c r="L82" s="562"/>
      <c r="M82" s="562"/>
      <c r="N82" s="562"/>
      <c r="O82" s="562"/>
      <c r="P82" s="562"/>
      <c r="Q82" s="562"/>
      <c r="R82" s="562"/>
      <c r="S82" s="562"/>
    </row>
    <row r="83" spans="1:19" s="560" customFormat="1" ht="19.5" customHeight="1">
      <c r="A83" s="561"/>
      <c r="B83" s="562"/>
      <c r="C83" s="562"/>
      <c r="D83" s="562"/>
      <c r="E83" s="562"/>
      <c r="F83" s="562"/>
      <c r="G83" s="562"/>
      <c r="H83" s="562"/>
      <c r="I83" s="562"/>
      <c r="J83" s="562"/>
      <c r="K83" s="562"/>
      <c r="L83" s="562"/>
      <c r="M83" s="562"/>
      <c r="N83" s="562"/>
      <c r="O83" s="562"/>
      <c r="P83" s="562"/>
      <c r="Q83" s="562"/>
      <c r="R83" s="562"/>
      <c r="S83" s="562"/>
    </row>
    <row r="84" spans="1:19" s="560" customFormat="1" ht="19.5" customHeight="1">
      <c r="A84" s="561"/>
      <c r="B84" s="562"/>
      <c r="C84" s="562"/>
      <c r="D84" s="562"/>
      <c r="E84" s="562"/>
      <c r="F84" s="562"/>
      <c r="G84" s="562"/>
      <c r="H84" s="562"/>
      <c r="I84" s="562"/>
      <c r="J84" s="562"/>
      <c r="K84" s="562"/>
      <c r="L84" s="562"/>
      <c r="M84" s="562"/>
      <c r="N84" s="562"/>
      <c r="O84" s="562"/>
      <c r="P84" s="562"/>
      <c r="Q84" s="562"/>
      <c r="R84" s="562"/>
      <c r="S84" s="562"/>
    </row>
    <row r="85" spans="1:19" s="560" customFormat="1" ht="19.5" customHeight="1">
      <c r="A85" s="561"/>
      <c r="B85" s="562"/>
      <c r="C85" s="562"/>
      <c r="D85" s="562"/>
      <c r="E85" s="562"/>
      <c r="F85" s="562"/>
      <c r="G85" s="562"/>
      <c r="H85" s="562"/>
      <c r="I85" s="562"/>
      <c r="J85" s="562"/>
      <c r="K85" s="562"/>
      <c r="L85" s="562"/>
      <c r="M85" s="562"/>
      <c r="N85" s="562"/>
      <c r="O85" s="562"/>
      <c r="P85" s="562"/>
      <c r="Q85" s="562"/>
      <c r="R85" s="562"/>
      <c r="S85" s="562"/>
    </row>
    <row r="86" spans="1:19" s="560" customFormat="1" ht="19.5" customHeight="1">
      <c r="A86" s="561"/>
      <c r="B86" s="562"/>
      <c r="C86" s="562"/>
      <c r="D86" s="562"/>
      <c r="E86" s="562"/>
      <c r="F86" s="562"/>
      <c r="G86" s="562"/>
      <c r="H86" s="562"/>
      <c r="I86" s="562"/>
      <c r="J86" s="562"/>
      <c r="K86" s="562"/>
      <c r="L86" s="562"/>
      <c r="M86" s="562"/>
      <c r="N86" s="562"/>
      <c r="O86" s="562"/>
      <c r="P86" s="562"/>
      <c r="Q86" s="562"/>
      <c r="R86" s="562"/>
      <c r="S86" s="562"/>
    </row>
    <row r="87" spans="1:19" s="560" customFormat="1" ht="19.5" customHeight="1">
      <c r="A87" s="561"/>
      <c r="B87" s="562"/>
      <c r="C87" s="562"/>
      <c r="D87" s="562"/>
      <c r="E87" s="562"/>
      <c r="F87" s="562"/>
      <c r="G87" s="562"/>
      <c r="H87" s="562"/>
      <c r="I87" s="562"/>
      <c r="J87" s="562"/>
      <c r="K87" s="562"/>
      <c r="L87" s="562"/>
      <c r="M87" s="562"/>
      <c r="N87" s="562"/>
      <c r="O87" s="562"/>
      <c r="P87" s="562"/>
      <c r="Q87" s="562"/>
      <c r="R87" s="562"/>
      <c r="S87" s="562"/>
    </row>
    <row r="88" spans="1:19" s="560" customFormat="1" ht="19.5" customHeight="1">
      <c r="A88" s="561"/>
      <c r="B88" s="562"/>
      <c r="C88" s="562"/>
      <c r="D88" s="562"/>
      <c r="E88" s="562"/>
      <c r="F88" s="562"/>
      <c r="G88" s="562"/>
      <c r="H88" s="562"/>
      <c r="I88" s="562"/>
      <c r="J88" s="562"/>
      <c r="K88" s="562"/>
      <c r="L88" s="562"/>
      <c r="M88" s="562"/>
      <c r="N88" s="562"/>
      <c r="O88" s="562"/>
      <c r="P88" s="562"/>
      <c r="Q88" s="562"/>
      <c r="R88" s="562"/>
      <c r="S88" s="562"/>
    </row>
    <row r="89" spans="1:19" s="560" customFormat="1" ht="19.5" customHeight="1">
      <c r="A89" s="561"/>
      <c r="B89" s="562"/>
      <c r="C89" s="562"/>
      <c r="D89" s="562"/>
      <c r="E89" s="562"/>
      <c r="F89" s="562"/>
      <c r="G89" s="562"/>
      <c r="H89" s="562"/>
      <c r="I89" s="562"/>
      <c r="J89" s="562"/>
      <c r="K89" s="562"/>
      <c r="L89" s="562"/>
      <c r="M89" s="562"/>
      <c r="N89" s="562"/>
      <c r="O89" s="562"/>
      <c r="P89" s="562"/>
      <c r="Q89" s="562"/>
      <c r="R89" s="562"/>
      <c r="S89" s="562"/>
    </row>
    <row r="90" spans="1:19" s="560" customFormat="1" ht="19.5" customHeight="1">
      <c r="A90" s="561"/>
      <c r="B90" s="562"/>
      <c r="C90" s="562"/>
      <c r="D90" s="562"/>
      <c r="E90" s="562"/>
      <c r="F90" s="562"/>
      <c r="G90" s="562"/>
      <c r="H90" s="562"/>
      <c r="I90" s="562"/>
      <c r="J90" s="562"/>
      <c r="K90" s="562"/>
      <c r="L90" s="562"/>
      <c r="M90" s="562"/>
      <c r="N90" s="562"/>
      <c r="O90" s="562"/>
      <c r="P90" s="562"/>
      <c r="Q90" s="562"/>
      <c r="R90" s="562"/>
      <c r="S90" s="562"/>
    </row>
    <row r="91" spans="1:19" s="560" customFormat="1" ht="19.5" customHeight="1">
      <c r="A91" s="561"/>
      <c r="B91" s="562"/>
      <c r="C91" s="562"/>
      <c r="D91" s="562"/>
      <c r="E91" s="562"/>
      <c r="F91" s="562"/>
      <c r="G91" s="562"/>
      <c r="H91" s="562"/>
      <c r="I91" s="562"/>
      <c r="J91" s="562"/>
      <c r="K91" s="562"/>
      <c r="L91" s="562"/>
      <c r="M91" s="562"/>
      <c r="N91" s="562"/>
      <c r="O91" s="562"/>
      <c r="P91" s="562"/>
      <c r="Q91" s="562"/>
      <c r="R91" s="562"/>
      <c r="S91" s="562"/>
    </row>
    <row r="92" spans="1:19" s="560" customFormat="1" ht="19.5" customHeight="1">
      <c r="A92" s="561"/>
      <c r="B92" s="562"/>
      <c r="C92" s="562"/>
      <c r="D92" s="562"/>
      <c r="E92" s="562"/>
      <c r="F92" s="562"/>
      <c r="G92" s="562"/>
      <c r="H92" s="562"/>
      <c r="I92" s="562"/>
      <c r="J92" s="562"/>
      <c r="K92" s="562"/>
      <c r="L92" s="562"/>
      <c r="M92" s="562"/>
      <c r="N92" s="562"/>
      <c r="O92" s="562"/>
      <c r="P92" s="562"/>
      <c r="Q92" s="562"/>
      <c r="R92" s="562"/>
      <c r="S92" s="562"/>
    </row>
    <row r="93" spans="1:19" s="560" customFormat="1" ht="19.5" customHeight="1">
      <c r="A93" s="561"/>
      <c r="B93" s="562"/>
      <c r="C93" s="562"/>
      <c r="D93" s="562"/>
      <c r="E93" s="562"/>
      <c r="F93" s="562"/>
      <c r="G93" s="562"/>
      <c r="H93" s="562"/>
      <c r="I93" s="562"/>
      <c r="J93" s="562"/>
      <c r="K93" s="562"/>
      <c r="L93" s="562"/>
      <c r="M93" s="562"/>
      <c r="N93" s="562"/>
      <c r="O93" s="562"/>
      <c r="P93" s="562"/>
      <c r="Q93" s="562"/>
      <c r="R93" s="562"/>
      <c r="S93" s="562"/>
    </row>
    <row r="94" spans="1:19" s="560" customFormat="1" ht="19.5" customHeight="1">
      <c r="A94" s="561"/>
      <c r="B94" s="562"/>
      <c r="C94" s="562"/>
      <c r="D94" s="562"/>
      <c r="E94" s="562"/>
      <c r="F94" s="562"/>
      <c r="G94" s="562"/>
      <c r="H94" s="562"/>
      <c r="I94" s="562"/>
      <c r="J94" s="562"/>
      <c r="K94" s="562"/>
      <c r="L94" s="562"/>
      <c r="M94" s="562"/>
      <c r="N94" s="562"/>
      <c r="O94" s="562"/>
      <c r="P94" s="562"/>
      <c r="Q94" s="562"/>
      <c r="R94" s="562"/>
      <c r="S94" s="562"/>
    </row>
    <row r="95" spans="1:19" s="560" customFormat="1" ht="19.5" customHeight="1">
      <c r="A95" s="561"/>
      <c r="B95" s="562"/>
      <c r="C95" s="562"/>
      <c r="D95" s="562"/>
      <c r="E95" s="562"/>
      <c r="F95" s="562"/>
      <c r="G95" s="562"/>
      <c r="H95" s="562"/>
      <c r="I95" s="562"/>
      <c r="J95" s="562"/>
      <c r="K95" s="562"/>
      <c r="L95" s="562"/>
      <c r="M95" s="562"/>
      <c r="N95" s="562"/>
      <c r="O95" s="562"/>
      <c r="P95" s="562"/>
      <c r="Q95" s="562"/>
      <c r="R95" s="562"/>
      <c r="S95" s="562"/>
    </row>
    <row r="96" spans="1:19" s="560" customFormat="1" ht="19.5" customHeight="1">
      <c r="A96" s="561"/>
      <c r="B96" s="562"/>
      <c r="C96" s="562"/>
      <c r="D96" s="562"/>
      <c r="E96" s="562"/>
      <c r="F96" s="562"/>
      <c r="G96" s="562"/>
      <c r="H96" s="562"/>
      <c r="I96" s="562"/>
      <c r="J96" s="562"/>
      <c r="K96" s="562"/>
      <c r="L96" s="562"/>
      <c r="M96" s="562"/>
      <c r="N96" s="562"/>
      <c r="O96" s="562"/>
      <c r="P96" s="562"/>
      <c r="Q96" s="562"/>
      <c r="R96" s="562"/>
      <c r="S96" s="562"/>
    </row>
    <row r="97" spans="1:19" s="560" customFormat="1" ht="19.5" customHeight="1">
      <c r="A97" s="561"/>
      <c r="B97" s="562"/>
      <c r="C97" s="562"/>
      <c r="D97" s="562"/>
      <c r="E97" s="562"/>
      <c r="F97" s="562"/>
      <c r="G97" s="562"/>
      <c r="H97" s="562"/>
      <c r="I97" s="562"/>
      <c r="J97" s="562"/>
      <c r="K97" s="562"/>
      <c r="L97" s="562"/>
      <c r="M97" s="562"/>
      <c r="N97" s="562"/>
      <c r="O97" s="562"/>
      <c r="P97" s="562"/>
      <c r="Q97" s="562"/>
      <c r="R97" s="562"/>
      <c r="S97" s="562"/>
    </row>
    <row r="98" spans="1:19" s="560" customFormat="1" ht="19.5" customHeight="1">
      <c r="A98" s="561"/>
      <c r="B98" s="562"/>
      <c r="C98" s="562"/>
      <c r="D98" s="562"/>
      <c r="E98" s="562"/>
      <c r="F98" s="562"/>
      <c r="G98" s="562"/>
      <c r="H98" s="562"/>
      <c r="I98" s="562"/>
      <c r="J98" s="562"/>
      <c r="K98" s="562"/>
      <c r="L98" s="562"/>
      <c r="M98" s="562"/>
      <c r="N98" s="562"/>
      <c r="O98" s="562"/>
      <c r="P98" s="562"/>
      <c r="Q98" s="562"/>
      <c r="R98" s="562"/>
      <c r="S98" s="562"/>
    </row>
    <row r="99" spans="1:19" s="560" customFormat="1" ht="19.5" customHeight="1">
      <c r="A99" s="561"/>
      <c r="B99" s="562"/>
      <c r="C99" s="562"/>
      <c r="D99" s="562"/>
      <c r="E99" s="562"/>
      <c r="F99" s="562"/>
      <c r="G99" s="562"/>
      <c r="H99" s="562"/>
      <c r="I99" s="562"/>
      <c r="J99" s="562"/>
      <c r="K99" s="562"/>
      <c r="L99" s="562"/>
      <c r="M99" s="562"/>
      <c r="N99" s="562"/>
      <c r="O99" s="562"/>
      <c r="P99" s="562"/>
      <c r="Q99" s="562"/>
      <c r="R99" s="562"/>
      <c r="S99" s="562"/>
    </row>
    <row r="100" spans="1:19" s="560" customFormat="1" ht="19.5" customHeight="1">
      <c r="A100" s="561"/>
      <c r="B100" s="562"/>
      <c r="C100" s="562"/>
      <c r="D100" s="562"/>
      <c r="E100" s="562"/>
      <c r="F100" s="562"/>
      <c r="G100" s="562"/>
      <c r="H100" s="562"/>
      <c r="I100" s="562"/>
      <c r="J100" s="562"/>
      <c r="K100" s="562"/>
      <c r="L100" s="562"/>
      <c r="M100" s="562"/>
      <c r="N100" s="562"/>
      <c r="O100" s="562"/>
      <c r="P100" s="562"/>
      <c r="Q100" s="562"/>
      <c r="R100" s="562"/>
      <c r="S100" s="562"/>
    </row>
    <row r="101" spans="1:19" s="560" customFormat="1" ht="19.5" customHeight="1">
      <c r="A101" s="561"/>
      <c r="B101" s="562"/>
      <c r="C101" s="562"/>
      <c r="D101" s="562"/>
      <c r="E101" s="562"/>
      <c r="F101" s="562"/>
      <c r="G101" s="562"/>
      <c r="H101" s="562"/>
      <c r="I101" s="562"/>
      <c r="J101" s="562"/>
      <c r="K101" s="562"/>
      <c r="L101" s="562"/>
      <c r="M101" s="562"/>
      <c r="N101" s="562"/>
      <c r="O101" s="562"/>
      <c r="P101" s="562"/>
      <c r="Q101" s="562"/>
      <c r="R101" s="562"/>
      <c r="S101" s="562"/>
    </row>
    <row r="102" spans="1:19" s="560" customFormat="1" ht="19.5" customHeight="1">
      <c r="A102" s="561"/>
      <c r="B102" s="562"/>
      <c r="C102" s="562"/>
      <c r="D102" s="562"/>
      <c r="E102" s="562"/>
      <c r="F102" s="562"/>
      <c r="G102" s="562"/>
      <c r="H102" s="562"/>
      <c r="I102" s="562"/>
      <c r="J102" s="562"/>
      <c r="K102" s="562"/>
      <c r="L102" s="562"/>
      <c r="M102" s="562"/>
      <c r="N102" s="562"/>
      <c r="O102" s="562"/>
      <c r="P102" s="562"/>
      <c r="Q102" s="562"/>
      <c r="R102" s="562"/>
      <c r="S102" s="562"/>
    </row>
    <row r="103" spans="1:19" s="560" customFormat="1" ht="19.5" customHeight="1">
      <c r="A103" s="561"/>
      <c r="B103" s="562"/>
      <c r="C103" s="562"/>
      <c r="D103" s="562"/>
      <c r="E103" s="562"/>
      <c r="F103" s="562"/>
      <c r="G103" s="562"/>
      <c r="H103" s="562"/>
      <c r="I103" s="562"/>
      <c r="J103" s="562"/>
      <c r="K103" s="562"/>
      <c r="L103" s="562"/>
      <c r="M103" s="562"/>
      <c r="N103" s="562"/>
      <c r="O103" s="562"/>
      <c r="P103" s="562"/>
      <c r="Q103" s="562"/>
      <c r="R103" s="562"/>
      <c r="S103" s="562"/>
    </row>
    <row r="104" spans="1:19" s="560" customFormat="1" ht="19.5" customHeight="1">
      <c r="A104" s="561"/>
      <c r="B104" s="562"/>
      <c r="C104" s="562"/>
      <c r="D104" s="562"/>
      <c r="E104" s="562"/>
      <c r="F104" s="562"/>
      <c r="G104" s="562"/>
      <c r="H104" s="562"/>
      <c r="I104" s="562"/>
      <c r="J104" s="562"/>
      <c r="K104" s="562"/>
      <c r="L104" s="562"/>
      <c r="M104" s="562"/>
      <c r="N104" s="562"/>
      <c r="O104" s="562"/>
      <c r="P104" s="562"/>
      <c r="Q104" s="562"/>
      <c r="R104" s="562"/>
      <c r="S104" s="562"/>
    </row>
    <row r="105" spans="1:19" s="560" customFormat="1" ht="19.5" customHeight="1">
      <c r="A105" s="561"/>
      <c r="B105" s="562"/>
      <c r="C105" s="562"/>
      <c r="D105" s="562"/>
      <c r="E105" s="562"/>
      <c r="F105" s="562"/>
      <c r="G105" s="562"/>
      <c r="H105" s="562"/>
      <c r="I105" s="562"/>
      <c r="J105" s="562"/>
      <c r="K105" s="562"/>
      <c r="L105" s="562"/>
      <c r="M105" s="562"/>
      <c r="N105" s="562"/>
      <c r="O105" s="562"/>
      <c r="P105" s="562"/>
      <c r="Q105" s="562"/>
      <c r="R105" s="562"/>
      <c r="S105" s="562"/>
    </row>
    <row r="106" spans="1:19" s="560" customFormat="1" ht="19.5" customHeight="1">
      <c r="A106" s="561"/>
      <c r="B106" s="562"/>
      <c r="C106" s="562"/>
      <c r="D106" s="562"/>
      <c r="E106" s="562"/>
      <c r="F106" s="562"/>
      <c r="G106" s="562"/>
      <c r="H106" s="562"/>
      <c r="I106" s="562"/>
      <c r="J106" s="562"/>
      <c r="K106" s="562"/>
      <c r="L106" s="562"/>
      <c r="M106" s="562"/>
      <c r="N106" s="562"/>
      <c r="O106" s="562"/>
      <c r="P106" s="562"/>
      <c r="Q106" s="562"/>
      <c r="R106" s="562"/>
      <c r="S106" s="562"/>
    </row>
    <row r="107" spans="1:19" s="560" customFormat="1" ht="19.5" customHeight="1">
      <c r="A107" s="561"/>
      <c r="B107" s="562"/>
      <c r="C107" s="562"/>
      <c r="D107" s="562"/>
      <c r="E107" s="562"/>
      <c r="F107" s="562"/>
      <c r="G107" s="562"/>
      <c r="H107" s="562"/>
      <c r="I107" s="562"/>
      <c r="J107" s="562"/>
      <c r="K107" s="562"/>
      <c r="L107" s="562"/>
      <c r="M107" s="562"/>
      <c r="N107" s="562"/>
      <c r="O107" s="562"/>
      <c r="P107" s="562"/>
      <c r="Q107" s="562"/>
      <c r="R107" s="562"/>
      <c r="S107" s="562"/>
    </row>
    <row r="108" spans="1:19" s="560" customFormat="1" ht="19.5" customHeight="1">
      <c r="A108" s="561"/>
      <c r="B108" s="562"/>
      <c r="C108" s="562"/>
      <c r="D108" s="562"/>
      <c r="E108" s="562"/>
      <c r="F108" s="562"/>
      <c r="G108" s="562"/>
      <c r="H108" s="562"/>
      <c r="I108" s="562"/>
      <c r="J108" s="562"/>
      <c r="K108" s="562"/>
      <c r="L108" s="562"/>
      <c r="M108" s="562"/>
      <c r="N108" s="562"/>
      <c r="O108" s="562"/>
      <c r="P108" s="562"/>
      <c r="Q108" s="562"/>
      <c r="R108" s="562"/>
      <c r="S108" s="562"/>
    </row>
    <row r="109" spans="1:19" s="560" customFormat="1" ht="19.5" customHeight="1">
      <c r="A109" s="561"/>
      <c r="B109" s="562"/>
      <c r="C109" s="562"/>
      <c r="D109" s="562"/>
      <c r="E109" s="562"/>
      <c r="F109" s="562"/>
      <c r="G109" s="562"/>
      <c r="H109" s="562"/>
      <c r="I109" s="562"/>
      <c r="J109" s="562"/>
      <c r="K109" s="562"/>
      <c r="L109" s="562"/>
      <c r="M109" s="562"/>
      <c r="N109" s="562"/>
      <c r="O109" s="562"/>
      <c r="P109" s="562"/>
      <c r="Q109" s="562"/>
      <c r="R109" s="562"/>
      <c r="S109" s="562"/>
    </row>
    <row r="110" spans="1:19" s="560" customFormat="1" ht="19.5" customHeight="1">
      <c r="A110" s="561"/>
      <c r="B110" s="562"/>
      <c r="C110" s="562"/>
      <c r="D110" s="562"/>
      <c r="E110" s="562"/>
      <c r="F110" s="562"/>
      <c r="G110" s="562"/>
      <c r="H110" s="562"/>
      <c r="I110" s="562"/>
      <c r="J110" s="562"/>
      <c r="K110" s="562"/>
      <c r="L110" s="562"/>
      <c r="M110" s="562"/>
      <c r="N110" s="562"/>
      <c r="O110" s="562"/>
      <c r="P110" s="562"/>
      <c r="Q110" s="562"/>
      <c r="R110" s="562"/>
      <c r="S110" s="562"/>
    </row>
    <row r="111" spans="1:19" s="560" customFormat="1" ht="19.5" customHeight="1">
      <c r="A111" s="561"/>
      <c r="B111" s="562"/>
      <c r="C111" s="562"/>
      <c r="D111" s="562"/>
      <c r="E111" s="562"/>
      <c r="F111" s="562"/>
      <c r="G111" s="562"/>
      <c r="H111" s="562"/>
      <c r="I111" s="562"/>
      <c r="J111" s="562"/>
      <c r="K111" s="562"/>
      <c r="L111" s="562"/>
      <c r="M111" s="562"/>
      <c r="N111" s="562"/>
      <c r="O111" s="562"/>
      <c r="P111" s="562"/>
      <c r="Q111" s="562"/>
      <c r="R111" s="562"/>
      <c r="S111" s="562"/>
    </row>
    <row r="112" spans="1:19" s="560" customFormat="1" ht="19.5" customHeight="1">
      <c r="A112" s="561"/>
      <c r="B112" s="562"/>
      <c r="C112" s="562"/>
      <c r="D112" s="562"/>
      <c r="E112" s="562"/>
      <c r="F112" s="562"/>
      <c r="G112" s="562"/>
      <c r="H112" s="562"/>
      <c r="I112" s="562"/>
      <c r="J112" s="562"/>
      <c r="K112" s="562"/>
      <c r="L112" s="562"/>
      <c r="M112" s="562"/>
      <c r="N112" s="562"/>
      <c r="O112" s="562"/>
      <c r="P112" s="562"/>
      <c r="Q112" s="562"/>
      <c r="R112" s="562"/>
      <c r="S112" s="562"/>
    </row>
    <row r="113" spans="1:19" s="560" customFormat="1" ht="19.5" customHeight="1">
      <c r="A113" s="561"/>
      <c r="B113" s="562"/>
      <c r="C113" s="562"/>
      <c r="D113" s="562"/>
      <c r="E113" s="562"/>
      <c r="F113" s="562"/>
      <c r="G113" s="562"/>
      <c r="H113" s="562"/>
      <c r="I113" s="562"/>
      <c r="J113" s="562"/>
      <c r="K113" s="562"/>
      <c r="L113" s="562"/>
      <c r="M113" s="562"/>
      <c r="N113" s="562"/>
      <c r="O113" s="562"/>
      <c r="P113" s="562"/>
      <c r="Q113" s="562"/>
      <c r="R113" s="562"/>
      <c r="S113" s="562"/>
    </row>
    <row r="114" spans="1:19" s="560" customFormat="1" ht="19.5" customHeight="1">
      <c r="A114" s="561"/>
      <c r="B114" s="562"/>
      <c r="C114" s="562"/>
      <c r="D114" s="562"/>
      <c r="E114" s="562"/>
      <c r="F114" s="562"/>
      <c r="G114" s="562"/>
      <c r="H114" s="562"/>
      <c r="I114" s="562"/>
      <c r="J114" s="562"/>
      <c r="K114" s="562"/>
      <c r="L114" s="562"/>
      <c r="M114" s="562"/>
      <c r="N114" s="562"/>
      <c r="O114" s="562"/>
      <c r="P114" s="562"/>
      <c r="Q114" s="562"/>
      <c r="R114" s="562"/>
      <c r="S114" s="562"/>
    </row>
    <row r="115" spans="1:19" s="560" customFormat="1" ht="19.5" customHeight="1">
      <c r="A115" s="561"/>
      <c r="B115" s="562"/>
      <c r="C115" s="562"/>
      <c r="D115" s="562"/>
      <c r="E115" s="562"/>
      <c r="F115" s="562"/>
      <c r="G115" s="562"/>
      <c r="H115" s="562"/>
      <c r="I115" s="562"/>
      <c r="J115" s="562"/>
      <c r="K115" s="562"/>
      <c r="L115" s="562"/>
      <c r="M115" s="562"/>
      <c r="N115" s="562"/>
      <c r="O115" s="562"/>
      <c r="P115" s="562"/>
      <c r="Q115" s="562"/>
      <c r="R115" s="562"/>
      <c r="S115" s="562"/>
    </row>
    <row r="116" ht="19.5" customHeight="1"/>
    <row r="117" ht="9.75" customHeight="1"/>
    <row r="118" ht="19.5" customHeight="1"/>
    <row r="119" ht="19.5" customHeight="1"/>
    <row r="120" ht="19.5" customHeight="1"/>
    <row r="121" ht="19.5" customHeight="1"/>
    <row r="122" spans="1:19" s="560" customFormat="1" ht="19.5" customHeight="1">
      <c r="A122" s="561"/>
      <c r="B122" s="562"/>
      <c r="C122" s="562"/>
      <c r="D122" s="562"/>
      <c r="E122" s="562"/>
      <c r="F122" s="562"/>
      <c r="G122" s="562"/>
      <c r="H122" s="562"/>
      <c r="I122" s="562"/>
      <c r="J122" s="562"/>
      <c r="K122" s="562"/>
      <c r="L122" s="562"/>
      <c r="M122" s="562"/>
      <c r="N122" s="562"/>
      <c r="O122" s="562"/>
      <c r="P122" s="562"/>
      <c r="Q122" s="562"/>
      <c r="R122" s="562"/>
      <c r="S122" s="562"/>
    </row>
    <row r="123" spans="1:19" s="560" customFormat="1" ht="19.5" customHeight="1">
      <c r="A123" s="561"/>
      <c r="B123" s="562"/>
      <c r="C123" s="562"/>
      <c r="D123" s="562"/>
      <c r="E123" s="562"/>
      <c r="F123" s="562"/>
      <c r="G123" s="562"/>
      <c r="H123" s="562"/>
      <c r="I123" s="562"/>
      <c r="J123" s="562"/>
      <c r="K123" s="562"/>
      <c r="L123" s="562"/>
      <c r="M123" s="562"/>
      <c r="N123" s="562"/>
      <c r="O123" s="562"/>
      <c r="P123" s="562"/>
      <c r="Q123" s="562"/>
      <c r="R123" s="562"/>
      <c r="S123" s="562"/>
    </row>
    <row r="124" spans="1:19" s="560" customFormat="1" ht="19.5" customHeight="1">
      <c r="A124" s="561"/>
      <c r="B124" s="562"/>
      <c r="C124" s="562"/>
      <c r="D124" s="562"/>
      <c r="E124" s="562"/>
      <c r="F124" s="562"/>
      <c r="G124" s="562"/>
      <c r="H124" s="562"/>
      <c r="I124" s="562"/>
      <c r="J124" s="562"/>
      <c r="K124" s="562"/>
      <c r="L124" s="562"/>
      <c r="M124" s="562"/>
      <c r="N124" s="562"/>
      <c r="O124" s="562"/>
      <c r="P124" s="562"/>
      <c r="Q124" s="562"/>
      <c r="R124" s="562"/>
      <c r="S124" s="562"/>
    </row>
    <row r="125" spans="1:19" s="560" customFormat="1" ht="19.5" customHeight="1">
      <c r="A125" s="561"/>
      <c r="B125" s="562"/>
      <c r="C125" s="562"/>
      <c r="D125" s="562"/>
      <c r="E125" s="562"/>
      <c r="F125" s="562"/>
      <c r="G125" s="562"/>
      <c r="H125" s="562"/>
      <c r="I125" s="562"/>
      <c r="J125" s="562"/>
      <c r="K125" s="562"/>
      <c r="L125" s="562"/>
      <c r="M125" s="562"/>
      <c r="N125" s="562"/>
      <c r="O125" s="562"/>
      <c r="P125" s="562"/>
      <c r="Q125" s="562"/>
      <c r="R125" s="562"/>
      <c r="S125" s="562"/>
    </row>
    <row r="126" spans="1:19" s="560" customFormat="1" ht="19.5" customHeight="1">
      <c r="A126" s="561"/>
      <c r="B126" s="562"/>
      <c r="C126" s="562"/>
      <c r="D126" s="562"/>
      <c r="E126" s="562"/>
      <c r="F126" s="562"/>
      <c r="G126" s="562"/>
      <c r="H126" s="562"/>
      <c r="I126" s="562"/>
      <c r="J126" s="562"/>
      <c r="K126" s="562"/>
      <c r="L126" s="562"/>
      <c r="M126" s="562"/>
      <c r="N126" s="562"/>
      <c r="O126" s="562"/>
      <c r="P126" s="562"/>
      <c r="Q126" s="562"/>
      <c r="R126" s="562"/>
      <c r="S126" s="562"/>
    </row>
    <row r="127" spans="1:19" s="560" customFormat="1" ht="19.5" customHeight="1">
      <c r="A127" s="561"/>
      <c r="B127" s="562"/>
      <c r="C127" s="562"/>
      <c r="D127" s="562"/>
      <c r="E127" s="562"/>
      <c r="F127" s="562"/>
      <c r="G127" s="562"/>
      <c r="H127" s="562"/>
      <c r="I127" s="562"/>
      <c r="J127" s="562"/>
      <c r="K127" s="562"/>
      <c r="L127" s="562"/>
      <c r="M127" s="562"/>
      <c r="N127" s="562"/>
      <c r="O127" s="562"/>
      <c r="P127" s="562"/>
      <c r="Q127" s="562"/>
      <c r="R127" s="562"/>
      <c r="S127" s="562"/>
    </row>
    <row r="128" spans="1:19" s="560" customFormat="1" ht="19.5" customHeight="1">
      <c r="A128" s="561"/>
      <c r="B128" s="562"/>
      <c r="C128" s="562"/>
      <c r="D128" s="562"/>
      <c r="E128" s="562"/>
      <c r="F128" s="562"/>
      <c r="G128" s="562"/>
      <c r="H128" s="562"/>
      <c r="I128" s="562"/>
      <c r="J128" s="562"/>
      <c r="K128" s="562"/>
      <c r="L128" s="562"/>
      <c r="M128" s="562"/>
      <c r="N128" s="562"/>
      <c r="O128" s="562"/>
      <c r="P128" s="562"/>
      <c r="Q128" s="562"/>
      <c r="R128" s="562"/>
      <c r="S128" s="562"/>
    </row>
    <row r="129" spans="1:19" s="560" customFormat="1" ht="19.5" customHeight="1">
      <c r="A129" s="561"/>
      <c r="B129" s="562"/>
      <c r="C129" s="562"/>
      <c r="D129" s="562"/>
      <c r="E129" s="562"/>
      <c r="F129" s="562"/>
      <c r="G129" s="562"/>
      <c r="H129" s="562"/>
      <c r="I129" s="562"/>
      <c r="J129" s="562"/>
      <c r="K129" s="562"/>
      <c r="L129" s="562"/>
      <c r="M129" s="562"/>
      <c r="N129" s="562"/>
      <c r="O129" s="562"/>
      <c r="P129" s="562"/>
      <c r="Q129" s="562"/>
      <c r="R129" s="562"/>
      <c r="S129" s="562"/>
    </row>
    <row r="130" spans="1:19" s="560" customFormat="1" ht="19.5" customHeight="1">
      <c r="A130" s="561"/>
      <c r="B130" s="562"/>
      <c r="C130" s="562"/>
      <c r="D130" s="562"/>
      <c r="E130" s="562"/>
      <c r="F130" s="562"/>
      <c r="G130" s="562"/>
      <c r="H130" s="562"/>
      <c r="I130" s="562"/>
      <c r="J130" s="562"/>
      <c r="K130" s="562"/>
      <c r="L130" s="562"/>
      <c r="M130" s="562"/>
      <c r="N130" s="562"/>
      <c r="O130" s="562"/>
      <c r="P130" s="562"/>
      <c r="Q130" s="562"/>
      <c r="R130" s="562"/>
      <c r="S130" s="562"/>
    </row>
    <row r="131" spans="1:19" s="560" customFormat="1" ht="19.5" customHeight="1">
      <c r="A131" s="561"/>
      <c r="B131" s="562"/>
      <c r="C131" s="562"/>
      <c r="D131" s="562"/>
      <c r="E131" s="562"/>
      <c r="F131" s="562"/>
      <c r="G131" s="562"/>
      <c r="H131" s="562"/>
      <c r="I131" s="562"/>
      <c r="J131" s="562"/>
      <c r="K131" s="562"/>
      <c r="L131" s="562"/>
      <c r="M131" s="562"/>
      <c r="N131" s="562"/>
      <c r="O131" s="562"/>
      <c r="P131" s="562"/>
      <c r="Q131" s="562"/>
      <c r="R131" s="562"/>
      <c r="S131" s="562"/>
    </row>
    <row r="132" spans="1:19" s="560" customFormat="1" ht="19.5" customHeight="1">
      <c r="A132" s="561"/>
      <c r="B132" s="562"/>
      <c r="C132" s="562"/>
      <c r="D132" s="562"/>
      <c r="E132" s="562"/>
      <c r="F132" s="562"/>
      <c r="G132" s="562"/>
      <c r="H132" s="562"/>
      <c r="I132" s="562"/>
      <c r="J132" s="562"/>
      <c r="K132" s="562"/>
      <c r="L132" s="562"/>
      <c r="M132" s="562"/>
      <c r="N132" s="562"/>
      <c r="O132" s="562"/>
      <c r="P132" s="562"/>
      <c r="Q132" s="562"/>
      <c r="R132" s="562"/>
      <c r="S132" s="562"/>
    </row>
    <row r="133" spans="1:19" s="560" customFormat="1" ht="19.5" customHeight="1">
      <c r="A133" s="561"/>
      <c r="B133" s="562"/>
      <c r="C133" s="562"/>
      <c r="D133" s="562"/>
      <c r="E133" s="562"/>
      <c r="F133" s="562"/>
      <c r="G133" s="562"/>
      <c r="H133" s="562"/>
      <c r="I133" s="562"/>
      <c r="J133" s="562"/>
      <c r="K133" s="562"/>
      <c r="L133" s="562"/>
      <c r="M133" s="562"/>
      <c r="N133" s="562"/>
      <c r="O133" s="562"/>
      <c r="P133" s="562"/>
      <c r="Q133" s="562"/>
      <c r="R133" s="562"/>
      <c r="S133" s="562"/>
    </row>
    <row r="134" spans="1:19" s="560" customFormat="1" ht="19.5" customHeight="1">
      <c r="A134" s="561"/>
      <c r="B134" s="562"/>
      <c r="C134" s="562"/>
      <c r="D134" s="562"/>
      <c r="E134" s="562"/>
      <c r="F134" s="562"/>
      <c r="G134" s="562"/>
      <c r="H134" s="562"/>
      <c r="I134" s="562"/>
      <c r="J134" s="562"/>
      <c r="K134" s="562"/>
      <c r="L134" s="562"/>
      <c r="M134" s="562"/>
      <c r="N134" s="562"/>
      <c r="O134" s="562"/>
      <c r="P134" s="562"/>
      <c r="Q134" s="562"/>
      <c r="R134" s="562"/>
      <c r="S134" s="562"/>
    </row>
    <row r="135" spans="1:19" s="560" customFormat="1" ht="19.5" customHeight="1">
      <c r="A135" s="561"/>
      <c r="B135" s="562"/>
      <c r="C135" s="562"/>
      <c r="D135" s="562"/>
      <c r="E135" s="562"/>
      <c r="F135" s="562"/>
      <c r="G135" s="562"/>
      <c r="H135" s="562"/>
      <c r="I135" s="562"/>
      <c r="J135" s="562"/>
      <c r="K135" s="562"/>
      <c r="L135" s="562"/>
      <c r="M135" s="562"/>
      <c r="N135" s="562"/>
      <c r="O135" s="562"/>
      <c r="P135" s="562"/>
      <c r="Q135" s="562"/>
      <c r="R135" s="562"/>
      <c r="S135" s="562"/>
    </row>
    <row r="136" spans="1:19" s="560" customFormat="1" ht="19.5" customHeight="1">
      <c r="A136" s="561"/>
      <c r="B136" s="562"/>
      <c r="C136" s="562"/>
      <c r="D136" s="562"/>
      <c r="E136" s="562"/>
      <c r="F136" s="562"/>
      <c r="G136" s="562"/>
      <c r="H136" s="562"/>
      <c r="I136" s="562"/>
      <c r="J136" s="562"/>
      <c r="K136" s="562"/>
      <c r="L136" s="562"/>
      <c r="M136" s="562"/>
      <c r="N136" s="562"/>
      <c r="O136" s="562"/>
      <c r="P136" s="562"/>
      <c r="Q136" s="562"/>
      <c r="R136" s="562"/>
      <c r="S136" s="562"/>
    </row>
    <row r="137" spans="1:19" s="560" customFormat="1" ht="19.5" customHeight="1">
      <c r="A137" s="561"/>
      <c r="B137" s="562"/>
      <c r="C137" s="562"/>
      <c r="D137" s="562"/>
      <c r="E137" s="562"/>
      <c r="F137" s="562"/>
      <c r="G137" s="562"/>
      <c r="H137" s="562"/>
      <c r="I137" s="562"/>
      <c r="J137" s="562"/>
      <c r="K137" s="562"/>
      <c r="L137" s="562"/>
      <c r="M137" s="562"/>
      <c r="N137" s="562"/>
      <c r="O137" s="562"/>
      <c r="P137" s="562"/>
      <c r="Q137" s="562"/>
      <c r="R137" s="562"/>
      <c r="S137" s="562"/>
    </row>
    <row r="138" spans="1:19" s="560" customFormat="1" ht="19.5" customHeight="1">
      <c r="A138" s="561"/>
      <c r="B138" s="562"/>
      <c r="C138" s="562"/>
      <c r="D138" s="562"/>
      <c r="E138" s="562"/>
      <c r="F138" s="562"/>
      <c r="G138" s="562"/>
      <c r="H138" s="562"/>
      <c r="I138" s="562"/>
      <c r="J138" s="562"/>
      <c r="K138" s="562"/>
      <c r="L138" s="562"/>
      <c r="M138" s="562"/>
      <c r="N138" s="562"/>
      <c r="O138" s="562"/>
      <c r="P138" s="562"/>
      <c r="Q138" s="562"/>
      <c r="R138" s="562"/>
      <c r="S138" s="562"/>
    </row>
    <row r="139" spans="1:19" s="560" customFormat="1" ht="19.5" customHeight="1">
      <c r="A139" s="561"/>
      <c r="B139" s="562"/>
      <c r="C139" s="562"/>
      <c r="D139" s="562"/>
      <c r="E139" s="562"/>
      <c r="F139" s="562"/>
      <c r="G139" s="562"/>
      <c r="H139" s="562"/>
      <c r="I139" s="562"/>
      <c r="J139" s="562"/>
      <c r="K139" s="562"/>
      <c r="L139" s="562"/>
      <c r="M139" s="562"/>
      <c r="N139" s="562"/>
      <c r="O139" s="562"/>
      <c r="P139" s="562"/>
      <c r="Q139" s="562"/>
      <c r="R139" s="562"/>
      <c r="S139" s="562"/>
    </row>
    <row r="140" spans="1:19" s="560" customFormat="1" ht="19.5" customHeight="1">
      <c r="A140" s="561"/>
      <c r="B140" s="562"/>
      <c r="C140" s="562"/>
      <c r="D140" s="562"/>
      <c r="E140" s="562"/>
      <c r="F140" s="562"/>
      <c r="G140" s="562"/>
      <c r="H140" s="562"/>
      <c r="I140" s="562"/>
      <c r="J140" s="562"/>
      <c r="K140" s="562"/>
      <c r="L140" s="562"/>
      <c r="M140" s="562"/>
      <c r="N140" s="562"/>
      <c r="O140" s="562"/>
      <c r="P140" s="562"/>
      <c r="Q140" s="562"/>
      <c r="R140" s="562"/>
      <c r="S140" s="562"/>
    </row>
    <row r="141" spans="1:19" s="560" customFormat="1" ht="19.5" customHeight="1">
      <c r="A141" s="561"/>
      <c r="B141" s="562"/>
      <c r="C141" s="562"/>
      <c r="D141" s="562"/>
      <c r="E141" s="562"/>
      <c r="F141" s="562"/>
      <c r="G141" s="562"/>
      <c r="H141" s="562"/>
      <c r="I141" s="562"/>
      <c r="J141" s="562"/>
      <c r="K141" s="562"/>
      <c r="L141" s="562"/>
      <c r="M141" s="562"/>
      <c r="N141" s="562"/>
      <c r="O141" s="562"/>
      <c r="P141" s="562"/>
      <c r="Q141" s="562"/>
      <c r="R141" s="562"/>
      <c r="S141" s="562"/>
    </row>
    <row r="142" spans="1:19" s="560" customFormat="1" ht="19.5" customHeight="1">
      <c r="A142" s="561"/>
      <c r="B142" s="562"/>
      <c r="C142" s="562"/>
      <c r="D142" s="562"/>
      <c r="E142" s="562"/>
      <c r="F142" s="562"/>
      <c r="G142" s="562"/>
      <c r="H142" s="562"/>
      <c r="I142" s="562"/>
      <c r="J142" s="562"/>
      <c r="K142" s="562"/>
      <c r="L142" s="562"/>
      <c r="M142" s="562"/>
      <c r="N142" s="562"/>
      <c r="O142" s="562"/>
      <c r="P142" s="562"/>
      <c r="Q142" s="562"/>
      <c r="R142" s="562"/>
      <c r="S142" s="562"/>
    </row>
    <row r="143" spans="1:19" s="560" customFormat="1" ht="19.5" customHeight="1">
      <c r="A143" s="561"/>
      <c r="B143" s="562"/>
      <c r="C143" s="562"/>
      <c r="D143" s="562"/>
      <c r="E143" s="562"/>
      <c r="F143" s="562"/>
      <c r="G143" s="562"/>
      <c r="H143" s="562"/>
      <c r="I143" s="562"/>
      <c r="J143" s="562"/>
      <c r="K143" s="562"/>
      <c r="L143" s="562"/>
      <c r="M143" s="562"/>
      <c r="N143" s="562"/>
      <c r="O143" s="562"/>
      <c r="P143" s="562"/>
      <c r="Q143" s="562"/>
      <c r="R143" s="562"/>
      <c r="S143" s="562"/>
    </row>
    <row r="144" spans="1:19" s="560" customFormat="1" ht="19.5" customHeight="1">
      <c r="A144" s="561"/>
      <c r="B144" s="562"/>
      <c r="C144" s="562"/>
      <c r="D144" s="562"/>
      <c r="E144" s="562"/>
      <c r="F144" s="562"/>
      <c r="G144" s="562"/>
      <c r="H144" s="562"/>
      <c r="I144" s="562"/>
      <c r="J144" s="562"/>
      <c r="K144" s="562"/>
      <c r="L144" s="562"/>
      <c r="M144" s="562"/>
      <c r="N144" s="562"/>
      <c r="O144" s="562"/>
      <c r="P144" s="562"/>
      <c r="Q144" s="562"/>
      <c r="R144" s="562"/>
      <c r="S144" s="562"/>
    </row>
    <row r="145" spans="1:19" s="560" customFormat="1" ht="19.5" customHeight="1">
      <c r="A145" s="561"/>
      <c r="B145" s="562"/>
      <c r="C145" s="562"/>
      <c r="D145" s="562"/>
      <c r="E145" s="562"/>
      <c r="F145" s="562"/>
      <c r="G145" s="562"/>
      <c r="H145" s="562"/>
      <c r="I145" s="562"/>
      <c r="J145" s="562"/>
      <c r="K145" s="562"/>
      <c r="L145" s="562"/>
      <c r="M145" s="562"/>
      <c r="N145" s="562"/>
      <c r="O145" s="562"/>
      <c r="P145" s="562"/>
      <c r="Q145" s="562"/>
      <c r="R145" s="562"/>
      <c r="S145" s="562"/>
    </row>
    <row r="146" spans="1:19" s="560" customFormat="1" ht="19.5" customHeight="1">
      <c r="A146" s="561"/>
      <c r="B146" s="562"/>
      <c r="C146" s="562"/>
      <c r="D146" s="562"/>
      <c r="E146" s="562"/>
      <c r="F146" s="562"/>
      <c r="G146" s="562"/>
      <c r="H146" s="562"/>
      <c r="I146" s="562"/>
      <c r="J146" s="562"/>
      <c r="K146" s="562"/>
      <c r="L146" s="562"/>
      <c r="M146" s="562"/>
      <c r="N146" s="562"/>
      <c r="O146" s="562"/>
      <c r="P146" s="562"/>
      <c r="Q146" s="562"/>
      <c r="R146" s="562"/>
      <c r="S146" s="562"/>
    </row>
    <row r="147" spans="1:19" s="560" customFormat="1" ht="19.5" customHeight="1">
      <c r="A147" s="561"/>
      <c r="B147" s="562"/>
      <c r="C147" s="562"/>
      <c r="D147" s="562"/>
      <c r="E147" s="562"/>
      <c r="F147" s="562"/>
      <c r="G147" s="562"/>
      <c r="H147" s="562"/>
      <c r="I147" s="562"/>
      <c r="J147" s="562"/>
      <c r="K147" s="562"/>
      <c r="L147" s="562"/>
      <c r="M147" s="562"/>
      <c r="N147" s="562"/>
      <c r="O147" s="562"/>
      <c r="P147" s="562"/>
      <c r="Q147" s="562"/>
      <c r="R147" s="562"/>
      <c r="S147" s="562"/>
    </row>
    <row r="148" spans="1:19" s="560" customFormat="1" ht="19.5" customHeight="1">
      <c r="A148" s="561"/>
      <c r="B148" s="562"/>
      <c r="C148" s="562"/>
      <c r="D148" s="562"/>
      <c r="E148" s="562"/>
      <c r="F148" s="562"/>
      <c r="G148" s="562"/>
      <c r="H148" s="562"/>
      <c r="I148" s="562"/>
      <c r="J148" s="562"/>
      <c r="K148" s="562"/>
      <c r="L148" s="562"/>
      <c r="M148" s="562"/>
      <c r="N148" s="562"/>
      <c r="O148" s="562"/>
      <c r="P148" s="562"/>
      <c r="Q148" s="562"/>
      <c r="R148" s="562"/>
      <c r="S148" s="562"/>
    </row>
    <row r="149" spans="1:19" s="560" customFormat="1" ht="19.5" customHeight="1">
      <c r="A149" s="561"/>
      <c r="B149" s="562"/>
      <c r="C149" s="562"/>
      <c r="D149" s="562"/>
      <c r="E149" s="562"/>
      <c r="F149" s="562"/>
      <c r="G149" s="562"/>
      <c r="H149" s="562"/>
      <c r="I149" s="562"/>
      <c r="J149" s="562"/>
      <c r="K149" s="562"/>
      <c r="L149" s="562"/>
      <c r="M149" s="562"/>
      <c r="N149" s="562"/>
      <c r="O149" s="562"/>
      <c r="P149" s="562"/>
      <c r="Q149" s="562"/>
      <c r="R149" s="562"/>
      <c r="S149" s="562"/>
    </row>
    <row r="150" spans="1:19" s="560" customFormat="1" ht="19.5" customHeight="1">
      <c r="A150" s="561"/>
      <c r="B150" s="562"/>
      <c r="C150" s="562"/>
      <c r="D150" s="562"/>
      <c r="E150" s="562"/>
      <c r="F150" s="562"/>
      <c r="G150" s="562"/>
      <c r="H150" s="562"/>
      <c r="I150" s="562"/>
      <c r="J150" s="562"/>
      <c r="K150" s="562"/>
      <c r="L150" s="562"/>
      <c r="M150" s="562"/>
      <c r="N150" s="562"/>
      <c r="O150" s="562"/>
      <c r="P150" s="562"/>
      <c r="Q150" s="562"/>
      <c r="R150" s="562"/>
      <c r="S150" s="562"/>
    </row>
    <row r="151" spans="1:19" s="560" customFormat="1" ht="19.5" customHeight="1">
      <c r="A151" s="561"/>
      <c r="B151" s="562"/>
      <c r="C151" s="562"/>
      <c r="D151" s="562"/>
      <c r="E151" s="562"/>
      <c r="F151" s="562"/>
      <c r="G151" s="562"/>
      <c r="H151" s="562"/>
      <c r="I151" s="562"/>
      <c r="J151" s="562"/>
      <c r="K151" s="562"/>
      <c r="L151" s="562"/>
      <c r="M151" s="562"/>
      <c r="N151" s="562"/>
      <c r="O151" s="562"/>
      <c r="P151" s="562"/>
      <c r="Q151" s="562"/>
      <c r="R151" s="562"/>
      <c r="S151" s="562"/>
    </row>
    <row r="152" spans="1:19" s="560" customFormat="1" ht="19.5" customHeight="1">
      <c r="A152" s="561"/>
      <c r="B152" s="562"/>
      <c r="C152" s="562"/>
      <c r="D152" s="562"/>
      <c r="E152" s="562"/>
      <c r="F152" s="562"/>
      <c r="G152" s="562"/>
      <c r="H152" s="562"/>
      <c r="I152" s="562"/>
      <c r="J152" s="562"/>
      <c r="K152" s="562"/>
      <c r="L152" s="562"/>
      <c r="M152" s="562"/>
      <c r="N152" s="562"/>
      <c r="O152" s="562"/>
      <c r="P152" s="562"/>
      <c r="Q152" s="562"/>
      <c r="R152" s="562"/>
      <c r="S152" s="562"/>
    </row>
    <row r="153" spans="1:19" s="560" customFormat="1" ht="19.5" customHeight="1">
      <c r="A153" s="561"/>
      <c r="B153" s="562"/>
      <c r="C153" s="562"/>
      <c r="D153" s="562"/>
      <c r="E153" s="562"/>
      <c r="F153" s="562"/>
      <c r="G153" s="562"/>
      <c r="H153" s="562"/>
      <c r="I153" s="562"/>
      <c r="J153" s="562"/>
      <c r="K153" s="562"/>
      <c r="L153" s="562"/>
      <c r="M153" s="562"/>
      <c r="N153" s="562"/>
      <c r="O153" s="562"/>
      <c r="P153" s="562"/>
      <c r="Q153" s="562"/>
      <c r="R153" s="562"/>
      <c r="S153" s="562"/>
    </row>
    <row r="154" spans="1:19" s="560" customFormat="1" ht="19.5" customHeight="1">
      <c r="A154" s="561"/>
      <c r="B154" s="562"/>
      <c r="C154" s="562"/>
      <c r="D154" s="562"/>
      <c r="E154" s="562"/>
      <c r="F154" s="562"/>
      <c r="G154" s="562"/>
      <c r="H154" s="562"/>
      <c r="I154" s="562"/>
      <c r="J154" s="562"/>
      <c r="K154" s="562"/>
      <c r="L154" s="562"/>
      <c r="M154" s="562"/>
      <c r="N154" s="562"/>
      <c r="O154" s="562"/>
      <c r="P154" s="562"/>
      <c r="Q154" s="562"/>
      <c r="R154" s="562"/>
      <c r="S154" s="562"/>
    </row>
    <row r="155" spans="1:19" s="560" customFormat="1" ht="19.5" customHeight="1">
      <c r="A155" s="561"/>
      <c r="B155" s="562"/>
      <c r="C155" s="562"/>
      <c r="D155" s="562"/>
      <c r="E155" s="562"/>
      <c r="F155" s="562"/>
      <c r="G155" s="562"/>
      <c r="H155" s="562"/>
      <c r="I155" s="562"/>
      <c r="J155" s="562"/>
      <c r="K155" s="562"/>
      <c r="L155" s="562"/>
      <c r="M155" s="562"/>
      <c r="N155" s="562"/>
      <c r="O155" s="562"/>
      <c r="P155" s="562"/>
      <c r="Q155" s="562"/>
      <c r="R155" s="562"/>
      <c r="S155" s="562"/>
    </row>
    <row r="156" spans="1:19" s="560" customFormat="1" ht="19.5" customHeight="1">
      <c r="A156" s="561"/>
      <c r="B156" s="562"/>
      <c r="C156" s="562"/>
      <c r="D156" s="562"/>
      <c r="E156" s="562"/>
      <c r="F156" s="562"/>
      <c r="G156" s="562"/>
      <c r="H156" s="562"/>
      <c r="I156" s="562"/>
      <c r="J156" s="562"/>
      <c r="K156" s="562"/>
      <c r="L156" s="562"/>
      <c r="M156" s="562"/>
      <c r="N156" s="562"/>
      <c r="O156" s="562"/>
      <c r="P156" s="562"/>
      <c r="Q156" s="562"/>
      <c r="R156" s="562"/>
      <c r="S156" s="562"/>
    </row>
    <row r="157" spans="1:19" s="560" customFormat="1" ht="19.5" customHeight="1">
      <c r="A157" s="561"/>
      <c r="B157" s="562"/>
      <c r="C157" s="562"/>
      <c r="D157" s="562"/>
      <c r="E157" s="562"/>
      <c r="F157" s="562"/>
      <c r="G157" s="562"/>
      <c r="H157" s="562"/>
      <c r="I157" s="562"/>
      <c r="J157" s="562"/>
      <c r="K157" s="562"/>
      <c r="L157" s="562"/>
      <c r="M157" s="562"/>
      <c r="N157" s="562"/>
      <c r="O157" s="562"/>
      <c r="P157" s="562"/>
      <c r="Q157" s="562"/>
      <c r="R157" s="562"/>
      <c r="S157" s="562"/>
    </row>
    <row r="158" spans="1:19" s="560" customFormat="1" ht="19.5" customHeight="1">
      <c r="A158" s="561"/>
      <c r="B158" s="562"/>
      <c r="C158" s="562"/>
      <c r="D158" s="562"/>
      <c r="E158" s="562"/>
      <c r="F158" s="562"/>
      <c r="G158" s="562"/>
      <c r="H158" s="562"/>
      <c r="I158" s="562"/>
      <c r="J158" s="562"/>
      <c r="K158" s="562"/>
      <c r="L158" s="562"/>
      <c r="M158" s="562"/>
      <c r="N158" s="562"/>
      <c r="O158" s="562"/>
      <c r="P158" s="562"/>
      <c r="Q158" s="562"/>
      <c r="R158" s="562"/>
      <c r="S158" s="562"/>
    </row>
    <row r="159" ht="19.5" customHeight="1"/>
    <row r="160" ht="9.75" customHeight="1"/>
    <row r="161" ht="19.5" customHeight="1"/>
    <row r="162" ht="19.5" customHeight="1"/>
    <row r="163" ht="19.5" customHeight="1"/>
    <row r="164" spans="1:19" s="560" customFormat="1" ht="19.5" customHeight="1">
      <c r="A164" s="561"/>
      <c r="B164" s="562"/>
      <c r="C164" s="562"/>
      <c r="D164" s="562"/>
      <c r="E164" s="562"/>
      <c r="F164" s="562"/>
      <c r="G164" s="562"/>
      <c r="H164" s="562"/>
      <c r="I164" s="562"/>
      <c r="J164" s="562"/>
      <c r="K164" s="562"/>
      <c r="L164" s="562"/>
      <c r="M164" s="562"/>
      <c r="N164" s="562"/>
      <c r="O164" s="562"/>
      <c r="P164" s="562"/>
      <c r="Q164" s="562"/>
      <c r="R164" s="562"/>
      <c r="S164" s="562"/>
    </row>
    <row r="165" spans="1:19" s="560" customFormat="1" ht="19.5" customHeight="1">
      <c r="A165" s="561"/>
      <c r="B165" s="562"/>
      <c r="C165" s="562"/>
      <c r="D165" s="562"/>
      <c r="E165" s="562"/>
      <c r="F165" s="562"/>
      <c r="G165" s="562"/>
      <c r="H165" s="562"/>
      <c r="I165" s="562"/>
      <c r="J165" s="562"/>
      <c r="K165" s="562"/>
      <c r="L165" s="562"/>
      <c r="M165" s="562"/>
      <c r="N165" s="562"/>
      <c r="O165" s="562"/>
      <c r="P165" s="562"/>
      <c r="Q165" s="562"/>
      <c r="R165" s="562"/>
      <c r="S165" s="562"/>
    </row>
    <row r="166" spans="1:19" s="560" customFormat="1" ht="19.5" customHeight="1">
      <c r="A166" s="561"/>
      <c r="B166" s="562"/>
      <c r="C166" s="562"/>
      <c r="D166" s="562"/>
      <c r="E166" s="562"/>
      <c r="F166" s="562"/>
      <c r="G166" s="562"/>
      <c r="H166" s="562"/>
      <c r="I166" s="562"/>
      <c r="J166" s="562"/>
      <c r="K166" s="562"/>
      <c r="L166" s="562"/>
      <c r="M166" s="562"/>
      <c r="N166" s="562"/>
      <c r="O166" s="562"/>
      <c r="P166" s="562"/>
      <c r="Q166" s="562"/>
      <c r="R166" s="562"/>
      <c r="S166" s="562"/>
    </row>
    <row r="167" spans="1:19" s="560" customFormat="1" ht="19.5" customHeight="1">
      <c r="A167" s="561"/>
      <c r="B167" s="562"/>
      <c r="C167" s="562"/>
      <c r="D167" s="562"/>
      <c r="E167" s="562"/>
      <c r="F167" s="562"/>
      <c r="G167" s="562"/>
      <c r="H167" s="562"/>
      <c r="I167" s="562"/>
      <c r="J167" s="562"/>
      <c r="K167" s="562"/>
      <c r="L167" s="562"/>
      <c r="M167" s="562"/>
      <c r="N167" s="562"/>
      <c r="O167" s="562"/>
      <c r="P167" s="562"/>
      <c r="Q167" s="562"/>
      <c r="R167" s="562"/>
      <c r="S167" s="562"/>
    </row>
    <row r="168" spans="1:19" s="560" customFormat="1" ht="19.5" customHeight="1">
      <c r="A168" s="561"/>
      <c r="B168" s="562"/>
      <c r="C168" s="562"/>
      <c r="D168" s="562"/>
      <c r="E168" s="562"/>
      <c r="F168" s="562"/>
      <c r="G168" s="562"/>
      <c r="H168" s="562"/>
      <c r="I168" s="562"/>
      <c r="J168" s="562"/>
      <c r="K168" s="562"/>
      <c r="L168" s="562"/>
      <c r="M168" s="562"/>
      <c r="N168" s="562"/>
      <c r="O168" s="562"/>
      <c r="P168" s="562"/>
      <c r="Q168" s="562"/>
      <c r="R168" s="562"/>
      <c r="S168" s="562"/>
    </row>
    <row r="169" spans="1:19" s="560" customFormat="1" ht="19.5" customHeight="1">
      <c r="A169" s="561"/>
      <c r="B169" s="562"/>
      <c r="C169" s="562"/>
      <c r="D169" s="562"/>
      <c r="E169" s="562"/>
      <c r="F169" s="562"/>
      <c r="G169" s="562"/>
      <c r="H169" s="562"/>
      <c r="I169" s="562"/>
      <c r="J169" s="562"/>
      <c r="K169" s="562"/>
      <c r="L169" s="562"/>
      <c r="M169" s="562"/>
      <c r="N169" s="562"/>
      <c r="O169" s="562"/>
      <c r="P169" s="562"/>
      <c r="Q169" s="562"/>
      <c r="R169" s="562"/>
      <c r="S169" s="562"/>
    </row>
    <row r="170" spans="1:19" s="560" customFormat="1" ht="19.5" customHeight="1">
      <c r="A170" s="561"/>
      <c r="B170" s="562"/>
      <c r="C170" s="562"/>
      <c r="D170" s="562"/>
      <c r="E170" s="562"/>
      <c r="F170" s="562"/>
      <c r="G170" s="562"/>
      <c r="H170" s="562"/>
      <c r="I170" s="562"/>
      <c r="J170" s="562"/>
      <c r="K170" s="562"/>
      <c r="L170" s="562"/>
      <c r="M170" s="562"/>
      <c r="N170" s="562"/>
      <c r="O170" s="562"/>
      <c r="P170" s="562"/>
      <c r="Q170" s="562"/>
      <c r="R170" s="562"/>
      <c r="S170" s="562"/>
    </row>
    <row r="171" spans="1:19" s="560" customFormat="1" ht="19.5" customHeight="1">
      <c r="A171" s="561"/>
      <c r="B171" s="562"/>
      <c r="C171" s="562"/>
      <c r="D171" s="562"/>
      <c r="E171" s="562"/>
      <c r="F171" s="562"/>
      <c r="G171" s="562"/>
      <c r="H171" s="562"/>
      <c r="I171" s="562"/>
      <c r="J171" s="562"/>
      <c r="K171" s="562"/>
      <c r="L171" s="562"/>
      <c r="M171" s="562"/>
      <c r="N171" s="562"/>
      <c r="O171" s="562"/>
      <c r="P171" s="562"/>
      <c r="Q171" s="562"/>
      <c r="R171" s="562"/>
      <c r="S171" s="562"/>
    </row>
    <row r="172" spans="1:19" s="560" customFormat="1" ht="19.5" customHeight="1">
      <c r="A172" s="561"/>
      <c r="B172" s="562"/>
      <c r="C172" s="562"/>
      <c r="D172" s="562"/>
      <c r="E172" s="562"/>
      <c r="F172" s="562"/>
      <c r="G172" s="562"/>
      <c r="H172" s="562"/>
      <c r="I172" s="562"/>
      <c r="J172" s="562"/>
      <c r="K172" s="562"/>
      <c r="L172" s="562"/>
      <c r="M172" s="562"/>
      <c r="N172" s="562"/>
      <c r="O172" s="562"/>
      <c r="P172" s="562"/>
      <c r="Q172" s="562"/>
      <c r="R172" s="562"/>
      <c r="S172" s="562"/>
    </row>
    <row r="173" spans="1:19" s="560" customFormat="1" ht="19.5" customHeight="1">
      <c r="A173" s="561"/>
      <c r="B173" s="562"/>
      <c r="C173" s="562"/>
      <c r="D173" s="562"/>
      <c r="E173" s="562"/>
      <c r="F173" s="562"/>
      <c r="G173" s="562"/>
      <c r="H173" s="562"/>
      <c r="I173" s="562"/>
      <c r="J173" s="562"/>
      <c r="K173" s="562"/>
      <c r="L173" s="562"/>
      <c r="M173" s="562"/>
      <c r="N173" s="562"/>
      <c r="O173" s="562"/>
      <c r="P173" s="562"/>
      <c r="Q173" s="562"/>
      <c r="R173" s="562"/>
      <c r="S173" s="562"/>
    </row>
    <row r="174" spans="1:19" s="560" customFormat="1" ht="19.5" customHeight="1">
      <c r="A174" s="561"/>
      <c r="B174" s="562"/>
      <c r="C174" s="562"/>
      <c r="D174" s="562"/>
      <c r="E174" s="562"/>
      <c r="F174" s="562"/>
      <c r="G174" s="562"/>
      <c r="H174" s="562"/>
      <c r="I174" s="562"/>
      <c r="J174" s="562"/>
      <c r="K174" s="562"/>
      <c r="L174" s="562"/>
      <c r="M174" s="562"/>
      <c r="N174" s="562"/>
      <c r="O174" s="562"/>
      <c r="P174" s="562"/>
      <c r="Q174" s="562"/>
      <c r="R174" s="562"/>
      <c r="S174" s="562"/>
    </row>
    <row r="175" spans="1:19" s="560" customFormat="1" ht="19.5" customHeight="1">
      <c r="A175" s="561"/>
      <c r="B175" s="562"/>
      <c r="C175" s="562"/>
      <c r="D175" s="562"/>
      <c r="E175" s="562"/>
      <c r="F175" s="562"/>
      <c r="G175" s="562"/>
      <c r="H175" s="562"/>
      <c r="I175" s="562"/>
      <c r="J175" s="562"/>
      <c r="K175" s="562"/>
      <c r="L175" s="562"/>
      <c r="M175" s="562"/>
      <c r="N175" s="562"/>
      <c r="O175" s="562"/>
      <c r="P175" s="562"/>
      <c r="Q175" s="562"/>
      <c r="R175" s="562"/>
      <c r="S175" s="562"/>
    </row>
    <row r="176" spans="1:19" s="560" customFormat="1" ht="19.5" customHeight="1">
      <c r="A176" s="561"/>
      <c r="B176" s="562"/>
      <c r="C176" s="562"/>
      <c r="D176" s="562"/>
      <c r="E176" s="562"/>
      <c r="F176" s="562"/>
      <c r="G176" s="562"/>
      <c r="H176" s="562"/>
      <c r="I176" s="562"/>
      <c r="J176" s="562"/>
      <c r="K176" s="562"/>
      <c r="L176" s="562"/>
      <c r="M176" s="562"/>
      <c r="N176" s="562"/>
      <c r="O176" s="562"/>
      <c r="P176" s="562"/>
      <c r="Q176" s="562"/>
      <c r="R176" s="562"/>
      <c r="S176" s="562"/>
    </row>
    <row r="177" spans="1:19" s="560" customFormat="1" ht="19.5" customHeight="1">
      <c r="A177" s="561"/>
      <c r="B177" s="562"/>
      <c r="C177" s="562"/>
      <c r="D177" s="562"/>
      <c r="E177" s="562"/>
      <c r="F177" s="562"/>
      <c r="G177" s="562"/>
      <c r="H177" s="562"/>
      <c r="I177" s="562"/>
      <c r="J177" s="562"/>
      <c r="K177" s="562"/>
      <c r="L177" s="562"/>
      <c r="M177" s="562"/>
      <c r="N177" s="562"/>
      <c r="O177" s="562"/>
      <c r="P177" s="562"/>
      <c r="Q177" s="562"/>
      <c r="R177" s="562"/>
      <c r="S177" s="562"/>
    </row>
    <row r="178" spans="1:19" s="560" customFormat="1" ht="19.5" customHeight="1">
      <c r="A178" s="561"/>
      <c r="B178" s="562"/>
      <c r="C178" s="562"/>
      <c r="D178" s="562"/>
      <c r="E178" s="562"/>
      <c r="F178" s="562"/>
      <c r="G178" s="562"/>
      <c r="H178" s="562"/>
      <c r="I178" s="562"/>
      <c r="J178" s="562"/>
      <c r="K178" s="562"/>
      <c r="L178" s="562"/>
      <c r="M178" s="562"/>
      <c r="N178" s="562"/>
      <c r="O178" s="562"/>
      <c r="P178" s="562"/>
      <c r="Q178" s="562"/>
      <c r="R178" s="562"/>
      <c r="S178" s="562"/>
    </row>
    <row r="179" spans="1:19" s="560" customFormat="1" ht="19.5" customHeight="1">
      <c r="A179" s="561"/>
      <c r="B179" s="562"/>
      <c r="C179" s="562"/>
      <c r="D179" s="562"/>
      <c r="E179" s="562"/>
      <c r="F179" s="562"/>
      <c r="G179" s="562"/>
      <c r="H179" s="562"/>
      <c r="I179" s="562"/>
      <c r="J179" s="562"/>
      <c r="K179" s="562"/>
      <c r="L179" s="562"/>
      <c r="M179" s="562"/>
      <c r="N179" s="562"/>
      <c r="O179" s="562"/>
      <c r="P179" s="562"/>
      <c r="Q179" s="562"/>
      <c r="R179" s="562"/>
      <c r="S179" s="562"/>
    </row>
    <row r="180" spans="1:19" s="560" customFormat="1" ht="19.5" customHeight="1">
      <c r="A180" s="561"/>
      <c r="B180" s="562"/>
      <c r="C180" s="562"/>
      <c r="D180" s="562"/>
      <c r="E180" s="562"/>
      <c r="F180" s="562"/>
      <c r="G180" s="562"/>
      <c r="H180" s="562"/>
      <c r="I180" s="562"/>
      <c r="J180" s="562"/>
      <c r="K180" s="562"/>
      <c r="L180" s="562"/>
      <c r="M180" s="562"/>
      <c r="N180" s="562"/>
      <c r="O180" s="562"/>
      <c r="P180" s="562"/>
      <c r="Q180" s="562"/>
      <c r="R180" s="562"/>
      <c r="S180" s="562"/>
    </row>
    <row r="181" spans="1:19" s="560" customFormat="1" ht="19.5" customHeight="1">
      <c r="A181" s="561"/>
      <c r="B181" s="562"/>
      <c r="C181" s="562"/>
      <c r="D181" s="562"/>
      <c r="E181" s="562"/>
      <c r="F181" s="562"/>
      <c r="G181" s="562"/>
      <c r="H181" s="562"/>
      <c r="I181" s="562"/>
      <c r="J181" s="562"/>
      <c r="K181" s="562"/>
      <c r="L181" s="562"/>
      <c r="M181" s="562"/>
      <c r="N181" s="562"/>
      <c r="O181" s="562"/>
      <c r="P181" s="562"/>
      <c r="Q181" s="562"/>
      <c r="R181" s="562"/>
      <c r="S181" s="562"/>
    </row>
    <row r="182" spans="1:19" s="560" customFormat="1" ht="19.5" customHeight="1">
      <c r="A182" s="561"/>
      <c r="B182" s="562"/>
      <c r="C182" s="562"/>
      <c r="D182" s="562"/>
      <c r="E182" s="562"/>
      <c r="F182" s="562"/>
      <c r="G182" s="562"/>
      <c r="H182" s="562"/>
      <c r="I182" s="562"/>
      <c r="J182" s="562"/>
      <c r="K182" s="562"/>
      <c r="L182" s="562"/>
      <c r="M182" s="562"/>
      <c r="N182" s="562"/>
      <c r="O182" s="562"/>
      <c r="P182" s="562"/>
      <c r="Q182" s="562"/>
      <c r="R182" s="562"/>
      <c r="S182" s="562"/>
    </row>
    <row r="183" spans="1:19" s="560" customFormat="1" ht="19.5" customHeight="1">
      <c r="A183" s="561"/>
      <c r="B183" s="562"/>
      <c r="C183" s="562"/>
      <c r="D183" s="562"/>
      <c r="E183" s="562"/>
      <c r="F183" s="562"/>
      <c r="G183" s="562"/>
      <c r="H183" s="562"/>
      <c r="I183" s="562"/>
      <c r="J183" s="562"/>
      <c r="K183" s="562"/>
      <c r="L183" s="562"/>
      <c r="M183" s="562"/>
      <c r="N183" s="562"/>
      <c r="O183" s="562"/>
      <c r="P183" s="562"/>
      <c r="Q183" s="562"/>
      <c r="R183" s="562"/>
      <c r="S183" s="562"/>
    </row>
    <row r="184" spans="1:19" s="560" customFormat="1" ht="19.5" customHeight="1">
      <c r="A184" s="561"/>
      <c r="B184" s="562"/>
      <c r="C184" s="562"/>
      <c r="D184" s="562"/>
      <c r="E184" s="562"/>
      <c r="F184" s="562"/>
      <c r="G184" s="562"/>
      <c r="H184" s="562"/>
      <c r="I184" s="562"/>
      <c r="J184" s="562"/>
      <c r="K184" s="562"/>
      <c r="L184" s="562"/>
      <c r="M184" s="562"/>
      <c r="N184" s="562"/>
      <c r="O184" s="562"/>
      <c r="P184" s="562"/>
      <c r="Q184" s="562"/>
      <c r="R184" s="562"/>
      <c r="S184" s="562"/>
    </row>
    <row r="185" spans="1:19" s="560" customFormat="1" ht="19.5" customHeight="1">
      <c r="A185" s="561"/>
      <c r="B185" s="562"/>
      <c r="C185" s="562"/>
      <c r="D185" s="562"/>
      <c r="E185" s="562"/>
      <c r="F185" s="562"/>
      <c r="G185" s="562"/>
      <c r="H185" s="562"/>
      <c r="I185" s="562"/>
      <c r="J185" s="562"/>
      <c r="K185" s="562"/>
      <c r="L185" s="562"/>
      <c r="M185" s="562"/>
      <c r="N185" s="562"/>
      <c r="O185" s="562"/>
      <c r="P185" s="562"/>
      <c r="Q185" s="562"/>
      <c r="R185" s="562"/>
      <c r="S185" s="562"/>
    </row>
    <row r="186" spans="1:19" s="560" customFormat="1" ht="19.5" customHeight="1">
      <c r="A186" s="561"/>
      <c r="B186" s="562"/>
      <c r="C186" s="562"/>
      <c r="D186" s="562"/>
      <c r="E186" s="562"/>
      <c r="F186" s="562"/>
      <c r="G186" s="562"/>
      <c r="H186" s="562"/>
      <c r="I186" s="562"/>
      <c r="J186" s="562"/>
      <c r="K186" s="562"/>
      <c r="L186" s="562"/>
      <c r="M186" s="562"/>
      <c r="N186" s="562"/>
      <c r="O186" s="562"/>
      <c r="P186" s="562"/>
      <c r="Q186" s="562"/>
      <c r="R186" s="562"/>
      <c r="S186" s="562"/>
    </row>
    <row r="187" spans="1:19" s="560" customFormat="1" ht="19.5" customHeight="1">
      <c r="A187" s="561"/>
      <c r="B187" s="562"/>
      <c r="C187" s="562"/>
      <c r="D187" s="562"/>
      <c r="E187" s="562"/>
      <c r="F187" s="562"/>
      <c r="G187" s="562"/>
      <c r="H187" s="562"/>
      <c r="I187" s="562"/>
      <c r="J187" s="562"/>
      <c r="K187" s="562"/>
      <c r="L187" s="562"/>
      <c r="M187" s="562"/>
      <c r="N187" s="562"/>
      <c r="O187" s="562"/>
      <c r="P187" s="562"/>
      <c r="Q187" s="562"/>
      <c r="R187" s="562"/>
      <c r="S187" s="562"/>
    </row>
    <row r="188" spans="1:19" s="560" customFormat="1" ht="19.5" customHeight="1">
      <c r="A188" s="561"/>
      <c r="B188" s="562"/>
      <c r="C188" s="562"/>
      <c r="D188" s="562"/>
      <c r="E188" s="562"/>
      <c r="F188" s="562"/>
      <c r="G188" s="562"/>
      <c r="H188" s="562"/>
      <c r="I188" s="562"/>
      <c r="J188" s="562"/>
      <c r="K188" s="562"/>
      <c r="L188" s="562"/>
      <c r="M188" s="562"/>
      <c r="N188" s="562"/>
      <c r="O188" s="562"/>
      <c r="P188" s="562"/>
      <c r="Q188" s="562"/>
      <c r="R188" s="562"/>
      <c r="S188" s="562"/>
    </row>
    <row r="189" spans="1:19" s="560" customFormat="1" ht="19.5" customHeight="1">
      <c r="A189" s="561"/>
      <c r="B189" s="562"/>
      <c r="C189" s="562"/>
      <c r="D189" s="562"/>
      <c r="E189" s="562"/>
      <c r="F189" s="562"/>
      <c r="G189" s="562"/>
      <c r="H189" s="562"/>
      <c r="I189" s="562"/>
      <c r="J189" s="562"/>
      <c r="K189" s="562"/>
      <c r="L189" s="562"/>
      <c r="M189" s="562"/>
      <c r="N189" s="562"/>
      <c r="O189" s="562"/>
      <c r="P189" s="562"/>
      <c r="Q189" s="562"/>
      <c r="R189" s="562"/>
      <c r="S189" s="562"/>
    </row>
    <row r="190" spans="1:19" s="560" customFormat="1" ht="19.5" customHeight="1">
      <c r="A190" s="561"/>
      <c r="B190" s="562"/>
      <c r="C190" s="562"/>
      <c r="D190" s="562"/>
      <c r="E190" s="562"/>
      <c r="F190" s="562"/>
      <c r="G190" s="562"/>
      <c r="H190" s="562"/>
      <c r="I190" s="562"/>
      <c r="J190" s="562"/>
      <c r="K190" s="562"/>
      <c r="L190" s="562"/>
      <c r="M190" s="562"/>
      <c r="N190" s="562"/>
      <c r="O190" s="562"/>
      <c r="P190" s="562"/>
      <c r="Q190" s="562"/>
      <c r="R190" s="562"/>
      <c r="S190" s="562"/>
    </row>
    <row r="191" spans="1:19" s="560" customFormat="1" ht="19.5" customHeight="1">
      <c r="A191" s="561"/>
      <c r="B191" s="562"/>
      <c r="C191" s="562"/>
      <c r="D191" s="562"/>
      <c r="E191" s="562"/>
      <c r="F191" s="562"/>
      <c r="G191" s="562"/>
      <c r="H191" s="562"/>
      <c r="I191" s="562"/>
      <c r="J191" s="562"/>
      <c r="K191" s="562"/>
      <c r="L191" s="562"/>
      <c r="M191" s="562"/>
      <c r="N191" s="562"/>
      <c r="O191" s="562"/>
      <c r="P191" s="562"/>
      <c r="Q191" s="562"/>
      <c r="R191" s="562"/>
      <c r="S191" s="562"/>
    </row>
    <row r="192" spans="1:19" s="560" customFormat="1" ht="19.5" customHeight="1">
      <c r="A192" s="561"/>
      <c r="B192" s="562"/>
      <c r="C192" s="562"/>
      <c r="D192" s="562"/>
      <c r="E192" s="562"/>
      <c r="F192" s="562"/>
      <c r="G192" s="562"/>
      <c r="H192" s="562"/>
      <c r="I192" s="562"/>
      <c r="J192" s="562"/>
      <c r="K192" s="562"/>
      <c r="L192" s="562"/>
      <c r="M192" s="562"/>
      <c r="N192" s="562"/>
      <c r="O192" s="562"/>
      <c r="P192" s="562"/>
      <c r="Q192" s="562"/>
      <c r="R192" s="562"/>
      <c r="S192" s="562"/>
    </row>
    <row r="193" spans="1:19" s="560" customFormat="1" ht="19.5" customHeight="1">
      <c r="A193" s="561"/>
      <c r="B193" s="562"/>
      <c r="C193" s="562"/>
      <c r="D193" s="562"/>
      <c r="E193" s="562"/>
      <c r="F193" s="562"/>
      <c r="G193" s="562"/>
      <c r="H193" s="562"/>
      <c r="I193" s="562"/>
      <c r="J193" s="562"/>
      <c r="K193" s="562"/>
      <c r="L193" s="562"/>
      <c r="M193" s="562"/>
      <c r="N193" s="562"/>
      <c r="O193" s="562"/>
      <c r="P193" s="562"/>
      <c r="Q193" s="562"/>
      <c r="R193" s="562"/>
      <c r="S193" s="562"/>
    </row>
    <row r="194" spans="1:19" s="560" customFormat="1" ht="19.5" customHeight="1">
      <c r="A194" s="561"/>
      <c r="B194" s="562"/>
      <c r="C194" s="562"/>
      <c r="D194" s="562"/>
      <c r="E194" s="562"/>
      <c r="F194" s="562"/>
      <c r="G194" s="562"/>
      <c r="H194" s="562"/>
      <c r="I194" s="562"/>
      <c r="J194" s="562"/>
      <c r="K194" s="562"/>
      <c r="L194" s="562"/>
      <c r="M194" s="562"/>
      <c r="N194" s="562"/>
      <c r="O194" s="562"/>
      <c r="P194" s="562"/>
      <c r="Q194" s="562"/>
      <c r="R194" s="562"/>
      <c r="S194" s="562"/>
    </row>
    <row r="195" spans="1:19" s="560" customFormat="1" ht="19.5" customHeight="1">
      <c r="A195" s="561"/>
      <c r="B195" s="562"/>
      <c r="C195" s="562"/>
      <c r="D195" s="562"/>
      <c r="E195" s="562"/>
      <c r="F195" s="562"/>
      <c r="G195" s="562"/>
      <c r="H195" s="562"/>
      <c r="I195" s="562"/>
      <c r="J195" s="562"/>
      <c r="K195" s="562"/>
      <c r="L195" s="562"/>
      <c r="M195" s="562"/>
      <c r="N195" s="562"/>
      <c r="O195" s="562"/>
      <c r="P195" s="562"/>
      <c r="Q195" s="562"/>
      <c r="R195" s="562"/>
      <c r="S195" s="562"/>
    </row>
    <row r="196" spans="1:19" s="560" customFormat="1" ht="19.5" customHeight="1">
      <c r="A196" s="561"/>
      <c r="B196" s="562"/>
      <c r="C196" s="562"/>
      <c r="D196" s="562"/>
      <c r="E196" s="562"/>
      <c r="F196" s="562"/>
      <c r="G196" s="562"/>
      <c r="H196" s="562"/>
      <c r="I196" s="562"/>
      <c r="J196" s="562"/>
      <c r="K196" s="562"/>
      <c r="L196" s="562"/>
      <c r="M196" s="562"/>
      <c r="N196" s="562"/>
      <c r="O196" s="562"/>
      <c r="P196" s="562"/>
      <c r="Q196" s="562"/>
      <c r="R196" s="562"/>
      <c r="S196" s="562"/>
    </row>
    <row r="197" spans="1:19" s="560" customFormat="1" ht="19.5" customHeight="1">
      <c r="A197" s="561"/>
      <c r="B197" s="562"/>
      <c r="C197" s="562"/>
      <c r="D197" s="562"/>
      <c r="E197" s="562"/>
      <c r="F197" s="562"/>
      <c r="G197" s="562"/>
      <c r="H197" s="562"/>
      <c r="I197" s="562"/>
      <c r="J197" s="562"/>
      <c r="K197" s="562"/>
      <c r="L197" s="562"/>
      <c r="M197" s="562"/>
      <c r="N197" s="562"/>
      <c r="O197" s="562"/>
      <c r="P197" s="562"/>
      <c r="Q197" s="562"/>
      <c r="R197" s="562"/>
      <c r="S197" s="562"/>
    </row>
    <row r="198" spans="1:19" s="560" customFormat="1" ht="19.5" customHeight="1">
      <c r="A198" s="561"/>
      <c r="B198" s="562"/>
      <c r="C198" s="562"/>
      <c r="D198" s="562"/>
      <c r="E198" s="562"/>
      <c r="F198" s="562"/>
      <c r="G198" s="562"/>
      <c r="H198" s="562"/>
      <c r="I198" s="562"/>
      <c r="J198" s="562"/>
      <c r="K198" s="562"/>
      <c r="L198" s="562"/>
      <c r="M198" s="562"/>
      <c r="N198" s="562"/>
      <c r="O198" s="562"/>
      <c r="P198" s="562"/>
      <c r="Q198" s="562"/>
      <c r="R198" s="562"/>
      <c r="S198" s="562"/>
    </row>
    <row r="199" spans="1:19" s="560" customFormat="1" ht="19.5" customHeight="1">
      <c r="A199" s="561"/>
      <c r="B199" s="562"/>
      <c r="C199" s="562"/>
      <c r="D199" s="562"/>
      <c r="E199" s="562"/>
      <c r="F199" s="562"/>
      <c r="G199" s="562"/>
      <c r="H199" s="562"/>
      <c r="I199" s="562"/>
      <c r="J199" s="562"/>
      <c r="K199" s="562"/>
      <c r="L199" s="562"/>
      <c r="M199" s="562"/>
      <c r="N199" s="562"/>
      <c r="O199" s="562"/>
      <c r="P199" s="562"/>
      <c r="Q199" s="562"/>
      <c r="R199" s="562"/>
      <c r="S199" s="562"/>
    </row>
    <row r="200" spans="1:19" s="560" customFormat="1" ht="19.5" customHeight="1">
      <c r="A200" s="561"/>
      <c r="B200" s="562"/>
      <c r="C200" s="562"/>
      <c r="D200" s="562"/>
      <c r="E200" s="562"/>
      <c r="F200" s="562"/>
      <c r="G200" s="562"/>
      <c r="H200" s="562"/>
      <c r="I200" s="562"/>
      <c r="J200" s="562"/>
      <c r="K200" s="562"/>
      <c r="L200" s="562"/>
      <c r="M200" s="562"/>
      <c r="N200" s="562"/>
      <c r="O200" s="562"/>
      <c r="P200" s="562"/>
      <c r="Q200" s="562"/>
      <c r="R200" s="562"/>
      <c r="S200" s="562"/>
    </row>
    <row r="201" ht="19.5" customHeight="1"/>
    <row r="202" ht="9.75" customHeight="1"/>
    <row r="203" ht="19.5" customHeight="1"/>
    <row r="204" ht="19.5" customHeight="1"/>
    <row r="205" ht="19.5" customHeight="1"/>
    <row r="206" spans="1:19" s="560" customFormat="1" ht="19.5" customHeight="1">
      <c r="A206" s="561"/>
      <c r="B206" s="562"/>
      <c r="C206" s="562"/>
      <c r="D206" s="562"/>
      <c r="E206" s="562"/>
      <c r="F206" s="562"/>
      <c r="G206" s="562"/>
      <c r="H206" s="562"/>
      <c r="I206" s="562"/>
      <c r="J206" s="562"/>
      <c r="K206" s="562"/>
      <c r="L206" s="562"/>
      <c r="M206" s="562"/>
      <c r="N206" s="562"/>
      <c r="O206" s="562"/>
      <c r="P206" s="562"/>
      <c r="Q206" s="562"/>
      <c r="R206" s="562"/>
      <c r="S206" s="562"/>
    </row>
    <row r="207" spans="1:19" s="560" customFormat="1" ht="19.5" customHeight="1">
      <c r="A207" s="561"/>
      <c r="B207" s="562"/>
      <c r="C207" s="562"/>
      <c r="D207" s="562"/>
      <c r="E207" s="562"/>
      <c r="F207" s="562"/>
      <c r="G207" s="562"/>
      <c r="H207" s="562"/>
      <c r="I207" s="562"/>
      <c r="J207" s="562"/>
      <c r="K207" s="562"/>
      <c r="L207" s="562"/>
      <c r="M207" s="562"/>
      <c r="N207" s="562"/>
      <c r="O207" s="562"/>
      <c r="P207" s="562"/>
      <c r="Q207" s="562"/>
      <c r="R207" s="562"/>
      <c r="S207" s="562"/>
    </row>
    <row r="208" spans="1:19" s="560" customFormat="1" ht="19.5" customHeight="1">
      <c r="A208" s="561"/>
      <c r="B208" s="562"/>
      <c r="C208" s="562"/>
      <c r="D208" s="562"/>
      <c r="E208" s="562"/>
      <c r="F208" s="562"/>
      <c r="G208" s="562"/>
      <c r="H208" s="562"/>
      <c r="I208" s="562"/>
      <c r="J208" s="562"/>
      <c r="K208" s="562"/>
      <c r="L208" s="562"/>
      <c r="M208" s="562"/>
      <c r="N208" s="562"/>
      <c r="O208" s="562"/>
      <c r="P208" s="562"/>
      <c r="Q208" s="562"/>
      <c r="R208" s="562"/>
      <c r="S208" s="562"/>
    </row>
    <row r="209" spans="1:19" s="560" customFormat="1" ht="19.5" customHeight="1">
      <c r="A209" s="561"/>
      <c r="B209" s="562"/>
      <c r="C209" s="562"/>
      <c r="D209" s="562"/>
      <c r="E209" s="562"/>
      <c r="F209" s="562"/>
      <c r="G209" s="562"/>
      <c r="H209" s="562"/>
      <c r="I209" s="562"/>
      <c r="J209" s="562"/>
      <c r="K209" s="562"/>
      <c r="L209" s="562"/>
      <c r="M209" s="562"/>
      <c r="N209" s="562"/>
      <c r="O209" s="562"/>
      <c r="P209" s="562"/>
      <c r="Q209" s="562"/>
      <c r="R209" s="562"/>
      <c r="S209" s="562"/>
    </row>
    <row r="210" spans="1:19" s="560" customFormat="1" ht="19.5" customHeight="1">
      <c r="A210" s="561"/>
      <c r="B210" s="562"/>
      <c r="C210" s="562"/>
      <c r="D210" s="562"/>
      <c r="E210" s="562"/>
      <c r="F210" s="562"/>
      <c r="G210" s="562"/>
      <c r="H210" s="562"/>
      <c r="I210" s="562"/>
      <c r="J210" s="562"/>
      <c r="K210" s="562"/>
      <c r="L210" s="562"/>
      <c r="M210" s="562"/>
      <c r="N210" s="562"/>
      <c r="O210" s="562"/>
      <c r="P210" s="562"/>
      <c r="Q210" s="562"/>
      <c r="R210" s="562"/>
      <c r="S210" s="562"/>
    </row>
    <row r="211" spans="1:19" s="560" customFormat="1" ht="19.5" customHeight="1">
      <c r="A211" s="561"/>
      <c r="B211" s="562"/>
      <c r="C211" s="562"/>
      <c r="D211" s="562"/>
      <c r="E211" s="562"/>
      <c r="F211" s="562"/>
      <c r="G211" s="562"/>
      <c r="H211" s="562"/>
      <c r="I211" s="562"/>
      <c r="J211" s="562"/>
      <c r="K211" s="562"/>
      <c r="L211" s="562"/>
      <c r="M211" s="562"/>
      <c r="N211" s="562"/>
      <c r="O211" s="562"/>
      <c r="P211" s="562"/>
      <c r="Q211" s="562"/>
      <c r="R211" s="562"/>
      <c r="S211" s="562"/>
    </row>
    <row r="212" spans="1:19" s="560" customFormat="1" ht="19.5" customHeight="1">
      <c r="A212" s="561"/>
      <c r="B212" s="562"/>
      <c r="C212" s="562"/>
      <c r="D212" s="562"/>
      <c r="E212" s="562"/>
      <c r="F212" s="562"/>
      <c r="G212" s="562"/>
      <c r="H212" s="562"/>
      <c r="I212" s="562"/>
      <c r="J212" s="562"/>
      <c r="K212" s="562"/>
      <c r="L212" s="562"/>
      <c r="M212" s="562"/>
      <c r="N212" s="562"/>
      <c r="O212" s="562"/>
      <c r="P212" s="562"/>
      <c r="Q212" s="562"/>
      <c r="R212" s="562"/>
      <c r="S212" s="562"/>
    </row>
    <row r="213" spans="1:19" s="560" customFormat="1" ht="19.5" customHeight="1">
      <c r="A213" s="561"/>
      <c r="B213" s="562"/>
      <c r="C213" s="562"/>
      <c r="D213" s="562"/>
      <c r="E213" s="562"/>
      <c r="F213" s="562"/>
      <c r="G213" s="562"/>
      <c r="H213" s="562"/>
      <c r="I213" s="562"/>
      <c r="J213" s="562"/>
      <c r="K213" s="562"/>
      <c r="L213" s="562"/>
      <c r="M213" s="562"/>
      <c r="N213" s="562"/>
      <c r="O213" s="562"/>
      <c r="P213" s="562"/>
      <c r="Q213" s="562"/>
      <c r="R213" s="562"/>
      <c r="S213" s="562"/>
    </row>
    <row r="214" spans="1:19" s="560" customFormat="1" ht="19.5" customHeight="1">
      <c r="A214" s="561"/>
      <c r="B214" s="562"/>
      <c r="C214" s="562"/>
      <c r="D214" s="562"/>
      <c r="E214" s="562"/>
      <c r="F214" s="562"/>
      <c r="G214" s="562"/>
      <c r="H214" s="562"/>
      <c r="I214" s="562"/>
      <c r="J214" s="562"/>
      <c r="K214" s="562"/>
      <c r="L214" s="562"/>
      <c r="M214" s="562"/>
      <c r="N214" s="562"/>
      <c r="O214" s="562"/>
      <c r="P214" s="562"/>
      <c r="Q214" s="562"/>
      <c r="R214" s="562"/>
      <c r="S214" s="562"/>
    </row>
    <row r="215" spans="1:19" s="560" customFormat="1" ht="19.5" customHeight="1">
      <c r="A215" s="561"/>
      <c r="B215" s="562"/>
      <c r="C215" s="562"/>
      <c r="D215" s="562"/>
      <c r="E215" s="562"/>
      <c r="F215" s="562"/>
      <c r="G215" s="562"/>
      <c r="H215" s="562"/>
      <c r="I215" s="562"/>
      <c r="J215" s="562"/>
      <c r="K215" s="562"/>
      <c r="L215" s="562"/>
      <c r="M215" s="562"/>
      <c r="N215" s="562"/>
      <c r="O215" s="562"/>
      <c r="P215" s="562"/>
      <c r="Q215" s="562"/>
      <c r="R215" s="562"/>
      <c r="S215" s="562"/>
    </row>
    <row r="216" spans="1:19" s="560" customFormat="1" ht="19.5" customHeight="1">
      <c r="A216" s="561"/>
      <c r="B216" s="562"/>
      <c r="C216" s="562"/>
      <c r="D216" s="562"/>
      <c r="E216" s="562"/>
      <c r="F216" s="562"/>
      <c r="G216" s="562"/>
      <c r="H216" s="562"/>
      <c r="I216" s="562"/>
      <c r="J216" s="562"/>
      <c r="K216" s="562"/>
      <c r="L216" s="562"/>
      <c r="M216" s="562"/>
      <c r="N216" s="562"/>
      <c r="O216" s="562"/>
      <c r="P216" s="562"/>
      <c r="Q216" s="562"/>
      <c r="R216" s="562"/>
      <c r="S216" s="562"/>
    </row>
    <row r="217" spans="1:19" s="560" customFormat="1" ht="19.5" customHeight="1">
      <c r="A217" s="561"/>
      <c r="B217" s="562"/>
      <c r="C217" s="562"/>
      <c r="D217" s="562"/>
      <c r="E217" s="562"/>
      <c r="F217" s="562"/>
      <c r="G217" s="562"/>
      <c r="H217" s="562"/>
      <c r="I217" s="562"/>
      <c r="J217" s="562"/>
      <c r="K217" s="562"/>
      <c r="L217" s="562"/>
      <c r="M217" s="562"/>
      <c r="N217" s="562"/>
      <c r="O217" s="562"/>
      <c r="P217" s="562"/>
      <c r="Q217" s="562"/>
      <c r="R217" s="562"/>
      <c r="S217" s="562"/>
    </row>
    <row r="218" spans="1:19" s="560" customFormat="1" ht="19.5" customHeight="1">
      <c r="A218" s="561"/>
      <c r="B218" s="562"/>
      <c r="C218" s="562"/>
      <c r="D218" s="562"/>
      <c r="E218" s="562"/>
      <c r="F218" s="562"/>
      <c r="G218" s="562"/>
      <c r="H218" s="562"/>
      <c r="I218" s="562"/>
      <c r="J218" s="562"/>
      <c r="K218" s="562"/>
      <c r="L218" s="562"/>
      <c r="M218" s="562"/>
      <c r="N218" s="562"/>
      <c r="O218" s="562"/>
      <c r="P218" s="562"/>
      <c r="Q218" s="562"/>
      <c r="R218" s="562"/>
      <c r="S218" s="562"/>
    </row>
    <row r="219" spans="1:19" s="560" customFormat="1" ht="19.5" customHeight="1">
      <c r="A219" s="561"/>
      <c r="B219" s="562"/>
      <c r="C219" s="562"/>
      <c r="D219" s="562"/>
      <c r="E219" s="562"/>
      <c r="F219" s="562"/>
      <c r="G219" s="562"/>
      <c r="H219" s="562"/>
      <c r="I219" s="562"/>
      <c r="J219" s="562"/>
      <c r="K219" s="562"/>
      <c r="L219" s="562"/>
      <c r="M219" s="562"/>
      <c r="N219" s="562"/>
      <c r="O219" s="562"/>
      <c r="P219" s="562"/>
      <c r="Q219" s="562"/>
      <c r="R219" s="562"/>
      <c r="S219" s="562"/>
    </row>
    <row r="220" spans="1:19" s="560" customFormat="1" ht="19.5" customHeight="1">
      <c r="A220" s="561"/>
      <c r="B220" s="562"/>
      <c r="C220" s="562"/>
      <c r="D220" s="562"/>
      <c r="E220" s="562"/>
      <c r="F220" s="562"/>
      <c r="G220" s="562"/>
      <c r="H220" s="562"/>
      <c r="I220" s="562"/>
      <c r="J220" s="562"/>
      <c r="K220" s="562"/>
      <c r="L220" s="562"/>
      <c r="M220" s="562"/>
      <c r="N220" s="562"/>
      <c r="O220" s="562"/>
      <c r="P220" s="562"/>
      <c r="Q220" s="562"/>
      <c r="R220" s="562"/>
      <c r="S220" s="562"/>
    </row>
    <row r="221" spans="1:19" s="560" customFormat="1" ht="19.5" customHeight="1">
      <c r="A221" s="561"/>
      <c r="B221" s="562"/>
      <c r="C221" s="562"/>
      <c r="D221" s="562"/>
      <c r="E221" s="562"/>
      <c r="F221" s="562"/>
      <c r="G221" s="562"/>
      <c r="H221" s="562"/>
      <c r="I221" s="562"/>
      <c r="J221" s="562"/>
      <c r="K221" s="562"/>
      <c r="L221" s="562"/>
      <c r="M221" s="562"/>
      <c r="N221" s="562"/>
      <c r="O221" s="562"/>
      <c r="P221" s="562"/>
      <c r="Q221" s="562"/>
      <c r="R221" s="562"/>
      <c r="S221" s="562"/>
    </row>
    <row r="222" spans="1:19" s="560" customFormat="1" ht="19.5" customHeight="1">
      <c r="A222" s="561"/>
      <c r="B222" s="562"/>
      <c r="C222" s="562"/>
      <c r="D222" s="562"/>
      <c r="E222" s="562"/>
      <c r="F222" s="562"/>
      <c r="G222" s="562"/>
      <c r="H222" s="562"/>
      <c r="I222" s="562"/>
      <c r="J222" s="562"/>
      <c r="K222" s="562"/>
      <c r="L222" s="562"/>
      <c r="M222" s="562"/>
      <c r="N222" s="562"/>
      <c r="O222" s="562"/>
      <c r="P222" s="562"/>
      <c r="Q222" s="562"/>
      <c r="R222" s="562"/>
      <c r="S222" s="562"/>
    </row>
    <row r="223" spans="1:19" s="560" customFormat="1" ht="19.5" customHeight="1">
      <c r="A223" s="561"/>
      <c r="B223" s="562"/>
      <c r="C223" s="562"/>
      <c r="D223" s="562"/>
      <c r="E223" s="562"/>
      <c r="F223" s="562"/>
      <c r="G223" s="562"/>
      <c r="H223" s="562"/>
      <c r="I223" s="562"/>
      <c r="J223" s="562"/>
      <c r="K223" s="562"/>
      <c r="L223" s="562"/>
      <c r="M223" s="562"/>
      <c r="N223" s="562"/>
      <c r="O223" s="562"/>
      <c r="P223" s="562"/>
      <c r="Q223" s="562"/>
      <c r="R223" s="562"/>
      <c r="S223" s="562"/>
    </row>
    <row r="224" spans="1:19" s="560" customFormat="1" ht="19.5" customHeight="1">
      <c r="A224" s="561"/>
      <c r="B224" s="562"/>
      <c r="C224" s="562"/>
      <c r="D224" s="562"/>
      <c r="E224" s="562"/>
      <c r="F224" s="562"/>
      <c r="G224" s="562"/>
      <c r="H224" s="562"/>
      <c r="I224" s="562"/>
      <c r="J224" s="562"/>
      <c r="K224" s="562"/>
      <c r="L224" s="562"/>
      <c r="M224" s="562"/>
      <c r="N224" s="562"/>
      <c r="O224" s="562"/>
      <c r="P224" s="562"/>
      <c r="Q224" s="562"/>
      <c r="R224" s="562"/>
      <c r="S224" s="562"/>
    </row>
    <row r="225" spans="1:19" s="560" customFormat="1" ht="19.5" customHeight="1">
      <c r="A225" s="561"/>
      <c r="B225" s="562"/>
      <c r="C225" s="562"/>
      <c r="D225" s="562"/>
      <c r="E225" s="562"/>
      <c r="F225" s="562"/>
      <c r="G225" s="562"/>
      <c r="H225" s="562"/>
      <c r="I225" s="562"/>
      <c r="J225" s="562"/>
      <c r="K225" s="562"/>
      <c r="L225" s="562"/>
      <c r="M225" s="562"/>
      <c r="N225" s="562"/>
      <c r="O225" s="562"/>
      <c r="P225" s="562"/>
      <c r="Q225" s="562"/>
      <c r="R225" s="562"/>
      <c r="S225" s="562"/>
    </row>
    <row r="226" spans="1:19" s="560" customFormat="1" ht="19.5" customHeight="1">
      <c r="A226" s="561"/>
      <c r="B226" s="562"/>
      <c r="C226" s="562"/>
      <c r="D226" s="562"/>
      <c r="E226" s="562"/>
      <c r="F226" s="562"/>
      <c r="G226" s="562"/>
      <c r="H226" s="562"/>
      <c r="I226" s="562"/>
      <c r="J226" s="562"/>
      <c r="K226" s="562"/>
      <c r="L226" s="562"/>
      <c r="M226" s="562"/>
      <c r="N226" s="562"/>
      <c r="O226" s="562"/>
      <c r="P226" s="562"/>
      <c r="Q226" s="562"/>
      <c r="R226" s="562"/>
      <c r="S226" s="562"/>
    </row>
    <row r="227" spans="1:19" s="560" customFormat="1" ht="19.5" customHeight="1">
      <c r="A227" s="561"/>
      <c r="B227" s="562"/>
      <c r="C227" s="562"/>
      <c r="D227" s="562"/>
      <c r="E227" s="562"/>
      <c r="F227" s="562"/>
      <c r="G227" s="562"/>
      <c r="H227" s="562"/>
      <c r="I227" s="562"/>
      <c r="J227" s="562"/>
      <c r="K227" s="562"/>
      <c r="L227" s="562"/>
      <c r="M227" s="562"/>
      <c r="N227" s="562"/>
      <c r="O227" s="562"/>
      <c r="P227" s="562"/>
      <c r="Q227" s="562"/>
      <c r="R227" s="562"/>
      <c r="S227" s="562"/>
    </row>
    <row r="228" spans="1:19" s="560" customFormat="1" ht="19.5" customHeight="1">
      <c r="A228" s="561"/>
      <c r="B228" s="562"/>
      <c r="C228" s="562"/>
      <c r="D228" s="562"/>
      <c r="E228" s="562"/>
      <c r="F228" s="562"/>
      <c r="G228" s="562"/>
      <c r="H228" s="562"/>
      <c r="I228" s="562"/>
      <c r="J228" s="562"/>
      <c r="K228" s="562"/>
      <c r="L228" s="562"/>
      <c r="M228" s="562"/>
      <c r="N228" s="562"/>
      <c r="O228" s="562"/>
      <c r="P228" s="562"/>
      <c r="Q228" s="562"/>
      <c r="R228" s="562"/>
      <c r="S228" s="562"/>
    </row>
    <row r="229" spans="1:19" s="560" customFormat="1" ht="19.5" customHeight="1">
      <c r="A229" s="561"/>
      <c r="B229" s="562"/>
      <c r="C229" s="562"/>
      <c r="D229" s="562"/>
      <c r="E229" s="562"/>
      <c r="F229" s="562"/>
      <c r="G229" s="562"/>
      <c r="H229" s="562"/>
      <c r="I229" s="562"/>
      <c r="J229" s="562"/>
      <c r="K229" s="562"/>
      <c r="L229" s="562"/>
      <c r="M229" s="562"/>
      <c r="N229" s="562"/>
      <c r="O229" s="562"/>
      <c r="P229" s="562"/>
      <c r="Q229" s="562"/>
      <c r="R229" s="562"/>
      <c r="S229" s="562"/>
    </row>
    <row r="230" spans="1:19" s="560" customFormat="1" ht="19.5" customHeight="1">
      <c r="A230" s="561"/>
      <c r="B230" s="562"/>
      <c r="C230" s="562"/>
      <c r="D230" s="562"/>
      <c r="E230" s="562"/>
      <c r="F230" s="562"/>
      <c r="G230" s="562"/>
      <c r="H230" s="562"/>
      <c r="I230" s="562"/>
      <c r="J230" s="562"/>
      <c r="K230" s="562"/>
      <c r="L230" s="562"/>
      <c r="M230" s="562"/>
      <c r="N230" s="562"/>
      <c r="O230" s="562"/>
      <c r="P230" s="562"/>
      <c r="Q230" s="562"/>
      <c r="R230" s="562"/>
      <c r="S230" s="562"/>
    </row>
    <row r="231" spans="1:19" s="560" customFormat="1" ht="19.5" customHeight="1">
      <c r="A231" s="561"/>
      <c r="B231" s="562"/>
      <c r="C231" s="562"/>
      <c r="D231" s="562"/>
      <c r="E231" s="562"/>
      <c r="F231" s="562"/>
      <c r="G231" s="562"/>
      <c r="H231" s="562"/>
      <c r="I231" s="562"/>
      <c r="J231" s="562"/>
      <c r="K231" s="562"/>
      <c r="L231" s="562"/>
      <c r="M231" s="562"/>
      <c r="N231" s="562"/>
      <c r="O231" s="562"/>
      <c r="P231" s="562"/>
      <c r="Q231" s="562"/>
      <c r="R231" s="562"/>
      <c r="S231" s="562"/>
    </row>
    <row r="232" spans="1:19" s="560" customFormat="1" ht="19.5" customHeight="1">
      <c r="A232" s="561"/>
      <c r="B232" s="562"/>
      <c r="C232" s="562"/>
      <c r="D232" s="562"/>
      <c r="E232" s="562"/>
      <c r="F232" s="562"/>
      <c r="G232" s="562"/>
      <c r="H232" s="562"/>
      <c r="I232" s="562"/>
      <c r="J232" s="562"/>
      <c r="K232" s="562"/>
      <c r="L232" s="562"/>
      <c r="M232" s="562"/>
      <c r="N232" s="562"/>
      <c r="O232" s="562"/>
      <c r="P232" s="562"/>
      <c r="Q232" s="562"/>
      <c r="R232" s="562"/>
      <c r="S232" s="562"/>
    </row>
    <row r="233" spans="1:19" s="560" customFormat="1" ht="19.5" customHeight="1">
      <c r="A233" s="561"/>
      <c r="B233" s="562"/>
      <c r="C233" s="562"/>
      <c r="D233" s="562"/>
      <c r="E233" s="562"/>
      <c r="F233" s="562"/>
      <c r="G233" s="562"/>
      <c r="H233" s="562"/>
      <c r="I233" s="562"/>
      <c r="J233" s="562"/>
      <c r="K233" s="562"/>
      <c r="L233" s="562"/>
      <c r="M233" s="562"/>
      <c r="N233" s="562"/>
      <c r="O233" s="562"/>
      <c r="P233" s="562"/>
      <c r="Q233" s="562"/>
      <c r="R233" s="562"/>
      <c r="S233" s="562"/>
    </row>
    <row r="234" spans="1:19" s="560" customFormat="1" ht="19.5" customHeight="1">
      <c r="A234" s="561"/>
      <c r="B234" s="562"/>
      <c r="C234" s="562"/>
      <c r="D234" s="562"/>
      <c r="E234" s="562"/>
      <c r="F234" s="562"/>
      <c r="G234" s="562"/>
      <c r="H234" s="562"/>
      <c r="I234" s="562"/>
      <c r="J234" s="562"/>
      <c r="K234" s="562"/>
      <c r="L234" s="562"/>
      <c r="M234" s="562"/>
      <c r="N234" s="562"/>
      <c r="O234" s="562"/>
      <c r="P234" s="562"/>
      <c r="Q234" s="562"/>
      <c r="R234" s="562"/>
      <c r="S234" s="562"/>
    </row>
    <row r="235" spans="1:19" s="560" customFormat="1" ht="19.5" customHeight="1">
      <c r="A235" s="561"/>
      <c r="B235" s="562"/>
      <c r="C235" s="562"/>
      <c r="D235" s="562"/>
      <c r="E235" s="562"/>
      <c r="F235" s="562"/>
      <c r="G235" s="562"/>
      <c r="H235" s="562"/>
      <c r="I235" s="562"/>
      <c r="J235" s="562"/>
      <c r="K235" s="562"/>
      <c r="L235" s="562"/>
      <c r="M235" s="562"/>
      <c r="N235" s="562"/>
      <c r="O235" s="562"/>
      <c r="P235" s="562"/>
      <c r="Q235" s="562"/>
      <c r="R235" s="562"/>
      <c r="S235" s="562"/>
    </row>
    <row r="236" spans="1:19" s="560" customFormat="1" ht="19.5" customHeight="1">
      <c r="A236" s="561"/>
      <c r="B236" s="562"/>
      <c r="C236" s="562"/>
      <c r="D236" s="562"/>
      <c r="E236" s="562"/>
      <c r="F236" s="562"/>
      <c r="G236" s="562"/>
      <c r="H236" s="562"/>
      <c r="I236" s="562"/>
      <c r="J236" s="562"/>
      <c r="K236" s="562"/>
      <c r="L236" s="562"/>
      <c r="M236" s="562"/>
      <c r="N236" s="562"/>
      <c r="O236" s="562"/>
      <c r="P236" s="562"/>
      <c r="Q236" s="562"/>
      <c r="R236" s="562"/>
      <c r="S236" s="562"/>
    </row>
    <row r="237" spans="1:19" s="560" customFormat="1" ht="19.5" customHeight="1">
      <c r="A237" s="561"/>
      <c r="B237" s="562"/>
      <c r="C237" s="562"/>
      <c r="D237" s="562"/>
      <c r="E237" s="562"/>
      <c r="F237" s="562"/>
      <c r="G237" s="562"/>
      <c r="H237" s="562"/>
      <c r="I237" s="562"/>
      <c r="J237" s="562"/>
      <c r="K237" s="562"/>
      <c r="L237" s="562"/>
      <c r="M237" s="562"/>
      <c r="N237" s="562"/>
      <c r="O237" s="562"/>
      <c r="P237" s="562"/>
      <c r="Q237" s="562"/>
      <c r="R237" s="562"/>
      <c r="S237" s="562"/>
    </row>
    <row r="238" spans="1:19" s="560" customFormat="1" ht="19.5" customHeight="1">
      <c r="A238" s="561"/>
      <c r="B238" s="562"/>
      <c r="C238" s="562"/>
      <c r="D238" s="562"/>
      <c r="E238" s="562"/>
      <c r="F238" s="562"/>
      <c r="G238" s="562"/>
      <c r="H238" s="562"/>
      <c r="I238" s="562"/>
      <c r="J238" s="562"/>
      <c r="K238" s="562"/>
      <c r="L238" s="562"/>
      <c r="M238" s="562"/>
      <c r="N238" s="562"/>
      <c r="O238" s="562"/>
      <c r="P238" s="562"/>
      <c r="Q238" s="562"/>
      <c r="R238" s="562"/>
      <c r="S238" s="562"/>
    </row>
    <row r="239" spans="1:19" s="560" customFormat="1" ht="19.5" customHeight="1">
      <c r="A239" s="561"/>
      <c r="B239" s="562"/>
      <c r="C239" s="562"/>
      <c r="D239" s="562"/>
      <c r="E239" s="562"/>
      <c r="F239" s="562"/>
      <c r="G239" s="562"/>
      <c r="H239" s="562"/>
      <c r="I239" s="562"/>
      <c r="J239" s="562"/>
      <c r="K239" s="562"/>
      <c r="L239" s="562"/>
      <c r="M239" s="562"/>
      <c r="N239" s="562"/>
      <c r="O239" s="562"/>
      <c r="P239" s="562"/>
      <c r="Q239" s="562"/>
      <c r="R239" s="562"/>
      <c r="S239" s="562"/>
    </row>
    <row r="240" spans="1:19" s="560" customFormat="1" ht="19.5" customHeight="1">
      <c r="A240" s="561"/>
      <c r="B240" s="562"/>
      <c r="C240" s="562"/>
      <c r="D240" s="562"/>
      <c r="E240" s="562"/>
      <c r="F240" s="562"/>
      <c r="G240" s="562"/>
      <c r="H240" s="562"/>
      <c r="I240" s="562"/>
      <c r="J240" s="562"/>
      <c r="K240" s="562"/>
      <c r="L240" s="562"/>
      <c r="M240" s="562"/>
      <c r="N240" s="562"/>
      <c r="O240" s="562"/>
      <c r="P240" s="562"/>
      <c r="Q240" s="562"/>
      <c r="R240" s="562"/>
      <c r="S240" s="562"/>
    </row>
    <row r="241" spans="1:19" s="560" customFormat="1" ht="19.5" customHeight="1">
      <c r="A241" s="561"/>
      <c r="B241" s="562"/>
      <c r="C241" s="562"/>
      <c r="D241" s="562"/>
      <c r="E241" s="562"/>
      <c r="F241" s="562"/>
      <c r="G241" s="562"/>
      <c r="H241" s="562"/>
      <c r="I241" s="562"/>
      <c r="J241" s="562"/>
      <c r="K241" s="562"/>
      <c r="L241" s="562"/>
      <c r="M241" s="562"/>
      <c r="N241" s="562"/>
      <c r="O241" s="562"/>
      <c r="P241" s="562"/>
      <c r="Q241" s="562"/>
      <c r="R241" s="562"/>
      <c r="S241" s="562"/>
    </row>
    <row r="242" spans="1:19" s="560" customFormat="1" ht="19.5" customHeight="1">
      <c r="A242" s="561"/>
      <c r="B242" s="562"/>
      <c r="C242" s="562"/>
      <c r="D242" s="562"/>
      <c r="E242" s="562"/>
      <c r="F242" s="562"/>
      <c r="G242" s="562"/>
      <c r="H242" s="562"/>
      <c r="I242" s="562"/>
      <c r="J242" s="562"/>
      <c r="K242" s="562"/>
      <c r="L242" s="562"/>
      <c r="M242" s="562"/>
      <c r="N242" s="562"/>
      <c r="O242" s="562"/>
      <c r="P242" s="562"/>
      <c r="Q242" s="562"/>
      <c r="R242" s="562"/>
      <c r="S242" s="562"/>
    </row>
    <row r="243" ht="19.5" customHeight="1"/>
    <row r="244" ht="9.75" customHeight="1"/>
    <row r="245" ht="19.5" customHeight="1"/>
    <row r="246" ht="19.5" customHeight="1"/>
    <row r="247" ht="19.5" customHeight="1"/>
    <row r="248" ht="19.5" customHeight="1"/>
    <row r="249" spans="1:19" s="560" customFormat="1" ht="19.5" customHeight="1">
      <c r="A249" s="561"/>
      <c r="B249" s="562"/>
      <c r="C249" s="562"/>
      <c r="D249" s="562"/>
      <c r="E249" s="562"/>
      <c r="F249" s="562"/>
      <c r="G249" s="562"/>
      <c r="H249" s="562"/>
      <c r="I249" s="562"/>
      <c r="J249" s="562"/>
      <c r="K249" s="562"/>
      <c r="L249" s="562"/>
      <c r="M249" s="562"/>
      <c r="N249" s="562"/>
      <c r="O249" s="562"/>
      <c r="P249" s="562"/>
      <c r="Q249" s="562"/>
      <c r="R249" s="562"/>
      <c r="S249" s="562"/>
    </row>
    <row r="250" spans="1:19" s="560" customFormat="1" ht="19.5" customHeight="1">
      <c r="A250" s="561"/>
      <c r="B250" s="562"/>
      <c r="C250" s="562"/>
      <c r="D250" s="562"/>
      <c r="E250" s="562"/>
      <c r="F250" s="562"/>
      <c r="G250" s="562"/>
      <c r="H250" s="562"/>
      <c r="I250" s="562"/>
      <c r="J250" s="562"/>
      <c r="K250" s="562"/>
      <c r="L250" s="562"/>
      <c r="M250" s="562"/>
      <c r="N250" s="562"/>
      <c r="O250" s="562"/>
      <c r="P250" s="562"/>
      <c r="Q250" s="562"/>
      <c r="R250" s="562"/>
      <c r="S250" s="562"/>
    </row>
    <row r="251" spans="1:19" s="560" customFormat="1" ht="19.5" customHeight="1">
      <c r="A251" s="561"/>
      <c r="B251" s="562"/>
      <c r="C251" s="562"/>
      <c r="D251" s="562"/>
      <c r="E251" s="562"/>
      <c r="F251" s="562"/>
      <c r="G251" s="562"/>
      <c r="H251" s="562"/>
      <c r="I251" s="562"/>
      <c r="J251" s="562"/>
      <c r="K251" s="562"/>
      <c r="L251" s="562"/>
      <c r="M251" s="562"/>
      <c r="N251" s="562"/>
      <c r="O251" s="562"/>
      <c r="P251" s="562"/>
      <c r="Q251" s="562"/>
      <c r="R251" s="562"/>
      <c r="S251" s="562"/>
    </row>
    <row r="252" spans="1:19" s="560" customFormat="1" ht="19.5" customHeight="1">
      <c r="A252" s="561"/>
      <c r="B252" s="562"/>
      <c r="C252" s="562"/>
      <c r="D252" s="562"/>
      <c r="E252" s="562"/>
      <c r="F252" s="562"/>
      <c r="G252" s="562"/>
      <c r="H252" s="562"/>
      <c r="I252" s="562"/>
      <c r="J252" s="562"/>
      <c r="K252" s="562"/>
      <c r="L252" s="562"/>
      <c r="M252" s="562"/>
      <c r="N252" s="562"/>
      <c r="O252" s="562"/>
      <c r="P252" s="562"/>
      <c r="Q252" s="562"/>
      <c r="R252" s="562"/>
      <c r="S252" s="562"/>
    </row>
    <row r="253" spans="1:19" s="560" customFormat="1" ht="19.5" customHeight="1">
      <c r="A253" s="561"/>
      <c r="B253" s="562"/>
      <c r="C253" s="562"/>
      <c r="D253" s="562"/>
      <c r="E253" s="562"/>
      <c r="F253" s="562"/>
      <c r="G253" s="562"/>
      <c r="H253" s="562"/>
      <c r="I253" s="562"/>
      <c r="J253" s="562"/>
      <c r="K253" s="562"/>
      <c r="L253" s="562"/>
      <c r="M253" s="562"/>
      <c r="N253" s="562"/>
      <c r="O253" s="562"/>
      <c r="P253" s="562"/>
      <c r="Q253" s="562"/>
      <c r="R253" s="562"/>
      <c r="S253" s="562"/>
    </row>
    <row r="254" spans="1:19" s="560" customFormat="1" ht="19.5" customHeight="1">
      <c r="A254" s="561"/>
      <c r="B254" s="562"/>
      <c r="C254" s="562"/>
      <c r="D254" s="562"/>
      <c r="E254" s="562"/>
      <c r="F254" s="562"/>
      <c r="G254" s="562"/>
      <c r="H254" s="562"/>
      <c r="I254" s="562"/>
      <c r="J254" s="562"/>
      <c r="K254" s="562"/>
      <c r="L254" s="562"/>
      <c r="M254" s="562"/>
      <c r="N254" s="562"/>
      <c r="O254" s="562"/>
      <c r="P254" s="562"/>
      <c r="Q254" s="562"/>
      <c r="R254" s="562"/>
      <c r="S254" s="562"/>
    </row>
    <row r="255" spans="1:19" s="560" customFormat="1" ht="19.5" customHeight="1">
      <c r="A255" s="561"/>
      <c r="B255" s="562"/>
      <c r="C255" s="562"/>
      <c r="D255" s="562"/>
      <c r="E255" s="562"/>
      <c r="F255" s="562"/>
      <c r="G255" s="562"/>
      <c r="H255" s="562"/>
      <c r="I255" s="562"/>
      <c r="J255" s="562"/>
      <c r="K255" s="562"/>
      <c r="L255" s="562"/>
      <c r="M255" s="562"/>
      <c r="N255" s="562"/>
      <c r="O255" s="562"/>
      <c r="P255" s="562"/>
      <c r="Q255" s="562"/>
      <c r="R255" s="562"/>
      <c r="S255" s="562"/>
    </row>
    <row r="256" spans="1:19" s="560" customFormat="1" ht="19.5" customHeight="1">
      <c r="A256" s="561"/>
      <c r="B256" s="562"/>
      <c r="C256" s="562"/>
      <c r="D256" s="562"/>
      <c r="E256" s="562"/>
      <c r="F256" s="562"/>
      <c r="G256" s="562"/>
      <c r="H256" s="562"/>
      <c r="I256" s="562"/>
      <c r="J256" s="562"/>
      <c r="K256" s="562"/>
      <c r="L256" s="562"/>
      <c r="M256" s="562"/>
      <c r="N256" s="562"/>
      <c r="O256" s="562"/>
      <c r="P256" s="562"/>
      <c r="Q256" s="562"/>
      <c r="R256" s="562"/>
      <c r="S256" s="562"/>
    </row>
    <row r="257" spans="1:19" s="560" customFormat="1" ht="19.5" customHeight="1">
      <c r="A257" s="561"/>
      <c r="B257" s="562"/>
      <c r="C257" s="562"/>
      <c r="D257" s="562"/>
      <c r="E257" s="562"/>
      <c r="F257" s="562"/>
      <c r="G257" s="562"/>
      <c r="H257" s="562"/>
      <c r="I257" s="562"/>
      <c r="J257" s="562"/>
      <c r="K257" s="562"/>
      <c r="L257" s="562"/>
      <c r="M257" s="562"/>
      <c r="N257" s="562"/>
      <c r="O257" s="562"/>
      <c r="P257" s="562"/>
      <c r="Q257" s="562"/>
      <c r="R257" s="562"/>
      <c r="S257" s="562"/>
    </row>
    <row r="258" spans="1:19" s="560" customFormat="1" ht="19.5" customHeight="1">
      <c r="A258" s="561"/>
      <c r="B258" s="562"/>
      <c r="C258" s="562"/>
      <c r="D258" s="562"/>
      <c r="E258" s="562"/>
      <c r="F258" s="562"/>
      <c r="G258" s="562"/>
      <c r="H258" s="562"/>
      <c r="I258" s="562"/>
      <c r="J258" s="562"/>
      <c r="K258" s="562"/>
      <c r="L258" s="562"/>
      <c r="M258" s="562"/>
      <c r="N258" s="562"/>
      <c r="O258" s="562"/>
      <c r="P258" s="562"/>
      <c r="Q258" s="562"/>
      <c r="R258" s="562"/>
      <c r="S258" s="562"/>
    </row>
    <row r="259" spans="1:19" s="560" customFormat="1" ht="19.5" customHeight="1">
      <c r="A259" s="561"/>
      <c r="B259" s="562"/>
      <c r="C259" s="562"/>
      <c r="D259" s="562"/>
      <c r="E259" s="562"/>
      <c r="F259" s="562"/>
      <c r="G259" s="562"/>
      <c r="H259" s="562"/>
      <c r="I259" s="562"/>
      <c r="J259" s="562"/>
      <c r="K259" s="562"/>
      <c r="L259" s="562"/>
      <c r="M259" s="562"/>
      <c r="N259" s="562"/>
      <c r="O259" s="562"/>
      <c r="P259" s="562"/>
      <c r="Q259" s="562"/>
      <c r="R259" s="562"/>
      <c r="S259" s="562"/>
    </row>
    <row r="260" spans="1:19" s="560" customFormat="1" ht="19.5" customHeight="1">
      <c r="A260" s="561"/>
      <c r="B260" s="562"/>
      <c r="C260" s="562"/>
      <c r="D260" s="562"/>
      <c r="E260" s="562"/>
      <c r="F260" s="562"/>
      <c r="G260" s="562"/>
      <c r="H260" s="562"/>
      <c r="I260" s="562"/>
      <c r="J260" s="562"/>
      <c r="K260" s="562"/>
      <c r="L260" s="562"/>
      <c r="M260" s="562"/>
      <c r="N260" s="562"/>
      <c r="O260" s="562"/>
      <c r="P260" s="562"/>
      <c r="Q260" s="562"/>
      <c r="R260" s="562"/>
      <c r="S260" s="562"/>
    </row>
    <row r="261" spans="1:19" s="560" customFormat="1" ht="19.5" customHeight="1">
      <c r="A261" s="561"/>
      <c r="B261" s="562"/>
      <c r="C261" s="562"/>
      <c r="D261" s="562"/>
      <c r="E261" s="562"/>
      <c r="F261" s="562"/>
      <c r="G261" s="562"/>
      <c r="H261" s="562"/>
      <c r="I261" s="562"/>
      <c r="J261" s="562"/>
      <c r="K261" s="562"/>
      <c r="L261" s="562"/>
      <c r="M261" s="562"/>
      <c r="N261" s="562"/>
      <c r="O261" s="562"/>
      <c r="P261" s="562"/>
      <c r="Q261" s="562"/>
      <c r="R261" s="562"/>
      <c r="S261" s="562"/>
    </row>
    <row r="262" spans="1:19" s="560" customFormat="1" ht="19.5" customHeight="1">
      <c r="A262" s="561"/>
      <c r="B262" s="562"/>
      <c r="C262" s="562"/>
      <c r="D262" s="562"/>
      <c r="E262" s="562"/>
      <c r="F262" s="562"/>
      <c r="G262" s="562"/>
      <c r="H262" s="562"/>
      <c r="I262" s="562"/>
      <c r="J262" s="562"/>
      <c r="K262" s="562"/>
      <c r="L262" s="562"/>
      <c r="M262" s="562"/>
      <c r="N262" s="562"/>
      <c r="O262" s="562"/>
      <c r="P262" s="562"/>
      <c r="Q262" s="562"/>
      <c r="R262" s="562"/>
      <c r="S262" s="562"/>
    </row>
    <row r="263" spans="1:19" s="560" customFormat="1" ht="19.5" customHeight="1">
      <c r="A263" s="561"/>
      <c r="B263" s="562"/>
      <c r="C263" s="562"/>
      <c r="D263" s="562"/>
      <c r="E263" s="562"/>
      <c r="F263" s="562"/>
      <c r="G263" s="562"/>
      <c r="H263" s="562"/>
      <c r="I263" s="562"/>
      <c r="J263" s="562"/>
      <c r="K263" s="562"/>
      <c r="L263" s="562"/>
      <c r="M263" s="562"/>
      <c r="N263" s="562"/>
      <c r="O263" s="562"/>
      <c r="P263" s="562"/>
      <c r="Q263" s="562"/>
      <c r="R263" s="562"/>
      <c r="S263" s="562"/>
    </row>
    <row r="264" spans="1:19" s="560" customFormat="1" ht="19.5" customHeight="1">
      <c r="A264" s="561"/>
      <c r="B264" s="562"/>
      <c r="C264" s="562"/>
      <c r="D264" s="562"/>
      <c r="E264" s="562"/>
      <c r="F264" s="562"/>
      <c r="G264" s="562"/>
      <c r="H264" s="562"/>
      <c r="I264" s="562"/>
      <c r="J264" s="562"/>
      <c r="K264" s="562"/>
      <c r="L264" s="562"/>
      <c r="M264" s="562"/>
      <c r="N264" s="562"/>
      <c r="O264" s="562"/>
      <c r="P264" s="562"/>
      <c r="Q264" s="562"/>
      <c r="R264" s="562"/>
      <c r="S264" s="562"/>
    </row>
    <row r="265" spans="1:19" s="560" customFormat="1" ht="19.5" customHeight="1">
      <c r="A265" s="561"/>
      <c r="B265" s="562"/>
      <c r="C265" s="562"/>
      <c r="D265" s="562"/>
      <c r="E265" s="562"/>
      <c r="F265" s="562"/>
      <c r="G265" s="562"/>
      <c r="H265" s="562"/>
      <c r="I265" s="562"/>
      <c r="J265" s="562"/>
      <c r="K265" s="562"/>
      <c r="L265" s="562"/>
      <c r="M265" s="562"/>
      <c r="N265" s="562"/>
      <c r="O265" s="562"/>
      <c r="P265" s="562"/>
      <c r="Q265" s="562"/>
      <c r="R265" s="562"/>
      <c r="S265" s="562"/>
    </row>
    <row r="266" spans="1:19" s="560" customFormat="1" ht="19.5" customHeight="1">
      <c r="A266" s="561"/>
      <c r="B266" s="562"/>
      <c r="C266" s="562"/>
      <c r="D266" s="562"/>
      <c r="E266" s="562"/>
      <c r="F266" s="562"/>
      <c r="G266" s="562"/>
      <c r="H266" s="562"/>
      <c r="I266" s="562"/>
      <c r="J266" s="562"/>
      <c r="K266" s="562"/>
      <c r="L266" s="562"/>
      <c r="M266" s="562"/>
      <c r="N266" s="562"/>
      <c r="O266" s="562"/>
      <c r="P266" s="562"/>
      <c r="Q266" s="562"/>
      <c r="R266" s="562"/>
      <c r="S266" s="562"/>
    </row>
    <row r="267" spans="1:19" s="560" customFormat="1" ht="19.5" customHeight="1">
      <c r="A267" s="561"/>
      <c r="B267" s="562"/>
      <c r="C267" s="562"/>
      <c r="D267" s="562"/>
      <c r="E267" s="562"/>
      <c r="F267" s="562"/>
      <c r="G267" s="562"/>
      <c r="H267" s="562"/>
      <c r="I267" s="562"/>
      <c r="J267" s="562"/>
      <c r="K267" s="562"/>
      <c r="L267" s="562"/>
      <c r="M267" s="562"/>
      <c r="N267" s="562"/>
      <c r="O267" s="562"/>
      <c r="P267" s="562"/>
      <c r="Q267" s="562"/>
      <c r="R267" s="562"/>
      <c r="S267" s="562"/>
    </row>
    <row r="268" spans="1:19" s="560" customFormat="1" ht="19.5" customHeight="1">
      <c r="A268" s="561"/>
      <c r="B268" s="562"/>
      <c r="C268" s="562"/>
      <c r="D268" s="562"/>
      <c r="E268" s="562"/>
      <c r="F268" s="562"/>
      <c r="G268" s="562"/>
      <c r="H268" s="562"/>
      <c r="I268" s="562"/>
      <c r="J268" s="562"/>
      <c r="K268" s="562"/>
      <c r="L268" s="562"/>
      <c r="M268" s="562"/>
      <c r="N268" s="562"/>
      <c r="O268" s="562"/>
      <c r="P268" s="562"/>
      <c r="Q268" s="562"/>
      <c r="R268" s="562"/>
      <c r="S268" s="562"/>
    </row>
    <row r="269" spans="1:19" s="560" customFormat="1" ht="19.5" customHeight="1">
      <c r="A269" s="561"/>
      <c r="B269" s="562"/>
      <c r="C269" s="562"/>
      <c r="D269" s="562"/>
      <c r="E269" s="562"/>
      <c r="F269" s="562"/>
      <c r="G269" s="562"/>
      <c r="H269" s="562"/>
      <c r="I269" s="562"/>
      <c r="J269" s="562"/>
      <c r="K269" s="562"/>
      <c r="L269" s="562"/>
      <c r="M269" s="562"/>
      <c r="N269" s="562"/>
      <c r="O269" s="562"/>
      <c r="P269" s="562"/>
      <c r="Q269" s="562"/>
      <c r="R269" s="562"/>
      <c r="S269" s="562"/>
    </row>
    <row r="270" spans="1:19" s="560" customFormat="1" ht="19.5" customHeight="1">
      <c r="A270" s="561"/>
      <c r="B270" s="562"/>
      <c r="C270" s="562"/>
      <c r="D270" s="562"/>
      <c r="E270" s="562"/>
      <c r="F270" s="562"/>
      <c r="G270" s="562"/>
      <c r="H270" s="562"/>
      <c r="I270" s="562"/>
      <c r="J270" s="562"/>
      <c r="K270" s="562"/>
      <c r="L270" s="562"/>
      <c r="M270" s="562"/>
      <c r="N270" s="562"/>
      <c r="O270" s="562"/>
      <c r="P270" s="562"/>
      <c r="Q270" s="562"/>
      <c r="R270" s="562"/>
      <c r="S270" s="562"/>
    </row>
    <row r="271" spans="1:19" s="560" customFormat="1" ht="19.5" customHeight="1">
      <c r="A271" s="561"/>
      <c r="B271" s="562"/>
      <c r="C271" s="562"/>
      <c r="D271" s="562"/>
      <c r="E271" s="562"/>
      <c r="F271" s="562"/>
      <c r="G271" s="562"/>
      <c r="H271" s="562"/>
      <c r="I271" s="562"/>
      <c r="J271" s="562"/>
      <c r="K271" s="562"/>
      <c r="L271" s="562"/>
      <c r="M271" s="562"/>
      <c r="N271" s="562"/>
      <c r="O271" s="562"/>
      <c r="P271" s="562"/>
      <c r="Q271" s="562"/>
      <c r="R271" s="562"/>
      <c r="S271" s="562"/>
    </row>
    <row r="272" spans="1:19" s="560" customFormat="1" ht="19.5" customHeight="1">
      <c r="A272" s="561"/>
      <c r="B272" s="562"/>
      <c r="C272" s="562"/>
      <c r="D272" s="562"/>
      <c r="E272" s="562"/>
      <c r="F272" s="562"/>
      <c r="G272" s="562"/>
      <c r="H272" s="562"/>
      <c r="I272" s="562"/>
      <c r="J272" s="562"/>
      <c r="K272" s="562"/>
      <c r="L272" s="562"/>
      <c r="M272" s="562"/>
      <c r="N272" s="562"/>
      <c r="O272" s="562"/>
      <c r="P272" s="562"/>
      <c r="Q272" s="562"/>
      <c r="R272" s="562"/>
      <c r="S272" s="562"/>
    </row>
    <row r="273" spans="1:19" s="560" customFormat="1" ht="19.5" customHeight="1">
      <c r="A273" s="561"/>
      <c r="B273" s="562"/>
      <c r="C273" s="562"/>
      <c r="D273" s="562"/>
      <c r="E273" s="562"/>
      <c r="F273" s="562"/>
      <c r="G273" s="562"/>
      <c r="H273" s="562"/>
      <c r="I273" s="562"/>
      <c r="J273" s="562"/>
      <c r="K273" s="562"/>
      <c r="L273" s="562"/>
      <c r="M273" s="562"/>
      <c r="N273" s="562"/>
      <c r="O273" s="562"/>
      <c r="P273" s="562"/>
      <c r="Q273" s="562"/>
      <c r="R273" s="562"/>
      <c r="S273" s="562"/>
    </row>
    <row r="274" spans="1:19" s="560" customFormat="1" ht="19.5" customHeight="1">
      <c r="A274" s="561"/>
      <c r="B274" s="562"/>
      <c r="C274" s="562"/>
      <c r="D274" s="562"/>
      <c r="E274" s="562"/>
      <c r="F274" s="562"/>
      <c r="G274" s="562"/>
      <c r="H274" s="562"/>
      <c r="I274" s="562"/>
      <c r="J274" s="562"/>
      <c r="K274" s="562"/>
      <c r="L274" s="562"/>
      <c r="M274" s="562"/>
      <c r="N274" s="562"/>
      <c r="O274" s="562"/>
      <c r="P274" s="562"/>
      <c r="Q274" s="562"/>
      <c r="R274" s="562"/>
      <c r="S274" s="562"/>
    </row>
    <row r="275" spans="1:19" s="560" customFormat="1" ht="19.5" customHeight="1">
      <c r="A275" s="561"/>
      <c r="B275" s="562"/>
      <c r="C275" s="562"/>
      <c r="D275" s="562"/>
      <c r="E275" s="562"/>
      <c r="F275" s="562"/>
      <c r="G275" s="562"/>
      <c r="H275" s="562"/>
      <c r="I275" s="562"/>
      <c r="J275" s="562"/>
      <c r="K275" s="562"/>
      <c r="L275" s="562"/>
      <c r="M275" s="562"/>
      <c r="N275" s="562"/>
      <c r="O275" s="562"/>
      <c r="P275" s="562"/>
      <c r="Q275" s="562"/>
      <c r="R275" s="562"/>
      <c r="S275" s="562"/>
    </row>
    <row r="276" spans="1:19" s="560" customFormat="1" ht="19.5" customHeight="1">
      <c r="A276" s="561"/>
      <c r="B276" s="562"/>
      <c r="C276" s="562"/>
      <c r="D276" s="562"/>
      <c r="E276" s="562"/>
      <c r="F276" s="562"/>
      <c r="G276" s="562"/>
      <c r="H276" s="562"/>
      <c r="I276" s="562"/>
      <c r="J276" s="562"/>
      <c r="K276" s="562"/>
      <c r="L276" s="562"/>
      <c r="M276" s="562"/>
      <c r="N276" s="562"/>
      <c r="O276" s="562"/>
      <c r="P276" s="562"/>
      <c r="Q276" s="562"/>
      <c r="R276" s="562"/>
      <c r="S276" s="562"/>
    </row>
    <row r="277" spans="1:19" s="560" customFormat="1" ht="19.5" customHeight="1">
      <c r="A277" s="561"/>
      <c r="B277" s="562"/>
      <c r="C277" s="562"/>
      <c r="D277" s="562"/>
      <c r="E277" s="562"/>
      <c r="F277" s="562"/>
      <c r="G277" s="562"/>
      <c r="H277" s="562"/>
      <c r="I277" s="562"/>
      <c r="J277" s="562"/>
      <c r="K277" s="562"/>
      <c r="L277" s="562"/>
      <c r="M277" s="562"/>
      <c r="N277" s="562"/>
      <c r="O277" s="562"/>
      <c r="P277" s="562"/>
      <c r="Q277" s="562"/>
      <c r="R277" s="562"/>
      <c r="S277" s="562"/>
    </row>
    <row r="278" spans="1:19" s="560" customFormat="1" ht="19.5" customHeight="1">
      <c r="A278" s="561"/>
      <c r="B278" s="562"/>
      <c r="C278" s="562"/>
      <c r="D278" s="562"/>
      <c r="E278" s="562"/>
      <c r="F278" s="562"/>
      <c r="G278" s="562"/>
      <c r="H278" s="562"/>
      <c r="I278" s="562"/>
      <c r="J278" s="562"/>
      <c r="K278" s="562"/>
      <c r="L278" s="562"/>
      <c r="M278" s="562"/>
      <c r="N278" s="562"/>
      <c r="O278" s="562"/>
      <c r="P278" s="562"/>
      <c r="Q278" s="562"/>
      <c r="R278" s="562"/>
      <c r="S278" s="562"/>
    </row>
    <row r="279" spans="1:19" s="560" customFormat="1" ht="19.5" customHeight="1">
      <c r="A279" s="561"/>
      <c r="B279" s="562"/>
      <c r="C279" s="562"/>
      <c r="D279" s="562"/>
      <c r="E279" s="562"/>
      <c r="F279" s="562"/>
      <c r="G279" s="562"/>
      <c r="H279" s="562"/>
      <c r="I279" s="562"/>
      <c r="J279" s="562"/>
      <c r="K279" s="562"/>
      <c r="L279" s="562"/>
      <c r="M279" s="562"/>
      <c r="N279" s="562"/>
      <c r="O279" s="562"/>
      <c r="P279" s="562"/>
      <c r="Q279" s="562"/>
      <c r="R279" s="562"/>
      <c r="S279" s="562"/>
    </row>
    <row r="280" spans="1:19" s="560" customFormat="1" ht="19.5" customHeight="1">
      <c r="A280" s="561"/>
      <c r="B280" s="562"/>
      <c r="C280" s="562"/>
      <c r="D280" s="562"/>
      <c r="E280" s="562"/>
      <c r="F280" s="562"/>
      <c r="G280" s="562"/>
      <c r="H280" s="562"/>
      <c r="I280" s="562"/>
      <c r="J280" s="562"/>
      <c r="K280" s="562"/>
      <c r="L280" s="562"/>
      <c r="M280" s="562"/>
      <c r="N280" s="562"/>
      <c r="O280" s="562"/>
      <c r="P280" s="562"/>
      <c r="Q280" s="562"/>
      <c r="R280" s="562"/>
      <c r="S280" s="562"/>
    </row>
    <row r="281" spans="1:19" s="560" customFormat="1" ht="19.5" customHeight="1">
      <c r="A281" s="561"/>
      <c r="B281" s="562"/>
      <c r="C281" s="562"/>
      <c r="D281" s="562"/>
      <c r="E281" s="562"/>
      <c r="F281" s="562"/>
      <c r="G281" s="562"/>
      <c r="H281" s="562"/>
      <c r="I281" s="562"/>
      <c r="J281" s="562"/>
      <c r="K281" s="562"/>
      <c r="L281" s="562"/>
      <c r="M281" s="562"/>
      <c r="N281" s="562"/>
      <c r="O281" s="562"/>
      <c r="P281" s="562"/>
      <c r="Q281" s="562"/>
      <c r="R281" s="562"/>
      <c r="S281" s="562"/>
    </row>
    <row r="282" spans="1:19" s="560" customFormat="1" ht="19.5" customHeight="1">
      <c r="A282" s="561"/>
      <c r="B282" s="562"/>
      <c r="C282" s="562"/>
      <c r="D282" s="562"/>
      <c r="E282" s="562"/>
      <c r="F282" s="562"/>
      <c r="G282" s="562"/>
      <c r="H282" s="562"/>
      <c r="I282" s="562"/>
      <c r="J282" s="562"/>
      <c r="K282" s="562"/>
      <c r="L282" s="562"/>
      <c r="M282" s="562"/>
      <c r="N282" s="562"/>
      <c r="O282" s="562"/>
      <c r="P282" s="562"/>
      <c r="Q282" s="562"/>
      <c r="R282" s="562"/>
      <c r="S282" s="562"/>
    </row>
    <row r="283" spans="1:19" s="560" customFormat="1" ht="19.5" customHeight="1">
      <c r="A283" s="561"/>
      <c r="B283" s="562"/>
      <c r="C283" s="562"/>
      <c r="D283" s="562"/>
      <c r="E283" s="562"/>
      <c r="F283" s="562"/>
      <c r="G283" s="562"/>
      <c r="H283" s="562"/>
      <c r="I283" s="562"/>
      <c r="J283" s="562"/>
      <c r="K283" s="562"/>
      <c r="L283" s="562"/>
      <c r="M283" s="562"/>
      <c r="N283" s="562"/>
      <c r="O283" s="562"/>
      <c r="P283" s="562"/>
      <c r="Q283" s="562"/>
      <c r="R283" s="562"/>
      <c r="S283" s="562"/>
    </row>
    <row r="284" spans="1:19" s="560" customFormat="1" ht="19.5" customHeight="1">
      <c r="A284" s="561"/>
      <c r="B284" s="562"/>
      <c r="C284" s="562"/>
      <c r="D284" s="562"/>
      <c r="E284" s="562"/>
      <c r="F284" s="562"/>
      <c r="G284" s="562"/>
      <c r="H284" s="562"/>
      <c r="I284" s="562"/>
      <c r="J284" s="562"/>
      <c r="K284" s="562"/>
      <c r="L284" s="562"/>
      <c r="M284" s="562"/>
      <c r="N284" s="562"/>
      <c r="O284" s="562"/>
      <c r="P284" s="562"/>
      <c r="Q284" s="562"/>
      <c r="R284" s="562"/>
      <c r="S284" s="562"/>
    </row>
    <row r="285" spans="1:19" s="560" customFormat="1" ht="19.5" customHeight="1">
      <c r="A285" s="561"/>
      <c r="B285" s="562"/>
      <c r="C285" s="562"/>
      <c r="D285" s="562"/>
      <c r="E285" s="562"/>
      <c r="F285" s="562"/>
      <c r="G285" s="562"/>
      <c r="H285" s="562"/>
      <c r="I285" s="562"/>
      <c r="J285" s="562"/>
      <c r="K285" s="562"/>
      <c r="L285" s="562"/>
      <c r="M285" s="562"/>
      <c r="N285" s="562"/>
      <c r="O285" s="562"/>
      <c r="P285" s="562"/>
      <c r="Q285" s="562"/>
      <c r="R285" s="562"/>
      <c r="S285" s="562"/>
    </row>
    <row r="286" ht="19.5" customHeight="1"/>
    <row r="287" ht="9.75" customHeight="1"/>
    <row r="288" ht="19.5" customHeight="1"/>
    <row r="289" ht="19.5" customHeight="1"/>
    <row r="290" ht="19.5" customHeight="1"/>
    <row r="291" spans="1:19" s="560" customFormat="1" ht="19.5" customHeight="1">
      <c r="A291" s="561"/>
      <c r="B291" s="562"/>
      <c r="C291" s="562"/>
      <c r="D291" s="562"/>
      <c r="E291" s="562"/>
      <c r="F291" s="562"/>
      <c r="G291" s="562"/>
      <c r="H291" s="562"/>
      <c r="I291" s="562"/>
      <c r="J291" s="562"/>
      <c r="K291" s="562"/>
      <c r="L291" s="562"/>
      <c r="M291" s="562"/>
      <c r="N291" s="562"/>
      <c r="O291" s="562"/>
      <c r="P291" s="562"/>
      <c r="Q291" s="562"/>
      <c r="R291" s="562"/>
      <c r="S291" s="562"/>
    </row>
    <row r="292" spans="1:19" s="560" customFormat="1" ht="19.5" customHeight="1">
      <c r="A292" s="561"/>
      <c r="B292" s="562"/>
      <c r="C292" s="562"/>
      <c r="D292" s="562"/>
      <c r="E292" s="562"/>
      <c r="F292" s="562"/>
      <c r="G292" s="562"/>
      <c r="H292" s="562"/>
      <c r="I292" s="562"/>
      <c r="J292" s="562"/>
      <c r="K292" s="562"/>
      <c r="L292" s="562"/>
      <c r="M292" s="562"/>
      <c r="N292" s="562"/>
      <c r="O292" s="562"/>
      <c r="P292" s="562"/>
      <c r="Q292" s="562"/>
      <c r="R292" s="562"/>
      <c r="S292" s="562"/>
    </row>
    <row r="293" spans="1:19" s="560" customFormat="1" ht="19.5" customHeight="1">
      <c r="A293" s="561"/>
      <c r="B293" s="562"/>
      <c r="C293" s="562"/>
      <c r="D293" s="562"/>
      <c r="E293" s="562"/>
      <c r="F293" s="562"/>
      <c r="G293" s="562"/>
      <c r="H293" s="562"/>
      <c r="I293" s="562"/>
      <c r="J293" s="562"/>
      <c r="K293" s="562"/>
      <c r="L293" s="562"/>
      <c r="M293" s="562"/>
      <c r="N293" s="562"/>
      <c r="O293" s="562"/>
      <c r="P293" s="562"/>
      <c r="Q293" s="562"/>
      <c r="R293" s="562"/>
      <c r="S293" s="562"/>
    </row>
    <row r="294" spans="1:19" s="560" customFormat="1" ht="19.5" customHeight="1">
      <c r="A294" s="561"/>
      <c r="B294" s="562"/>
      <c r="C294" s="562"/>
      <c r="D294" s="562"/>
      <c r="E294" s="562"/>
      <c r="F294" s="562"/>
      <c r="G294" s="562"/>
      <c r="H294" s="562"/>
      <c r="I294" s="562"/>
      <c r="J294" s="562"/>
      <c r="K294" s="562"/>
      <c r="L294" s="562"/>
      <c r="M294" s="562"/>
      <c r="N294" s="562"/>
      <c r="O294" s="562"/>
      <c r="P294" s="562"/>
      <c r="Q294" s="562"/>
      <c r="R294" s="562"/>
      <c r="S294" s="562"/>
    </row>
    <row r="295" spans="1:19" s="560" customFormat="1" ht="19.5" customHeight="1">
      <c r="A295" s="561"/>
      <c r="B295" s="562"/>
      <c r="C295" s="562"/>
      <c r="D295" s="562"/>
      <c r="E295" s="562"/>
      <c r="F295" s="562"/>
      <c r="G295" s="562"/>
      <c r="H295" s="562"/>
      <c r="I295" s="562"/>
      <c r="J295" s="562"/>
      <c r="K295" s="562"/>
      <c r="L295" s="562"/>
      <c r="M295" s="562"/>
      <c r="N295" s="562"/>
      <c r="O295" s="562"/>
      <c r="P295" s="562"/>
      <c r="Q295" s="562"/>
      <c r="R295" s="562"/>
      <c r="S295" s="562"/>
    </row>
    <row r="296" spans="1:19" s="560" customFormat="1" ht="19.5" customHeight="1">
      <c r="A296" s="561"/>
      <c r="B296" s="562"/>
      <c r="C296" s="562"/>
      <c r="D296" s="562"/>
      <c r="E296" s="562"/>
      <c r="F296" s="562"/>
      <c r="G296" s="562"/>
      <c r="H296" s="562"/>
      <c r="I296" s="562"/>
      <c r="J296" s="562"/>
      <c r="K296" s="562"/>
      <c r="L296" s="562"/>
      <c r="M296" s="562"/>
      <c r="N296" s="562"/>
      <c r="O296" s="562"/>
      <c r="P296" s="562"/>
      <c r="Q296" s="562"/>
      <c r="R296" s="562"/>
      <c r="S296" s="562"/>
    </row>
    <row r="297" spans="1:19" s="560" customFormat="1" ht="19.5" customHeight="1">
      <c r="A297" s="561"/>
      <c r="B297" s="562"/>
      <c r="C297" s="562"/>
      <c r="D297" s="562"/>
      <c r="E297" s="562"/>
      <c r="F297" s="562"/>
      <c r="G297" s="562"/>
      <c r="H297" s="562"/>
      <c r="I297" s="562"/>
      <c r="J297" s="562"/>
      <c r="K297" s="562"/>
      <c r="L297" s="562"/>
      <c r="M297" s="562"/>
      <c r="N297" s="562"/>
      <c r="O297" s="562"/>
      <c r="P297" s="562"/>
      <c r="Q297" s="562"/>
      <c r="R297" s="562"/>
      <c r="S297" s="562"/>
    </row>
    <row r="298" spans="1:19" s="560" customFormat="1" ht="19.5" customHeight="1">
      <c r="A298" s="561"/>
      <c r="B298" s="562"/>
      <c r="C298" s="562"/>
      <c r="D298" s="562"/>
      <c r="E298" s="562"/>
      <c r="F298" s="562"/>
      <c r="G298" s="562"/>
      <c r="H298" s="562"/>
      <c r="I298" s="562"/>
      <c r="J298" s="562"/>
      <c r="K298" s="562"/>
      <c r="L298" s="562"/>
      <c r="M298" s="562"/>
      <c r="N298" s="562"/>
      <c r="O298" s="562"/>
      <c r="P298" s="562"/>
      <c r="Q298" s="562"/>
      <c r="R298" s="562"/>
      <c r="S298" s="562"/>
    </row>
    <row r="299" spans="1:19" s="560" customFormat="1" ht="19.5" customHeight="1">
      <c r="A299" s="561"/>
      <c r="B299" s="562"/>
      <c r="C299" s="562"/>
      <c r="D299" s="562"/>
      <c r="E299" s="562"/>
      <c r="F299" s="562"/>
      <c r="G299" s="562"/>
      <c r="H299" s="562"/>
      <c r="I299" s="562"/>
      <c r="J299" s="562"/>
      <c r="K299" s="562"/>
      <c r="L299" s="562"/>
      <c r="M299" s="562"/>
      <c r="N299" s="562"/>
      <c r="O299" s="562"/>
      <c r="P299" s="562"/>
      <c r="Q299" s="562"/>
      <c r="R299" s="562"/>
      <c r="S299" s="562"/>
    </row>
    <row r="300" spans="1:19" s="560" customFormat="1" ht="19.5" customHeight="1">
      <c r="A300" s="561"/>
      <c r="B300" s="562"/>
      <c r="C300" s="562"/>
      <c r="D300" s="562"/>
      <c r="E300" s="562"/>
      <c r="F300" s="562"/>
      <c r="G300" s="562"/>
      <c r="H300" s="562"/>
      <c r="I300" s="562"/>
      <c r="J300" s="562"/>
      <c r="K300" s="562"/>
      <c r="L300" s="562"/>
      <c r="M300" s="562"/>
      <c r="N300" s="562"/>
      <c r="O300" s="562"/>
      <c r="P300" s="562"/>
      <c r="Q300" s="562"/>
      <c r="R300" s="562"/>
      <c r="S300" s="562"/>
    </row>
    <row r="301" spans="1:19" s="560" customFormat="1" ht="19.5" customHeight="1">
      <c r="A301" s="561"/>
      <c r="B301" s="562"/>
      <c r="C301" s="562"/>
      <c r="D301" s="562"/>
      <c r="E301" s="562"/>
      <c r="F301" s="562"/>
      <c r="G301" s="562"/>
      <c r="H301" s="562"/>
      <c r="I301" s="562"/>
      <c r="J301" s="562"/>
      <c r="K301" s="562"/>
      <c r="L301" s="562"/>
      <c r="M301" s="562"/>
      <c r="N301" s="562"/>
      <c r="O301" s="562"/>
      <c r="P301" s="562"/>
      <c r="Q301" s="562"/>
      <c r="R301" s="562"/>
      <c r="S301" s="562"/>
    </row>
    <row r="302" spans="1:19" s="560" customFormat="1" ht="19.5" customHeight="1">
      <c r="A302" s="561"/>
      <c r="B302" s="562"/>
      <c r="C302" s="562"/>
      <c r="D302" s="562"/>
      <c r="E302" s="562"/>
      <c r="F302" s="562"/>
      <c r="G302" s="562"/>
      <c r="H302" s="562"/>
      <c r="I302" s="562"/>
      <c r="J302" s="562"/>
      <c r="K302" s="562"/>
      <c r="L302" s="562"/>
      <c r="M302" s="562"/>
      <c r="N302" s="562"/>
      <c r="O302" s="562"/>
      <c r="P302" s="562"/>
      <c r="Q302" s="562"/>
      <c r="R302" s="562"/>
      <c r="S302" s="562"/>
    </row>
    <row r="303" spans="1:19" s="560" customFormat="1" ht="19.5" customHeight="1">
      <c r="A303" s="561"/>
      <c r="B303" s="562"/>
      <c r="C303" s="562"/>
      <c r="D303" s="562"/>
      <c r="E303" s="562"/>
      <c r="F303" s="562"/>
      <c r="G303" s="562"/>
      <c r="H303" s="562"/>
      <c r="I303" s="562"/>
      <c r="J303" s="562"/>
      <c r="K303" s="562"/>
      <c r="L303" s="562"/>
      <c r="M303" s="562"/>
      <c r="N303" s="562"/>
      <c r="O303" s="562"/>
      <c r="P303" s="562"/>
      <c r="Q303" s="562"/>
      <c r="R303" s="562"/>
      <c r="S303" s="562"/>
    </row>
    <row r="304" spans="1:19" s="560" customFormat="1" ht="19.5" customHeight="1">
      <c r="A304" s="561"/>
      <c r="B304" s="562"/>
      <c r="C304" s="562"/>
      <c r="D304" s="562"/>
      <c r="E304" s="562"/>
      <c r="F304" s="562"/>
      <c r="G304" s="562"/>
      <c r="H304" s="562"/>
      <c r="I304" s="562"/>
      <c r="J304" s="562"/>
      <c r="K304" s="562"/>
      <c r="L304" s="562"/>
      <c r="M304" s="562"/>
      <c r="N304" s="562"/>
      <c r="O304" s="562"/>
      <c r="P304" s="562"/>
      <c r="Q304" s="562"/>
      <c r="R304" s="562"/>
      <c r="S304" s="562"/>
    </row>
    <row r="305" spans="1:19" s="560" customFormat="1" ht="19.5" customHeight="1">
      <c r="A305" s="561"/>
      <c r="B305" s="562"/>
      <c r="C305" s="562"/>
      <c r="D305" s="562"/>
      <c r="E305" s="562"/>
      <c r="F305" s="562"/>
      <c r="G305" s="562"/>
      <c r="H305" s="562"/>
      <c r="I305" s="562"/>
      <c r="J305" s="562"/>
      <c r="K305" s="562"/>
      <c r="L305" s="562"/>
      <c r="M305" s="562"/>
      <c r="N305" s="562"/>
      <c r="O305" s="562"/>
      <c r="P305" s="562"/>
      <c r="Q305" s="562"/>
      <c r="R305" s="562"/>
      <c r="S305" s="562"/>
    </row>
    <row r="306" spans="1:19" s="560" customFormat="1" ht="19.5" customHeight="1">
      <c r="A306" s="561"/>
      <c r="B306" s="562"/>
      <c r="C306" s="562"/>
      <c r="D306" s="562"/>
      <c r="E306" s="562"/>
      <c r="F306" s="562"/>
      <c r="G306" s="562"/>
      <c r="H306" s="562"/>
      <c r="I306" s="562"/>
      <c r="J306" s="562"/>
      <c r="K306" s="562"/>
      <c r="L306" s="562"/>
      <c r="M306" s="562"/>
      <c r="N306" s="562"/>
      <c r="O306" s="562"/>
      <c r="P306" s="562"/>
      <c r="Q306" s="562"/>
      <c r="R306" s="562"/>
      <c r="S306" s="562"/>
    </row>
    <row r="307" spans="1:19" s="560" customFormat="1" ht="19.5" customHeight="1">
      <c r="A307" s="561"/>
      <c r="B307" s="562"/>
      <c r="C307" s="562"/>
      <c r="D307" s="562"/>
      <c r="E307" s="562"/>
      <c r="F307" s="562"/>
      <c r="G307" s="562"/>
      <c r="H307" s="562"/>
      <c r="I307" s="562"/>
      <c r="J307" s="562"/>
      <c r="K307" s="562"/>
      <c r="L307" s="562"/>
      <c r="M307" s="562"/>
      <c r="N307" s="562"/>
      <c r="O307" s="562"/>
      <c r="P307" s="562"/>
      <c r="Q307" s="562"/>
      <c r="R307" s="562"/>
      <c r="S307" s="562"/>
    </row>
    <row r="308" spans="1:19" s="560" customFormat="1" ht="19.5" customHeight="1">
      <c r="A308" s="561"/>
      <c r="B308" s="562"/>
      <c r="C308" s="562"/>
      <c r="D308" s="562"/>
      <c r="E308" s="562"/>
      <c r="F308" s="562"/>
      <c r="G308" s="562"/>
      <c r="H308" s="562"/>
      <c r="I308" s="562"/>
      <c r="J308" s="562"/>
      <c r="K308" s="562"/>
      <c r="L308" s="562"/>
      <c r="M308" s="562"/>
      <c r="N308" s="562"/>
      <c r="O308" s="562"/>
      <c r="P308" s="562"/>
      <c r="Q308" s="562"/>
      <c r="R308" s="562"/>
      <c r="S308" s="562"/>
    </row>
    <row r="309" spans="1:19" s="560" customFormat="1" ht="19.5" customHeight="1">
      <c r="A309" s="561"/>
      <c r="B309" s="562"/>
      <c r="C309" s="562"/>
      <c r="D309" s="562"/>
      <c r="E309" s="562"/>
      <c r="F309" s="562"/>
      <c r="G309" s="562"/>
      <c r="H309" s="562"/>
      <c r="I309" s="562"/>
      <c r="J309" s="562"/>
      <c r="K309" s="562"/>
      <c r="L309" s="562"/>
      <c r="M309" s="562"/>
      <c r="N309" s="562"/>
      <c r="O309" s="562"/>
      <c r="P309" s="562"/>
      <c r="Q309" s="562"/>
      <c r="R309" s="562"/>
      <c r="S309" s="562"/>
    </row>
    <row r="310" spans="1:19" s="560" customFormat="1" ht="19.5" customHeight="1">
      <c r="A310" s="561"/>
      <c r="B310" s="562"/>
      <c r="C310" s="562"/>
      <c r="D310" s="562"/>
      <c r="E310" s="562"/>
      <c r="F310" s="562"/>
      <c r="G310" s="562"/>
      <c r="H310" s="562"/>
      <c r="I310" s="562"/>
      <c r="J310" s="562"/>
      <c r="K310" s="562"/>
      <c r="L310" s="562"/>
      <c r="M310" s="562"/>
      <c r="N310" s="562"/>
      <c r="O310" s="562"/>
      <c r="P310" s="562"/>
      <c r="Q310" s="562"/>
      <c r="R310" s="562"/>
      <c r="S310" s="562"/>
    </row>
    <row r="311" spans="1:19" s="560" customFormat="1" ht="19.5" customHeight="1">
      <c r="A311" s="561"/>
      <c r="B311" s="562"/>
      <c r="C311" s="562"/>
      <c r="D311" s="562"/>
      <c r="E311" s="562"/>
      <c r="F311" s="562"/>
      <c r="G311" s="562"/>
      <c r="H311" s="562"/>
      <c r="I311" s="562"/>
      <c r="J311" s="562"/>
      <c r="K311" s="562"/>
      <c r="L311" s="562"/>
      <c r="M311" s="562"/>
      <c r="N311" s="562"/>
      <c r="O311" s="562"/>
      <c r="P311" s="562"/>
      <c r="Q311" s="562"/>
      <c r="R311" s="562"/>
      <c r="S311" s="562"/>
    </row>
    <row r="312" spans="1:19" s="560" customFormat="1" ht="19.5" customHeight="1">
      <c r="A312" s="561"/>
      <c r="B312" s="562"/>
      <c r="C312" s="562"/>
      <c r="D312" s="562"/>
      <c r="E312" s="562"/>
      <c r="F312" s="562"/>
      <c r="G312" s="562"/>
      <c r="H312" s="562"/>
      <c r="I312" s="562"/>
      <c r="J312" s="562"/>
      <c r="K312" s="562"/>
      <c r="L312" s="562"/>
      <c r="M312" s="562"/>
      <c r="N312" s="562"/>
      <c r="O312" s="562"/>
      <c r="P312" s="562"/>
      <c r="Q312" s="562"/>
      <c r="R312" s="562"/>
      <c r="S312" s="562"/>
    </row>
    <row r="313" spans="1:19" s="560" customFormat="1" ht="19.5" customHeight="1">
      <c r="A313" s="561"/>
      <c r="B313" s="562"/>
      <c r="C313" s="562"/>
      <c r="D313" s="562"/>
      <c r="E313" s="562"/>
      <c r="F313" s="562"/>
      <c r="G313" s="562"/>
      <c r="H313" s="562"/>
      <c r="I313" s="562"/>
      <c r="J313" s="562"/>
      <c r="K313" s="562"/>
      <c r="L313" s="562"/>
      <c r="M313" s="562"/>
      <c r="N313" s="562"/>
      <c r="O313" s="562"/>
      <c r="P313" s="562"/>
      <c r="Q313" s="562"/>
      <c r="R313" s="562"/>
      <c r="S313" s="562"/>
    </row>
    <row r="314" spans="1:19" s="560" customFormat="1" ht="19.5" customHeight="1">
      <c r="A314" s="561"/>
      <c r="B314" s="562"/>
      <c r="C314" s="562"/>
      <c r="D314" s="562"/>
      <c r="E314" s="562"/>
      <c r="F314" s="562"/>
      <c r="G314" s="562"/>
      <c r="H314" s="562"/>
      <c r="I314" s="562"/>
      <c r="J314" s="562"/>
      <c r="K314" s="562"/>
      <c r="L314" s="562"/>
      <c r="M314" s="562"/>
      <c r="N314" s="562"/>
      <c r="O314" s="562"/>
      <c r="P314" s="562"/>
      <c r="Q314" s="562"/>
      <c r="R314" s="562"/>
      <c r="S314" s="562"/>
    </row>
    <row r="315" spans="1:19" s="560" customFormat="1" ht="19.5" customHeight="1">
      <c r="A315" s="561"/>
      <c r="B315" s="562"/>
      <c r="C315" s="562"/>
      <c r="D315" s="562"/>
      <c r="E315" s="562"/>
      <c r="F315" s="562"/>
      <c r="G315" s="562"/>
      <c r="H315" s="562"/>
      <c r="I315" s="562"/>
      <c r="J315" s="562"/>
      <c r="K315" s="562"/>
      <c r="L315" s="562"/>
      <c r="M315" s="562"/>
      <c r="N315" s="562"/>
      <c r="O315" s="562"/>
      <c r="P315" s="562"/>
      <c r="Q315" s="562"/>
      <c r="R315" s="562"/>
      <c r="S315" s="562"/>
    </row>
    <row r="316" spans="1:19" s="560" customFormat="1" ht="19.5" customHeight="1">
      <c r="A316" s="561"/>
      <c r="B316" s="562"/>
      <c r="C316" s="562"/>
      <c r="D316" s="562"/>
      <c r="E316" s="562"/>
      <c r="F316" s="562"/>
      <c r="G316" s="562"/>
      <c r="H316" s="562"/>
      <c r="I316" s="562"/>
      <c r="J316" s="562"/>
      <c r="K316" s="562"/>
      <c r="L316" s="562"/>
      <c r="M316" s="562"/>
      <c r="N316" s="562"/>
      <c r="O316" s="562"/>
      <c r="P316" s="562"/>
      <c r="Q316" s="562"/>
      <c r="R316" s="562"/>
      <c r="S316" s="562"/>
    </row>
    <row r="317" spans="1:19" s="560" customFormat="1" ht="19.5" customHeight="1">
      <c r="A317" s="561"/>
      <c r="B317" s="562"/>
      <c r="C317" s="562"/>
      <c r="D317" s="562"/>
      <c r="E317" s="562"/>
      <c r="F317" s="562"/>
      <c r="G317" s="562"/>
      <c r="H317" s="562"/>
      <c r="I317" s="562"/>
      <c r="J317" s="562"/>
      <c r="K317" s="562"/>
      <c r="L317" s="562"/>
      <c r="M317" s="562"/>
      <c r="N317" s="562"/>
      <c r="O317" s="562"/>
      <c r="P317" s="562"/>
      <c r="Q317" s="562"/>
      <c r="R317" s="562"/>
      <c r="S317" s="562"/>
    </row>
    <row r="318" spans="1:19" s="560" customFormat="1" ht="19.5" customHeight="1">
      <c r="A318" s="561"/>
      <c r="B318" s="562"/>
      <c r="C318" s="562"/>
      <c r="D318" s="562"/>
      <c r="E318" s="562"/>
      <c r="F318" s="562"/>
      <c r="G318" s="562"/>
      <c r="H318" s="562"/>
      <c r="I318" s="562"/>
      <c r="J318" s="562"/>
      <c r="K318" s="562"/>
      <c r="L318" s="562"/>
      <c r="M318" s="562"/>
      <c r="N318" s="562"/>
      <c r="O318" s="562"/>
      <c r="P318" s="562"/>
      <c r="Q318" s="562"/>
      <c r="R318" s="562"/>
      <c r="S318" s="562"/>
    </row>
    <row r="319" spans="1:19" s="560" customFormat="1" ht="19.5" customHeight="1">
      <c r="A319" s="561"/>
      <c r="B319" s="562"/>
      <c r="C319" s="562"/>
      <c r="D319" s="562"/>
      <c r="E319" s="562"/>
      <c r="F319" s="562"/>
      <c r="G319" s="562"/>
      <c r="H319" s="562"/>
      <c r="I319" s="562"/>
      <c r="J319" s="562"/>
      <c r="K319" s="562"/>
      <c r="L319" s="562"/>
      <c r="M319" s="562"/>
      <c r="N319" s="562"/>
      <c r="O319" s="562"/>
      <c r="P319" s="562"/>
      <c r="Q319" s="562"/>
      <c r="R319" s="562"/>
      <c r="S319" s="562"/>
    </row>
    <row r="320" spans="1:19" s="560" customFormat="1" ht="19.5" customHeight="1">
      <c r="A320" s="561"/>
      <c r="B320" s="562"/>
      <c r="C320" s="562"/>
      <c r="D320" s="562"/>
      <c r="E320" s="562"/>
      <c r="F320" s="562"/>
      <c r="G320" s="562"/>
      <c r="H320" s="562"/>
      <c r="I320" s="562"/>
      <c r="J320" s="562"/>
      <c r="K320" s="562"/>
      <c r="L320" s="562"/>
      <c r="M320" s="562"/>
      <c r="N320" s="562"/>
      <c r="O320" s="562"/>
      <c r="P320" s="562"/>
      <c r="Q320" s="562"/>
      <c r="R320" s="562"/>
      <c r="S320" s="562"/>
    </row>
    <row r="321" spans="1:19" s="560" customFormat="1" ht="19.5" customHeight="1">
      <c r="A321" s="561"/>
      <c r="B321" s="562"/>
      <c r="C321" s="562"/>
      <c r="D321" s="562"/>
      <c r="E321" s="562"/>
      <c r="F321" s="562"/>
      <c r="G321" s="562"/>
      <c r="H321" s="562"/>
      <c r="I321" s="562"/>
      <c r="J321" s="562"/>
      <c r="K321" s="562"/>
      <c r="L321" s="562"/>
      <c r="M321" s="562"/>
      <c r="N321" s="562"/>
      <c r="O321" s="562"/>
      <c r="P321" s="562"/>
      <c r="Q321" s="562"/>
      <c r="R321" s="562"/>
      <c r="S321" s="562"/>
    </row>
    <row r="322" spans="1:19" s="560" customFormat="1" ht="19.5" customHeight="1">
      <c r="A322" s="561"/>
      <c r="B322" s="562"/>
      <c r="C322" s="562"/>
      <c r="D322" s="562"/>
      <c r="E322" s="562"/>
      <c r="F322" s="562"/>
      <c r="G322" s="562"/>
      <c r="H322" s="562"/>
      <c r="I322" s="562"/>
      <c r="J322" s="562"/>
      <c r="K322" s="562"/>
      <c r="L322" s="562"/>
      <c r="M322" s="562"/>
      <c r="N322" s="562"/>
      <c r="O322" s="562"/>
      <c r="P322" s="562"/>
      <c r="Q322" s="562"/>
      <c r="R322" s="562"/>
      <c r="S322" s="562"/>
    </row>
    <row r="323" spans="1:19" s="560" customFormat="1" ht="19.5" customHeight="1">
      <c r="A323" s="561"/>
      <c r="B323" s="562"/>
      <c r="C323" s="562"/>
      <c r="D323" s="562"/>
      <c r="E323" s="562"/>
      <c r="F323" s="562"/>
      <c r="G323" s="562"/>
      <c r="H323" s="562"/>
      <c r="I323" s="562"/>
      <c r="J323" s="562"/>
      <c r="K323" s="562"/>
      <c r="L323" s="562"/>
      <c r="M323" s="562"/>
      <c r="N323" s="562"/>
      <c r="O323" s="562"/>
      <c r="P323" s="562"/>
      <c r="Q323" s="562"/>
      <c r="R323" s="562"/>
      <c r="S323" s="562"/>
    </row>
    <row r="324" spans="1:19" s="560" customFormat="1" ht="19.5" customHeight="1">
      <c r="A324" s="561"/>
      <c r="B324" s="562"/>
      <c r="C324" s="562"/>
      <c r="D324" s="562"/>
      <c r="E324" s="562"/>
      <c r="F324" s="562"/>
      <c r="G324" s="562"/>
      <c r="H324" s="562"/>
      <c r="I324" s="562"/>
      <c r="J324" s="562"/>
      <c r="K324" s="562"/>
      <c r="L324" s="562"/>
      <c r="M324" s="562"/>
      <c r="N324" s="562"/>
      <c r="O324" s="562"/>
      <c r="P324" s="562"/>
      <c r="Q324" s="562"/>
      <c r="R324" s="562"/>
      <c r="S324" s="562"/>
    </row>
    <row r="325" spans="1:19" s="560" customFormat="1" ht="19.5" customHeight="1">
      <c r="A325" s="561"/>
      <c r="B325" s="562"/>
      <c r="C325" s="562"/>
      <c r="D325" s="562"/>
      <c r="E325" s="562"/>
      <c r="F325" s="562"/>
      <c r="G325" s="562"/>
      <c r="H325" s="562"/>
      <c r="I325" s="562"/>
      <c r="J325" s="562"/>
      <c r="K325" s="562"/>
      <c r="L325" s="562"/>
      <c r="M325" s="562"/>
      <c r="N325" s="562"/>
      <c r="O325" s="562"/>
      <c r="P325" s="562"/>
      <c r="Q325" s="562"/>
      <c r="R325" s="562"/>
      <c r="S325" s="562"/>
    </row>
    <row r="326" spans="1:19" s="560" customFormat="1" ht="19.5" customHeight="1">
      <c r="A326" s="561"/>
      <c r="B326" s="562"/>
      <c r="C326" s="562"/>
      <c r="D326" s="562"/>
      <c r="E326" s="562"/>
      <c r="F326" s="562"/>
      <c r="G326" s="562"/>
      <c r="H326" s="562"/>
      <c r="I326" s="562"/>
      <c r="J326" s="562"/>
      <c r="K326" s="562"/>
      <c r="L326" s="562"/>
      <c r="M326" s="562"/>
      <c r="N326" s="562"/>
      <c r="O326" s="562"/>
      <c r="P326" s="562"/>
      <c r="Q326" s="562"/>
      <c r="R326" s="562"/>
      <c r="S326" s="562"/>
    </row>
    <row r="327" spans="1:19" s="560" customFormat="1" ht="19.5" customHeight="1">
      <c r="A327" s="561"/>
      <c r="B327" s="562"/>
      <c r="C327" s="562"/>
      <c r="D327" s="562"/>
      <c r="E327" s="562"/>
      <c r="F327" s="562"/>
      <c r="G327" s="562"/>
      <c r="H327" s="562"/>
      <c r="I327" s="562"/>
      <c r="J327" s="562"/>
      <c r="K327" s="562"/>
      <c r="L327" s="562"/>
      <c r="M327" s="562"/>
      <c r="N327" s="562"/>
      <c r="O327" s="562"/>
      <c r="P327" s="562"/>
      <c r="Q327" s="562"/>
      <c r="R327" s="562"/>
      <c r="S327" s="562"/>
    </row>
    <row r="328" ht="19.5" customHeight="1"/>
    <row r="329" ht="9.75" customHeight="1"/>
    <row r="330" ht="19.5" customHeight="1"/>
    <row r="331" ht="19.5" customHeight="1"/>
    <row r="332" ht="19.5" customHeight="1"/>
    <row r="333" spans="1:19" s="560" customFormat="1" ht="19.5" customHeight="1">
      <c r="A333" s="561"/>
      <c r="B333" s="562"/>
      <c r="C333" s="562"/>
      <c r="D333" s="562"/>
      <c r="E333" s="562"/>
      <c r="F333" s="562"/>
      <c r="G333" s="562"/>
      <c r="H333" s="562"/>
      <c r="I333" s="562"/>
      <c r="J333" s="562"/>
      <c r="K333" s="562"/>
      <c r="L333" s="562"/>
      <c r="M333" s="562"/>
      <c r="N333" s="562"/>
      <c r="O333" s="562"/>
      <c r="P333" s="562"/>
      <c r="Q333" s="562"/>
      <c r="R333" s="562"/>
      <c r="S333" s="562"/>
    </row>
    <row r="334" spans="1:19" s="560" customFormat="1" ht="19.5" customHeight="1">
      <c r="A334" s="561"/>
      <c r="B334" s="562"/>
      <c r="C334" s="562"/>
      <c r="D334" s="562"/>
      <c r="E334" s="562"/>
      <c r="F334" s="562"/>
      <c r="G334" s="562"/>
      <c r="H334" s="562"/>
      <c r="I334" s="562"/>
      <c r="J334" s="562"/>
      <c r="K334" s="562"/>
      <c r="L334" s="562"/>
      <c r="M334" s="562"/>
      <c r="N334" s="562"/>
      <c r="O334" s="562"/>
      <c r="P334" s="562"/>
      <c r="Q334" s="562"/>
      <c r="R334" s="562"/>
      <c r="S334" s="562"/>
    </row>
    <row r="335" spans="1:19" s="560" customFormat="1" ht="19.5" customHeight="1">
      <c r="A335" s="561"/>
      <c r="B335" s="562"/>
      <c r="C335" s="562"/>
      <c r="D335" s="562"/>
      <c r="E335" s="562"/>
      <c r="F335" s="562"/>
      <c r="G335" s="562"/>
      <c r="H335" s="562"/>
      <c r="I335" s="562"/>
      <c r="J335" s="562"/>
      <c r="K335" s="562"/>
      <c r="L335" s="562"/>
      <c r="M335" s="562"/>
      <c r="N335" s="562"/>
      <c r="O335" s="562"/>
      <c r="P335" s="562"/>
      <c r="Q335" s="562"/>
      <c r="R335" s="562"/>
      <c r="S335" s="562"/>
    </row>
    <row r="336" spans="1:19" s="560" customFormat="1" ht="19.5" customHeight="1">
      <c r="A336" s="561"/>
      <c r="B336" s="562"/>
      <c r="C336" s="562"/>
      <c r="D336" s="562"/>
      <c r="E336" s="562"/>
      <c r="F336" s="562"/>
      <c r="G336" s="562"/>
      <c r="H336" s="562"/>
      <c r="I336" s="562"/>
      <c r="J336" s="562"/>
      <c r="K336" s="562"/>
      <c r="L336" s="562"/>
      <c r="M336" s="562"/>
      <c r="N336" s="562"/>
      <c r="O336" s="562"/>
      <c r="P336" s="562"/>
      <c r="Q336" s="562"/>
      <c r="R336" s="562"/>
      <c r="S336" s="562"/>
    </row>
    <row r="337" spans="1:19" s="560" customFormat="1" ht="19.5" customHeight="1">
      <c r="A337" s="561"/>
      <c r="B337" s="562"/>
      <c r="C337" s="562"/>
      <c r="D337" s="562"/>
      <c r="E337" s="562"/>
      <c r="F337" s="562"/>
      <c r="G337" s="562"/>
      <c r="H337" s="562"/>
      <c r="I337" s="562"/>
      <c r="J337" s="562"/>
      <c r="K337" s="562"/>
      <c r="L337" s="562"/>
      <c r="M337" s="562"/>
      <c r="N337" s="562"/>
      <c r="O337" s="562"/>
      <c r="P337" s="562"/>
      <c r="Q337" s="562"/>
      <c r="R337" s="562"/>
      <c r="S337" s="562"/>
    </row>
    <row r="338" spans="1:19" s="560" customFormat="1" ht="19.5" customHeight="1">
      <c r="A338" s="561"/>
      <c r="B338" s="562"/>
      <c r="C338" s="562"/>
      <c r="D338" s="562"/>
      <c r="E338" s="562"/>
      <c r="F338" s="562"/>
      <c r="G338" s="562"/>
      <c r="H338" s="562"/>
      <c r="I338" s="562"/>
      <c r="J338" s="562"/>
      <c r="K338" s="562"/>
      <c r="L338" s="562"/>
      <c r="M338" s="562"/>
      <c r="N338" s="562"/>
      <c r="O338" s="562"/>
      <c r="P338" s="562"/>
      <c r="Q338" s="562"/>
      <c r="R338" s="562"/>
      <c r="S338" s="562"/>
    </row>
    <row r="339" spans="1:19" s="560" customFormat="1" ht="19.5" customHeight="1">
      <c r="A339" s="561"/>
      <c r="B339" s="562"/>
      <c r="C339" s="562"/>
      <c r="D339" s="562"/>
      <c r="E339" s="562"/>
      <c r="F339" s="562"/>
      <c r="G339" s="562"/>
      <c r="H339" s="562"/>
      <c r="I339" s="562"/>
      <c r="J339" s="562"/>
      <c r="K339" s="562"/>
      <c r="L339" s="562"/>
      <c r="M339" s="562"/>
      <c r="N339" s="562"/>
      <c r="O339" s="562"/>
      <c r="P339" s="562"/>
      <c r="Q339" s="562"/>
      <c r="R339" s="562"/>
      <c r="S339" s="562"/>
    </row>
    <row r="340" spans="1:19" s="560" customFormat="1" ht="19.5" customHeight="1">
      <c r="A340" s="561"/>
      <c r="B340" s="562"/>
      <c r="C340" s="562"/>
      <c r="D340" s="562"/>
      <c r="E340" s="562"/>
      <c r="F340" s="562"/>
      <c r="G340" s="562"/>
      <c r="H340" s="562"/>
      <c r="I340" s="562"/>
      <c r="J340" s="562"/>
      <c r="K340" s="562"/>
      <c r="L340" s="562"/>
      <c r="M340" s="562"/>
      <c r="N340" s="562"/>
      <c r="O340" s="562"/>
      <c r="P340" s="562"/>
      <c r="Q340" s="562"/>
      <c r="R340" s="562"/>
      <c r="S340" s="562"/>
    </row>
    <row r="341" spans="1:19" s="560" customFormat="1" ht="19.5" customHeight="1">
      <c r="A341" s="561"/>
      <c r="B341" s="562"/>
      <c r="C341" s="562"/>
      <c r="D341" s="562"/>
      <c r="E341" s="562"/>
      <c r="F341" s="562"/>
      <c r="G341" s="562"/>
      <c r="H341" s="562"/>
      <c r="I341" s="562"/>
      <c r="J341" s="562"/>
      <c r="K341" s="562"/>
      <c r="L341" s="562"/>
      <c r="M341" s="562"/>
      <c r="N341" s="562"/>
      <c r="O341" s="562"/>
      <c r="P341" s="562"/>
      <c r="Q341" s="562"/>
      <c r="R341" s="562"/>
      <c r="S341" s="562"/>
    </row>
    <row r="342" spans="1:19" s="560" customFormat="1" ht="19.5" customHeight="1">
      <c r="A342" s="561"/>
      <c r="B342" s="562"/>
      <c r="C342" s="562"/>
      <c r="D342" s="562"/>
      <c r="E342" s="562"/>
      <c r="F342" s="562"/>
      <c r="G342" s="562"/>
      <c r="H342" s="562"/>
      <c r="I342" s="562"/>
      <c r="J342" s="562"/>
      <c r="K342" s="562"/>
      <c r="L342" s="562"/>
      <c r="M342" s="562"/>
      <c r="N342" s="562"/>
      <c r="O342" s="562"/>
      <c r="P342" s="562"/>
      <c r="Q342" s="562"/>
      <c r="R342" s="562"/>
      <c r="S342" s="562"/>
    </row>
    <row r="343" spans="1:19" s="560" customFormat="1" ht="19.5" customHeight="1">
      <c r="A343" s="561"/>
      <c r="B343" s="562"/>
      <c r="C343" s="562"/>
      <c r="D343" s="562"/>
      <c r="E343" s="562"/>
      <c r="F343" s="562"/>
      <c r="G343" s="562"/>
      <c r="H343" s="562"/>
      <c r="I343" s="562"/>
      <c r="J343" s="562"/>
      <c r="K343" s="562"/>
      <c r="L343" s="562"/>
      <c r="M343" s="562"/>
      <c r="N343" s="562"/>
      <c r="O343" s="562"/>
      <c r="P343" s="562"/>
      <c r="Q343" s="562"/>
      <c r="R343" s="562"/>
      <c r="S343" s="562"/>
    </row>
    <row r="344" spans="1:19" s="560" customFormat="1" ht="19.5" customHeight="1">
      <c r="A344" s="561"/>
      <c r="B344" s="562"/>
      <c r="C344" s="562"/>
      <c r="D344" s="562"/>
      <c r="E344" s="562"/>
      <c r="F344" s="562"/>
      <c r="G344" s="562"/>
      <c r="H344" s="562"/>
      <c r="I344" s="562"/>
      <c r="J344" s="562"/>
      <c r="K344" s="562"/>
      <c r="L344" s="562"/>
      <c r="M344" s="562"/>
      <c r="N344" s="562"/>
      <c r="O344" s="562"/>
      <c r="P344" s="562"/>
      <c r="Q344" s="562"/>
      <c r="R344" s="562"/>
      <c r="S344" s="562"/>
    </row>
    <row r="345" spans="1:19" s="560" customFormat="1" ht="19.5" customHeight="1">
      <c r="A345" s="561"/>
      <c r="B345" s="562"/>
      <c r="C345" s="562"/>
      <c r="D345" s="562"/>
      <c r="E345" s="562"/>
      <c r="F345" s="562"/>
      <c r="G345" s="562"/>
      <c r="H345" s="562"/>
      <c r="I345" s="562"/>
      <c r="J345" s="562"/>
      <c r="K345" s="562"/>
      <c r="L345" s="562"/>
      <c r="M345" s="562"/>
      <c r="N345" s="562"/>
      <c r="O345" s="562"/>
      <c r="P345" s="562"/>
      <c r="Q345" s="562"/>
      <c r="R345" s="562"/>
      <c r="S345" s="562"/>
    </row>
    <row r="346" spans="1:19" s="560" customFormat="1" ht="19.5" customHeight="1">
      <c r="A346" s="561"/>
      <c r="B346" s="562"/>
      <c r="C346" s="562"/>
      <c r="D346" s="562"/>
      <c r="E346" s="562"/>
      <c r="F346" s="562"/>
      <c r="G346" s="562"/>
      <c r="H346" s="562"/>
      <c r="I346" s="562"/>
      <c r="J346" s="562"/>
      <c r="K346" s="562"/>
      <c r="L346" s="562"/>
      <c r="M346" s="562"/>
      <c r="N346" s="562"/>
      <c r="O346" s="562"/>
      <c r="P346" s="562"/>
      <c r="Q346" s="562"/>
      <c r="R346" s="562"/>
      <c r="S346" s="562"/>
    </row>
    <row r="347" spans="1:19" s="560" customFormat="1" ht="19.5" customHeight="1">
      <c r="A347" s="561"/>
      <c r="B347" s="562"/>
      <c r="C347" s="562"/>
      <c r="D347" s="562"/>
      <c r="E347" s="562"/>
      <c r="F347" s="562"/>
      <c r="G347" s="562"/>
      <c r="H347" s="562"/>
      <c r="I347" s="562"/>
      <c r="J347" s="562"/>
      <c r="K347" s="562"/>
      <c r="L347" s="562"/>
      <c r="M347" s="562"/>
      <c r="N347" s="562"/>
      <c r="O347" s="562"/>
      <c r="P347" s="562"/>
      <c r="Q347" s="562"/>
      <c r="R347" s="562"/>
      <c r="S347" s="562"/>
    </row>
    <row r="348" spans="1:19" s="560" customFormat="1" ht="19.5" customHeight="1">
      <c r="A348" s="561"/>
      <c r="B348" s="562"/>
      <c r="C348" s="562"/>
      <c r="D348" s="562"/>
      <c r="E348" s="562"/>
      <c r="F348" s="562"/>
      <c r="G348" s="562"/>
      <c r="H348" s="562"/>
      <c r="I348" s="562"/>
      <c r="J348" s="562"/>
      <c r="K348" s="562"/>
      <c r="L348" s="562"/>
      <c r="M348" s="562"/>
      <c r="N348" s="562"/>
      <c r="O348" s="562"/>
      <c r="P348" s="562"/>
      <c r="Q348" s="562"/>
      <c r="R348" s="562"/>
      <c r="S348" s="562"/>
    </row>
    <row r="349" spans="1:19" s="560" customFormat="1" ht="19.5" customHeight="1">
      <c r="A349" s="561"/>
      <c r="B349" s="562"/>
      <c r="C349" s="562"/>
      <c r="D349" s="562"/>
      <c r="E349" s="562"/>
      <c r="F349" s="562"/>
      <c r="G349" s="562"/>
      <c r="H349" s="562"/>
      <c r="I349" s="562"/>
      <c r="J349" s="562"/>
      <c r="K349" s="562"/>
      <c r="L349" s="562"/>
      <c r="M349" s="562"/>
      <c r="N349" s="562"/>
      <c r="O349" s="562"/>
      <c r="P349" s="562"/>
      <c r="Q349" s="562"/>
      <c r="R349" s="562"/>
      <c r="S349" s="562"/>
    </row>
    <row r="350" spans="1:19" s="560" customFormat="1" ht="19.5" customHeight="1">
      <c r="A350" s="561"/>
      <c r="B350" s="562"/>
      <c r="C350" s="562"/>
      <c r="D350" s="562"/>
      <c r="E350" s="562"/>
      <c r="F350" s="562"/>
      <c r="G350" s="562"/>
      <c r="H350" s="562"/>
      <c r="I350" s="562"/>
      <c r="J350" s="562"/>
      <c r="K350" s="562"/>
      <c r="L350" s="562"/>
      <c r="M350" s="562"/>
      <c r="N350" s="562"/>
      <c r="O350" s="562"/>
      <c r="P350" s="562"/>
      <c r="Q350" s="562"/>
      <c r="R350" s="562"/>
      <c r="S350" s="562"/>
    </row>
    <row r="351" spans="1:19" s="560" customFormat="1" ht="19.5" customHeight="1">
      <c r="A351" s="561"/>
      <c r="B351" s="562"/>
      <c r="C351" s="562"/>
      <c r="D351" s="562"/>
      <c r="E351" s="562"/>
      <c r="F351" s="562"/>
      <c r="G351" s="562"/>
      <c r="H351" s="562"/>
      <c r="I351" s="562"/>
      <c r="J351" s="562"/>
      <c r="K351" s="562"/>
      <c r="L351" s="562"/>
      <c r="M351" s="562"/>
      <c r="N351" s="562"/>
      <c r="O351" s="562"/>
      <c r="P351" s="562"/>
      <c r="Q351" s="562"/>
      <c r="R351" s="562"/>
      <c r="S351" s="562"/>
    </row>
    <row r="352" spans="1:19" s="560" customFormat="1" ht="19.5" customHeight="1">
      <c r="A352" s="561"/>
      <c r="B352" s="562"/>
      <c r="C352" s="562"/>
      <c r="D352" s="562"/>
      <c r="E352" s="562"/>
      <c r="F352" s="562"/>
      <c r="G352" s="562"/>
      <c r="H352" s="562"/>
      <c r="I352" s="562"/>
      <c r="J352" s="562"/>
      <c r="K352" s="562"/>
      <c r="L352" s="562"/>
      <c r="M352" s="562"/>
      <c r="N352" s="562"/>
      <c r="O352" s="562"/>
      <c r="P352" s="562"/>
      <c r="Q352" s="562"/>
      <c r="R352" s="562"/>
      <c r="S352" s="562"/>
    </row>
    <row r="353" spans="1:19" s="560" customFormat="1" ht="19.5" customHeight="1">
      <c r="A353" s="561"/>
      <c r="B353" s="562"/>
      <c r="C353" s="562"/>
      <c r="D353" s="562"/>
      <c r="E353" s="562"/>
      <c r="F353" s="562"/>
      <c r="G353" s="562"/>
      <c r="H353" s="562"/>
      <c r="I353" s="562"/>
      <c r="J353" s="562"/>
      <c r="K353" s="562"/>
      <c r="L353" s="562"/>
      <c r="M353" s="562"/>
      <c r="N353" s="562"/>
      <c r="O353" s="562"/>
      <c r="P353" s="562"/>
      <c r="Q353" s="562"/>
      <c r="R353" s="562"/>
      <c r="S353" s="562"/>
    </row>
    <row r="354" spans="1:19" s="560" customFormat="1" ht="19.5" customHeight="1">
      <c r="A354" s="561"/>
      <c r="B354" s="562"/>
      <c r="C354" s="562"/>
      <c r="D354" s="562"/>
      <c r="E354" s="562"/>
      <c r="F354" s="562"/>
      <c r="G354" s="562"/>
      <c r="H354" s="562"/>
      <c r="I354" s="562"/>
      <c r="J354" s="562"/>
      <c r="K354" s="562"/>
      <c r="L354" s="562"/>
      <c r="M354" s="562"/>
      <c r="N354" s="562"/>
      <c r="O354" s="562"/>
      <c r="P354" s="562"/>
      <c r="Q354" s="562"/>
      <c r="R354" s="562"/>
      <c r="S354" s="562"/>
    </row>
    <row r="355" spans="1:19" s="560" customFormat="1" ht="19.5" customHeight="1">
      <c r="A355" s="561"/>
      <c r="B355" s="562"/>
      <c r="C355" s="562"/>
      <c r="D355" s="562"/>
      <c r="E355" s="562"/>
      <c r="F355" s="562"/>
      <c r="G355" s="562"/>
      <c r="H355" s="562"/>
      <c r="I355" s="562"/>
      <c r="J355" s="562"/>
      <c r="K355" s="562"/>
      <c r="L355" s="562"/>
      <c r="M355" s="562"/>
      <c r="N355" s="562"/>
      <c r="O355" s="562"/>
      <c r="P355" s="562"/>
      <c r="Q355" s="562"/>
      <c r="R355" s="562"/>
      <c r="S355" s="562"/>
    </row>
    <row r="356" spans="1:19" s="560" customFormat="1" ht="19.5" customHeight="1">
      <c r="A356" s="561"/>
      <c r="B356" s="562"/>
      <c r="C356" s="562"/>
      <c r="D356" s="562"/>
      <c r="E356" s="562"/>
      <c r="F356" s="562"/>
      <c r="G356" s="562"/>
      <c r="H356" s="562"/>
      <c r="I356" s="562"/>
      <c r="J356" s="562"/>
      <c r="K356" s="562"/>
      <c r="L356" s="562"/>
      <c r="M356" s="562"/>
      <c r="N356" s="562"/>
      <c r="O356" s="562"/>
      <c r="P356" s="562"/>
      <c r="Q356" s="562"/>
      <c r="R356" s="562"/>
      <c r="S356" s="562"/>
    </row>
    <row r="357" spans="1:19" s="560" customFormat="1" ht="19.5" customHeight="1">
      <c r="A357" s="561"/>
      <c r="B357" s="562"/>
      <c r="C357" s="562"/>
      <c r="D357" s="562"/>
      <c r="E357" s="562"/>
      <c r="F357" s="562"/>
      <c r="G357" s="562"/>
      <c r="H357" s="562"/>
      <c r="I357" s="562"/>
      <c r="J357" s="562"/>
      <c r="K357" s="562"/>
      <c r="L357" s="562"/>
      <c r="M357" s="562"/>
      <c r="N357" s="562"/>
      <c r="O357" s="562"/>
      <c r="P357" s="562"/>
      <c r="Q357" s="562"/>
      <c r="R357" s="562"/>
      <c r="S357" s="562"/>
    </row>
    <row r="358" spans="1:19" s="560" customFormat="1" ht="19.5" customHeight="1">
      <c r="A358" s="561"/>
      <c r="B358" s="562"/>
      <c r="C358" s="562"/>
      <c r="D358" s="562"/>
      <c r="E358" s="562"/>
      <c r="F358" s="562"/>
      <c r="G358" s="562"/>
      <c r="H358" s="562"/>
      <c r="I358" s="562"/>
      <c r="J358" s="562"/>
      <c r="K358" s="562"/>
      <c r="L358" s="562"/>
      <c r="M358" s="562"/>
      <c r="N358" s="562"/>
      <c r="O358" s="562"/>
      <c r="P358" s="562"/>
      <c r="Q358" s="562"/>
      <c r="R358" s="562"/>
      <c r="S358" s="562"/>
    </row>
    <row r="359" spans="1:19" s="560" customFormat="1" ht="19.5" customHeight="1">
      <c r="A359" s="561"/>
      <c r="B359" s="562"/>
      <c r="C359" s="562"/>
      <c r="D359" s="562"/>
      <c r="E359" s="562"/>
      <c r="F359" s="562"/>
      <c r="G359" s="562"/>
      <c r="H359" s="562"/>
      <c r="I359" s="562"/>
      <c r="J359" s="562"/>
      <c r="K359" s="562"/>
      <c r="L359" s="562"/>
      <c r="M359" s="562"/>
      <c r="N359" s="562"/>
      <c r="O359" s="562"/>
      <c r="P359" s="562"/>
      <c r="Q359" s="562"/>
      <c r="R359" s="562"/>
      <c r="S359" s="562"/>
    </row>
    <row r="360" spans="1:19" s="560" customFormat="1" ht="19.5" customHeight="1">
      <c r="A360" s="561"/>
      <c r="B360" s="562"/>
      <c r="C360" s="562"/>
      <c r="D360" s="562"/>
      <c r="E360" s="562"/>
      <c r="F360" s="562"/>
      <c r="G360" s="562"/>
      <c r="H360" s="562"/>
      <c r="I360" s="562"/>
      <c r="J360" s="562"/>
      <c r="K360" s="562"/>
      <c r="L360" s="562"/>
      <c r="M360" s="562"/>
      <c r="N360" s="562"/>
      <c r="O360" s="562"/>
      <c r="P360" s="562"/>
      <c r="Q360" s="562"/>
      <c r="R360" s="562"/>
      <c r="S360" s="562"/>
    </row>
    <row r="361" spans="1:19" s="560" customFormat="1" ht="19.5" customHeight="1">
      <c r="A361" s="561"/>
      <c r="B361" s="562"/>
      <c r="C361" s="562"/>
      <c r="D361" s="562"/>
      <c r="E361" s="562"/>
      <c r="F361" s="562"/>
      <c r="G361" s="562"/>
      <c r="H361" s="562"/>
      <c r="I361" s="562"/>
      <c r="J361" s="562"/>
      <c r="K361" s="562"/>
      <c r="L361" s="562"/>
      <c r="M361" s="562"/>
      <c r="N361" s="562"/>
      <c r="O361" s="562"/>
      <c r="P361" s="562"/>
      <c r="Q361" s="562"/>
      <c r="R361" s="562"/>
      <c r="S361" s="562"/>
    </row>
    <row r="362" spans="1:19" s="560" customFormat="1" ht="19.5" customHeight="1">
      <c r="A362" s="561"/>
      <c r="B362" s="562"/>
      <c r="C362" s="562"/>
      <c r="D362" s="562"/>
      <c r="E362" s="562"/>
      <c r="F362" s="562"/>
      <c r="G362" s="562"/>
      <c r="H362" s="562"/>
      <c r="I362" s="562"/>
      <c r="J362" s="562"/>
      <c r="K362" s="562"/>
      <c r="L362" s="562"/>
      <c r="M362" s="562"/>
      <c r="N362" s="562"/>
      <c r="O362" s="562"/>
      <c r="P362" s="562"/>
      <c r="Q362" s="562"/>
      <c r="R362" s="562"/>
      <c r="S362" s="562"/>
    </row>
    <row r="363" spans="1:19" s="560" customFormat="1" ht="19.5" customHeight="1">
      <c r="A363" s="561"/>
      <c r="B363" s="562"/>
      <c r="C363" s="562"/>
      <c r="D363" s="562"/>
      <c r="E363" s="562"/>
      <c r="F363" s="562"/>
      <c r="G363" s="562"/>
      <c r="H363" s="562"/>
      <c r="I363" s="562"/>
      <c r="J363" s="562"/>
      <c r="K363" s="562"/>
      <c r="L363" s="562"/>
      <c r="M363" s="562"/>
      <c r="N363" s="562"/>
      <c r="O363" s="562"/>
      <c r="P363" s="562"/>
      <c r="Q363" s="562"/>
      <c r="R363" s="562"/>
      <c r="S363" s="562"/>
    </row>
    <row r="364" spans="1:19" s="560" customFormat="1" ht="19.5" customHeight="1">
      <c r="A364" s="561"/>
      <c r="B364" s="562"/>
      <c r="C364" s="562"/>
      <c r="D364" s="562"/>
      <c r="E364" s="562"/>
      <c r="F364" s="562"/>
      <c r="G364" s="562"/>
      <c r="H364" s="562"/>
      <c r="I364" s="562"/>
      <c r="J364" s="562"/>
      <c r="K364" s="562"/>
      <c r="L364" s="562"/>
      <c r="M364" s="562"/>
      <c r="N364" s="562"/>
      <c r="O364" s="562"/>
      <c r="P364" s="562"/>
      <c r="Q364" s="562"/>
      <c r="R364" s="562"/>
      <c r="S364" s="562"/>
    </row>
    <row r="365" spans="1:19" s="560" customFormat="1" ht="19.5" customHeight="1">
      <c r="A365" s="561"/>
      <c r="B365" s="562"/>
      <c r="C365" s="562"/>
      <c r="D365" s="562"/>
      <c r="E365" s="562"/>
      <c r="F365" s="562"/>
      <c r="G365" s="562"/>
      <c r="H365" s="562"/>
      <c r="I365" s="562"/>
      <c r="J365" s="562"/>
      <c r="K365" s="562"/>
      <c r="L365" s="562"/>
      <c r="M365" s="562"/>
      <c r="N365" s="562"/>
      <c r="O365" s="562"/>
      <c r="P365" s="562"/>
      <c r="Q365" s="562"/>
      <c r="R365" s="562"/>
      <c r="S365" s="562"/>
    </row>
    <row r="366" spans="1:19" s="560" customFormat="1" ht="19.5" customHeight="1">
      <c r="A366" s="561"/>
      <c r="B366" s="562"/>
      <c r="C366" s="562"/>
      <c r="D366" s="562"/>
      <c r="E366" s="562"/>
      <c r="F366" s="562"/>
      <c r="G366" s="562"/>
      <c r="H366" s="562"/>
      <c r="I366" s="562"/>
      <c r="J366" s="562"/>
      <c r="K366" s="562"/>
      <c r="L366" s="562"/>
      <c r="M366" s="562"/>
      <c r="N366" s="562"/>
      <c r="O366" s="562"/>
      <c r="P366" s="562"/>
      <c r="Q366" s="562"/>
      <c r="R366" s="562"/>
      <c r="S366" s="562"/>
    </row>
    <row r="367" spans="1:19" s="560" customFormat="1" ht="19.5" customHeight="1">
      <c r="A367" s="561"/>
      <c r="B367" s="562"/>
      <c r="C367" s="562"/>
      <c r="D367" s="562"/>
      <c r="E367" s="562"/>
      <c r="F367" s="562"/>
      <c r="G367" s="562"/>
      <c r="H367" s="562"/>
      <c r="I367" s="562"/>
      <c r="J367" s="562"/>
      <c r="K367" s="562"/>
      <c r="L367" s="562"/>
      <c r="M367" s="562"/>
      <c r="N367" s="562"/>
      <c r="O367" s="562"/>
      <c r="P367" s="562"/>
      <c r="Q367" s="562"/>
      <c r="R367" s="562"/>
      <c r="S367" s="562"/>
    </row>
    <row r="368" spans="1:19" s="560" customFormat="1" ht="19.5" customHeight="1">
      <c r="A368" s="561"/>
      <c r="B368" s="562"/>
      <c r="C368" s="562"/>
      <c r="D368" s="562"/>
      <c r="E368" s="562"/>
      <c r="F368" s="562"/>
      <c r="G368" s="562"/>
      <c r="H368" s="562"/>
      <c r="I368" s="562"/>
      <c r="J368" s="562"/>
      <c r="K368" s="562"/>
      <c r="L368" s="562"/>
      <c r="M368" s="562"/>
      <c r="N368" s="562"/>
      <c r="O368" s="562"/>
      <c r="P368" s="562"/>
      <c r="Q368" s="562"/>
      <c r="R368" s="562"/>
      <c r="S368" s="562"/>
    </row>
    <row r="369" spans="1:19" s="560" customFormat="1" ht="19.5" customHeight="1">
      <c r="A369" s="561"/>
      <c r="B369" s="562"/>
      <c r="C369" s="562"/>
      <c r="D369" s="562"/>
      <c r="E369" s="562"/>
      <c r="F369" s="562"/>
      <c r="G369" s="562"/>
      <c r="H369" s="562"/>
      <c r="I369" s="562"/>
      <c r="J369" s="562"/>
      <c r="K369" s="562"/>
      <c r="L369" s="562"/>
      <c r="M369" s="562"/>
      <c r="N369" s="562"/>
      <c r="O369" s="562"/>
      <c r="P369" s="562"/>
      <c r="Q369" s="562"/>
      <c r="R369" s="562"/>
      <c r="S369" s="562"/>
    </row>
    <row r="370" ht="19.5" customHeight="1"/>
    <row r="371" ht="9.75" customHeight="1"/>
    <row r="372" ht="19.5" customHeight="1"/>
    <row r="373" ht="19.5" customHeight="1"/>
    <row r="374" ht="19.5" customHeight="1"/>
    <row r="375" spans="1:19" s="560" customFormat="1" ht="19.5" customHeight="1">
      <c r="A375" s="561"/>
      <c r="B375" s="562"/>
      <c r="C375" s="562"/>
      <c r="D375" s="562"/>
      <c r="E375" s="562"/>
      <c r="F375" s="562"/>
      <c r="G375" s="562"/>
      <c r="H375" s="562"/>
      <c r="I375" s="562"/>
      <c r="J375" s="562"/>
      <c r="K375" s="562"/>
      <c r="L375" s="562"/>
      <c r="M375" s="562"/>
      <c r="N375" s="562"/>
      <c r="O375" s="562"/>
      <c r="P375" s="562"/>
      <c r="Q375" s="562"/>
      <c r="R375" s="562"/>
      <c r="S375" s="562"/>
    </row>
    <row r="376" spans="1:19" s="560" customFormat="1" ht="19.5" customHeight="1">
      <c r="A376" s="561"/>
      <c r="B376" s="562"/>
      <c r="C376" s="562"/>
      <c r="D376" s="562"/>
      <c r="E376" s="562"/>
      <c r="F376" s="562"/>
      <c r="G376" s="562"/>
      <c r="H376" s="562"/>
      <c r="I376" s="562"/>
      <c r="J376" s="562"/>
      <c r="K376" s="562"/>
      <c r="L376" s="562"/>
      <c r="M376" s="562"/>
      <c r="N376" s="562"/>
      <c r="O376" s="562"/>
      <c r="P376" s="562"/>
      <c r="Q376" s="562"/>
      <c r="R376" s="562"/>
      <c r="S376" s="562"/>
    </row>
    <row r="377" spans="1:19" s="560" customFormat="1" ht="19.5" customHeight="1">
      <c r="A377" s="561"/>
      <c r="B377" s="562"/>
      <c r="C377" s="562"/>
      <c r="D377" s="562"/>
      <c r="E377" s="562"/>
      <c r="F377" s="562"/>
      <c r="G377" s="562"/>
      <c r="H377" s="562"/>
      <c r="I377" s="562"/>
      <c r="J377" s="562"/>
      <c r="K377" s="562"/>
      <c r="L377" s="562"/>
      <c r="M377" s="562"/>
      <c r="N377" s="562"/>
      <c r="O377" s="562"/>
      <c r="P377" s="562"/>
      <c r="Q377" s="562"/>
      <c r="R377" s="562"/>
      <c r="S377" s="562"/>
    </row>
    <row r="378" spans="1:19" s="560" customFormat="1" ht="19.5" customHeight="1">
      <c r="A378" s="561"/>
      <c r="B378" s="562"/>
      <c r="C378" s="562"/>
      <c r="D378" s="562"/>
      <c r="E378" s="562"/>
      <c r="F378" s="562"/>
      <c r="G378" s="562"/>
      <c r="H378" s="562"/>
      <c r="I378" s="562"/>
      <c r="J378" s="562"/>
      <c r="K378" s="562"/>
      <c r="L378" s="562"/>
      <c r="M378" s="562"/>
      <c r="N378" s="562"/>
      <c r="O378" s="562"/>
      <c r="P378" s="562"/>
      <c r="Q378" s="562"/>
      <c r="R378" s="562"/>
      <c r="S378" s="562"/>
    </row>
    <row r="379" spans="1:19" s="560" customFormat="1" ht="19.5" customHeight="1">
      <c r="A379" s="561"/>
      <c r="B379" s="562"/>
      <c r="C379" s="562"/>
      <c r="D379" s="562"/>
      <c r="E379" s="562"/>
      <c r="F379" s="562"/>
      <c r="G379" s="562"/>
      <c r="H379" s="562"/>
      <c r="I379" s="562"/>
      <c r="J379" s="562"/>
      <c r="K379" s="562"/>
      <c r="L379" s="562"/>
      <c r="M379" s="562"/>
      <c r="N379" s="562"/>
      <c r="O379" s="562"/>
      <c r="P379" s="562"/>
      <c r="Q379" s="562"/>
      <c r="R379" s="562"/>
      <c r="S379" s="562"/>
    </row>
    <row r="380" spans="1:19" s="560" customFormat="1" ht="19.5" customHeight="1">
      <c r="A380" s="561"/>
      <c r="B380" s="562"/>
      <c r="C380" s="562"/>
      <c r="D380" s="562"/>
      <c r="E380" s="562"/>
      <c r="F380" s="562"/>
      <c r="G380" s="562"/>
      <c r="H380" s="562"/>
      <c r="I380" s="562"/>
      <c r="J380" s="562"/>
      <c r="K380" s="562"/>
      <c r="L380" s="562"/>
      <c r="M380" s="562"/>
      <c r="N380" s="562"/>
      <c r="O380" s="562"/>
      <c r="P380" s="562"/>
      <c r="Q380" s="562"/>
      <c r="R380" s="562"/>
      <c r="S380" s="562"/>
    </row>
    <row r="381" spans="1:19" s="560" customFormat="1" ht="19.5" customHeight="1">
      <c r="A381" s="561"/>
      <c r="B381" s="562"/>
      <c r="C381" s="562"/>
      <c r="D381" s="562"/>
      <c r="E381" s="562"/>
      <c r="F381" s="562"/>
      <c r="G381" s="562"/>
      <c r="H381" s="562"/>
      <c r="I381" s="562"/>
      <c r="J381" s="562"/>
      <c r="K381" s="562"/>
      <c r="L381" s="562"/>
      <c r="M381" s="562"/>
      <c r="N381" s="562"/>
      <c r="O381" s="562"/>
      <c r="P381" s="562"/>
      <c r="Q381" s="562"/>
      <c r="R381" s="562"/>
      <c r="S381" s="562"/>
    </row>
    <row r="382" spans="1:19" s="560" customFormat="1" ht="19.5" customHeight="1">
      <c r="A382" s="561"/>
      <c r="B382" s="562"/>
      <c r="C382" s="562"/>
      <c r="D382" s="562"/>
      <c r="E382" s="562"/>
      <c r="F382" s="562"/>
      <c r="G382" s="562"/>
      <c r="H382" s="562"/>
      <c r="I382" s="562"/>
      <c r="J382" s="562"/>
      <c r="K382" s="562"/>
      <c r="L382" s="562"/>
      <c r="M382" s="562"/>
      <c r="N382" s="562"/>
      <c r="O382" s="562"/>
      <c r="P382" s="562"/>
      <c r="Q382" s="562"/>
      <c r="R382" s="562"/>
      <c r="S382" s="562"/>
    </row>
    <row r="383" spans="1:19" s="560" customFormat="1" ht="19.5" customHeight="1">
      <c r="A383" s="561"/>
      <c r="B383" s="562"/>
      <c r="C383" s="562"/>
      <c r="D383" s="562"/>
      <c r="E383" s="562"/>
      <c r="F383" s="562"/>
      <c r="G383" s="562"/>
      <c r="H383" s="562"/>
      <c r="I383" s="562"/>
      <c r="J383" s="562"/>
      <c r="K383" s="562"/>
      <c r="L383" s="562"/>
      <c r="M383" s="562"/>
      <c r="N383" s="562"/>
      <c r="O383" s="562"/>
      <c r="P383" s="562"/>
      <c r="Q383" s="562"/>
      <c r="R383" s="562"/>
      <c r="S383" s="562"/>
    </row>
    <row r="384" spans="1:19" s="560" customFormat="1" ht="19.5" customHeight="1">
      <c r="A384" s="561"/>
      <c r="B384" s="562"/>
      <c r="C384" s="562"/>
      <c r="D384" s="562"/>
      <c r="E384" s="562"/>
      <c r="F384" s="562"/>
      <c r="G384" s="562"/>
      <c r="H384" s="562"/>
      <c r="I384" s="562"/>
      <c r="J384" s="562"/>
      <c r="K384" s="562"/>
      <c r="L384" s="562"/>
      <c r="M384" s="562"/>
      <c r="N384" s="562"/>
      <c r="O384" s="562"/>
      <c r="P384" s="562"/>
      <c r="Q384" s="562"/>
      <c r="R384" s="562"/>
      <c r="S384" s="562"/>
    </row>
    <row r="385" spans="1:19" s="560" customFormat="1" ht="19.5" customHeight="1">
      <c r="A385" s="561"/>
      <c r="B385" s="562"/>
      <c r="C385" s="562"/>
      <c r="D385" s="562"/>
      <c r="E385" s="562"/>
      <c r="F385" s="562"/>
      <c r="G385" s="562"/>
      <c r="H385" s="562"/>
      <c r="I385" s="562"/>
      <c r="J385" s="562"/>
      <c r="K385" s="562"/>
      <c r="L385" s="562"/>
      <c r="M385" s="562"/>
      <c r="N385" s="562"/>
      <c r="O385" s="562"/>
      <c r="P385" s="562"/>
      <c r="Q385" s="562"/>
      <c r="R385" s="562"/>
      <c r="S385" s="562"/>
    </row>
    <row r="386" spans="1:19" s="560" customFormat="1" ht="19.5" customHeight="1">
      <c r="A386" s="561"/>
      <c r="B386" s="562"/>
      <c r="C386" s="562"/>
      <c r="D386" s="562"/>
      <c r="E386" s="562"/>
      <c r="F386" s="562"/>
      <c r="G386" s="562"/>
      <c r="H386" s="562"/>
      <c r="I386" s="562"/>
      <c r="J386" s="562"/>
      <c r="K386" s="562"/>
      <c r="L386" s="562"/>
      <c r="M386" s="562"/>
      <c r="N386" s="562"/>
      <c r="O386" s="562"/>
      <c r="P386" s="562"/>
      <c r="Q386" s="562"/>
      <c r="R386" s="562"/>
      <c r="S386" s="562"/>
    </row>
    <row r="387" spans="1:19" s="560" customFormat="1" ht="19.5" customHeight="1">
      <c r="A387" s="561"/>
      <c r="B387" s="562"/>
      <c r="C387" s="562"/>
      <c r="D387" s="562"/>
      <c r="E387" s="562"/>
      <c r="F387" s="562"/>
      <c r="G387" s="562"/>
      <c r="H387" s="562"/>
      <c r="I387" s="562"/>
      <c r="J387" s="562"/>
      <c r="K387" s="562"/>
      <c r="L387" s="562"/>
      <c r="M387" s="562"/>
      <c r="N387" s="562"/>
      <c r="O387" s="562"/>
      <c r="P387" s="562"/>
      <c r="Q387" s="562"/>
      <c r="R387" s="562"/>
      <c r="S387" s="562"/>
    </row>
    <row r="388" spans="1:19" s="560" customFormat="1" ht="19.5" customHeight="1">
      <c r="A388" s="561"/>
      <c r="B388" s="562"/>
      <c r="C388" s="562"/>
      <c r="D388" s="562"/>
      <c r="E388" s="562"/>
      <c r="F388" s="562"/>
      <c r="G388" s="562"/>
      <c r="H388" s="562"/>
      <c r="I388" s="562"/>
      <c r="J388" s="562"/>
      <c r="K388" s="562"/>
      <c r="L388" s="562"/>
      <c r="M388" s="562"/>
      <c r="N388" s="562"/>
      <c r="O388" s="562"/>
      <c r="P388" s="562"/>
      <c r="Q388" s="562"/>
      <c r="R388" s="562"/>
      <c r="S388" s="562"/>
    </row>
    <row r="389" spans="1:19" s="560" customFormat="1" ht="19.5" customHeight="1">
      <c r="A389" s="561"/>
      <c r="B389" s="562"/>
      <c r="C389" s="562"/>
      <c r="D389" s="562"/>
      <c r="E389" s="562"/>
      <c r="F389" s="562"/>
      <c r="G389" s="562"/>
      <c r="H389" s="562"/>
      <c r="I389" s="562"/>
      <c r="J389" s="562"/>
      <c r="K389" s="562"/>
      <c r="L389" s="562"/>
      <c r="M389" s="562"/>
      <c r="N389" s="562"/>
      <c r="O389" s="562"/>
      <c r="P389" s="562"/>
      <c r="Q389" s="562"/>
      <c r="R389" s="562"/>
      <c r="S389" s="562"/>
    </row>
    <row r="390" spans="1:19" s="560" customFormat="1" ht="19.5" customHeight="1">
      <c r="A390" s="561"/>
      <c r="B390" s="562"/>
      <c r="C390" s="562"/>
      <c r="D390" s="562"/>
      <c r="E390" s="562"/>
      <c r="F390" s="562"/>
      <c r="G390" s="562"/>
      <c r="H390" s="562"/>
      <c r="I390" s="562"/>
      <c r="J390" s="562"/>
      <c r="K390" s="562"/>
      <c r="L390" s="562"/>
      <c r="M390" s="562"/>
      <c r="N390" s="562"/>
      <c r="O390" s="562"/>
      <c r="P390" s="562"/>
      <c r="Q390" s="562"/>
      <c r="R390" s="562"/>
      <c r="S390" s="562"/>
    </row>
    <row r="391" spans="1:19" s="560" customFormat="1" ht="19.5" customHeight="1">
      <c r="A391" s="561"/>
      <c r="B391" s="562"/>
      <c r="C391" s="562"/>
      <c r="D391" s="562"/>
      <c r="E391" s="562"/>
      <c r="F391" s="562"/>
      <c r="G391" s="562"/>
      <c r="H391" s="562"/>
      <c r="I391" s="562"/>
      <c r="J391" s="562"/>
      <c r="K391" s="562"/>
      <c r="L391" s="562"/>
      <c r="M391" s="562"/>
      <c r="N391" s="562"/>
      <c r="O391" s="562"/>
      <c r="P391" s="562"/>
      <c r="Q391" s="562"/>
      <c r="R391" s="562"/>
      <c r="S391" s="562"/>
    </row>
    <row r="392" spans="1:19" s="560" customFormat="1" ht="19.5" customHeight="1">
      <c r="A392" s="561"/>
      <c r="B392" s="562"/>
      <c r="C392" s="562"/>
      <c r="D392" s="562"/>
      <c r="E392" s="562"/>
      <c r="F392" s="562"/>
      <c r="G392" s="562"/>
      <c r="H392" s="562"/>
      <c r="I392" s="562"/>
      <c r="J392" s="562"/>
      <c r="K392" s="562"/>
      <c r="L392" s="562"/>
      <c r="M392" s="562"/>
      <c r="N392" s="562"/>
      <c r="O392" s="562"/>
      <c r="P392" s="562"/>
      <c r="Q392" s="562"/>
      <c r="R392" s="562"/>
      <c r="S392" s="562"/>
    </row>
    <row r="393" spans="1:19" s="560" customFormat="1" ht="19.5" customHeight="1">
      <c r="A393" s="561"/>
      <c r="B393" s="562"/>
      <c r="C393" s="562"/>
      <c r="D393" s="562"/>
      <c r="E393" s="562"/>
      <c r="F393" s="562"/>
      <c r="G393" s="562"/>
      <c r="H393" s="562"/>
      <c r="I393" s="562"/>
      <c r="J393" s="562"/>
      <c r="K393" s="562"/>
      <c r="L393" s="562"/>
      <c r="M393" s="562"/>
      <c r="N393" s="562"/>
      <c r="O393" s="562"/>
      <c r="P393" s="562"/>
      <c r="Q393" s="562"/>
      <c r="R393" s="562"/>
      <c r="S393" s="562"/>
    </row>
    <row r="394" spans="1:19" s="560" customFormat="1" ht="19.5" customHeight="1">
      <c r="A394" s="561"/>
      <c r="B394" s="562"/>
      <c r="C394" s="562"/>
      <c r="D394" s="562"/>
      <c r="E394" s="562"/>
      <c r="F394" s="562"/>
      <c r="G394" s="562"/>
      <c r="H394" s="562"/>
      <c r="I394" s="562"/>
      <c r="J394" s="562"/>
      <c r="K394" s="562"/>
      <c r="L394" s="562"/>
      <c r="M394" s="562"/>
      <c r="N394" s="562"/>
      <c r="O394" s="562"/>
      <c r="P394" s="562"/>
      <c r="Q394" s="562"/>
      <c r="R394" s="562"/>
      <c r="S394" s="562"/>
    </row>
    <row r="395" spans="1:19" s="560" customFormat="1" ht="19.5" customHeight="1">
      <c r="A395" s="561"/>
      <c r="B395" s="562"/>
      <c r="C395" s="562"/>
      <c r="D395" s="562"/>
      <c r="E395" s="562"/>
      <c r="F395" s="562"/>
      <c r="G395" s="562"/>
      <c r="H395" s="562"/>
      <c r="I395" s="562"/>
      <c r="J395" s="562"/>
      <c r="K395" s="562"/>
      <c r="L395" s="562"/>
      <c r="M395" s="562"/>
      <c r="N395" s="562"/>
      <c r="O395" s="562"/>
      <c r="P395" s="562"/>
      <c r="Q395" s="562"/>
      <c r="R395" s="562"/>
      <c r="S395" s="562"/>
    </row>
    <row r="396" spans="1:19" s="560" customFormat="1" ht="19.5" customHeight="1">
      <c r="A396" s="561"/>
      <c r="B396" s="562"/>
      <c r="C396" s="562"/>
      <c r="D396" s="562"/>
      <c r="E396" s="562"/>
      <c r="F396" s="562"/>
      <c r="G396" s="562"/>
      <c r="H396" s="562"/>
      <c r="I396" s="562"/>
      <c r="J396" s="562"/>
      <c r="K396" s="562"/>
      <c r="L396" s="562"/>
      <c r="M396" s="562"/>
      <c r="N396" s="562"/>
      <c r="O396" s="562"/>
      <c r="P396" s="562"/>
      <c r="Q396" s="562"/>
      <c r="R396" s="562"/>
      <c r="S396" s="562"/>
    </row>
    <row r="397" spans="1:19" s="560" customFormat="1" ht="19.5" customHeight="1">
      <c r="A397" s="561"/>
      <c r="B397" s="562"/>
      <c r="C397" s="562"/>
      <c r="D397" s="562"/>
      <c r="E397" s="562"/>
      <c r="F397" s="562"/>
      <c r="G397" s="562"/>
      <c r="H397" s="562"/>
      <c r="I397" s="562"/>
      <c r="J397" s="562"/>
      <c r="K397" s="562"/>
      <c r="L397" s="562"/>
      <c r="M397" s="562"/>
      <c r="N397" s="562"/>
      <c r="O397" s="562"/>
      <c r="P397" s="562"/>
      <c r="Q397" s="562"/>
      <c r="R397" s="562"/>
      <c r="S397" s="562"/>
    </row>
    <row r="398" spans="1:19" s="560" customFormat="1" ht="19.5" customHeight="1">
      <c r="A398" s="561"/>
      <c r="B398" s="562"/>
      <c r="C398" s="562"/>
      <c r="D398" s="562"/>
      <c r="E398" s="562"/>
      <c r="F398" s="562"/>
      <c r="G398" s="562"/>
      <c r="H398" s="562"/>
      <c r="I398" s="562"/>
      <c r="J398" s="562"/>
      <c r="K398" s="562"/>
      <c r="L398" s="562"/>
      <c r="M398" s="562"/>
      <c r="N398" s="562"/>
      <c r="O398" s="562"/>
      <c r="P398" s="562"/>
      <c r="Q398" s="562"/>
      <c r="R398" s="562"/>
      <c r="S398" s="562"/>
    </row>
    <row r="399" spans="1:19" s="560" customFormat="1" ht="19.5" customHeight="1">
      <c r="A399" s="561"/>
      <c r="B399" s="562"/>
      <c r="C399" s="562"/>
      <c r="D399" s="562"/>
      <c r="E399" s="562"/>
      <c r="F399" s="562"/>
      <c r="G399" s="562"/>
      <c r="H399" s="562"/>
      <c r="I399" s="562"/>
      <c r="J399" s="562"/>
      <c r="K399" s="562"/>
      <c r="L399" s="562"/>
      <c r="M399" s="562"/>
      <c r="N399" s="562"/>
      <c r="O399" s="562"/>
      <c r="P399" s="562"/>
      <c r="Q399" s="562"/>
      <c r="R399" s="562"/>
      <c r="S399" s="562"/>
    </row>
    <row r="400" spans="1:19" s="560" customFormat="1" ht="19.5" customHeight="1">
      <c r="A400" s="561"/>
      <c r="B400" s="562"/>
      <c r="C400" s="562"/>
      <c r="D400" s="562"/>
      <c r="E400" s="562"/>
      <c r="F400" s="562"/>
      <c r="G400" s="562"/>
      <c r="H400" s="562"/>
      <c r="I400" s="562"/>
      <c r="J400" s="562"/>
      <c r="K400" s="562"/>
      <c r="L400" s="562"/>
      <c r="M400" s="562"/>
      <c r="N400" s="562"/>
      <c r="O400" s="562"/>
      <c r="P400" s="562"/>
      <c r="Q400" s="562"/>
      <c r="R400" s="562"/>
      <c r="S400" s="562"/>
    </row>
    <row r="401" spans="1:19" s="560" customFormat="1" ht="19.5" customHeight="1">
      <c r="A401" s="561"/>
      <c r="B401" s="562"/>
      <c r="C401" s="562"/>
      <c r="D401" s="562"/>
      <c r="E401" s="562"/>
      <c r="F401" s="562"/>
      <c r="G401" s="562"/>
      <c r="H401" s="562"/>
      <c r="I401" s="562"/>
      <c r="J401" s="562"/>
      <c r="K401" s="562"/>
      <c r="L401" s="562"/>
      <c r="M401" s="562"/>
      <c r="N401" s="562"/>
      <c r="O401" s="562"/>
      <c r="P401" s="562"/>
      <c r="Q401" s="562"/>
      <c r="R401" s="562"/>
      <c r="S401" s="562"/>
    </row>
    <row r="402" spans="1:19" s="560" customFormat="1" ht="19.5" customHeight="1">
      <c r="A402" s="561"/>
      <c r="B402" s="562"/>
      <c r="C402" s="562"/>
      <c r="D402" s="562"/>
      <c r="E402" s="562"/>
      <c r="F402" s="562"/>
      <c r="G402" s="562"/>
      <c r="H402" s="562"/>
      <c r="I402" s="562"/>
      <c r="J402" s="562"/>
      <c r="K402" s="562"/>
      <c r="L402" s="562"/>
      <c r="M402" s="562"/>
      <c r="N402" s="562"/>
      <c r="O402" s="562"/>
      <c r="P402" s="562"/>
      <c r="Q402" s="562"/>
      <c r="R402" s="562"/>
      <c r="S402" s="562"/>
    </row>
    <row r="403" spans="1:19" s="560" customFormat="1" ht="19.5" customHeight="1">
      <c r="A403" s="561"/>
      <c r="B403" s="562"/>
      <c r="C403" s="562"/>
      <c r="D403" s="562"/>
      <c r="E403" s="562"/>
      <c r="F403" s="562"/>
      <c r="G403" s="562"/>
      <c r="H403" s="562"/>
      <c r="I403" s="562"/>
      <c r="J403" s="562"/>
      <c r="K403" s="562"/>
      <c r="L403" s="562"/>
      <c r="M403" s="562"/>
      <c r="N403" s="562"/>
      <c r="O403" s="562"/>
      <c r="P403" s="562"/>
      <c r="Q403" s="562"/>
      <c r="R403" s="562"/>
      <c r="S403" s="562"/>
    </row>
    <row r="404" spans="1:19" s="560" customFormat="1" ht="19.5" customHeight="1">
      <c r="A404" s="561"/>
      <c r="B404" s="562"/>
      <c r="C404" s="562"/>
      <c r="D404" s="562"/>
      <c r="E404" s="562"/>
      <c r="F404" s="562"/>
      <c r="G404" s="562"/>
      <c r="H404" s="562"/>
      <c r="I404" s="562"/>
      <c r="J404" s="562"/>
      <c r="K404" s="562"/>
      <c r="L404" s="562"/>
      <c r="M404" s="562"/>
      <c r="N404" s="562"/>
      <c r="O404" s="562"/>
      <c r="P404" s="562"/>
      <c r="Q404" s="562"/>
      <c r="R404" s="562"/>
      <c r="S404" s="562"/>
    </row>
    <row r="405" spans="1:19" s="560" customFormat="1" ht="19.5" customHeight="1">
      <c r="A405" s="561"/>
      <c r="B405" s="562"/>
      <c r="C405" s="562"/>
      <c r="D405" s="562"/>
      <c r="E405" s="562"/>
      <c r="F405" s="562"/>
      <c r="G405" s="562"/>
      <c r="H405" s="562"/>
      <c r="I405" s="562"/>
      <c r="J405" s="562"/>
      <c r="K405" s="562"/>
      <c r="L405" s="562"/>
      <c r="M405" s="562"/>
      <c r="N405" s="562"/>
      <c r="O405" s="562"/>
      <c r="P405" s="562"/>
      <c r="Q405" s="562"/>
      <c r="R405" s="562"/>
      <c r="S405" s="562"/>
    </row>
    <row r="406" spans="1:19" s="560" customFormat="1" ht="19.5" customHeight="1">
      <c r="A406" s="561"/>
      <c r="B406" s="562"/>
      <c r="C406" s="562"/>
      <c r="D406" s="562"/>
      <c r="E406" s="562"/>
      <c r="F406" s="562"/>
      <c r="G406" s="562"/>
      <c r="H406" s="562"/>
      <c r="I406" s="562"/>
      <c r="J406" s="562"/>
      <c r="K406" s="562"/>
      <c r="L406" s="562"/>
      <c r="M406" s="562"/>
      <c r="N406" s="562"/>
      <c r="O406" s="562"/>
      <c r="P406" s="562"/>
      <c r="Q406" s="562"/>
      <c r="R406" s="562"/>
      <c r="S406" s="562"/>
    </row>
    <row r="407" spans="1:19" s="560" customFormat="1" ht="19.5" customHeight="1">
      <c r="A407" s="561"/>
      <c r="B407" s="562"/>
      <c r="C407" s="562"/>
      <c r="D407" s="562"/>
      <c r="E407" s="562"/>
      <c r="F407" s="562"/>
      <c r="G407" s="562"/>
      <c r="H407" s="562"/>
      <c r="I407" s="562"/>
      <c r="J407" s="562"/>
      <c r="K407" s="562"/>
      <c r="L407" s="562"/>
      <c r="M407" s="562"/>
      <c r="N407" s="562"/>
      <c r="O407" s="562"/>
      <c r="P407" s="562"/>
      <c r="Q407" s="562"/>
      <c r="R407" s="562"/>
      <c r="S407" s="562"/>
    </row>
    <row r="408" spans="1:19" s="560" customFormat="1" ht="19.5" customHeight="1">
      <c r="A408" s="561"/>
      <c r="B408" s="562"/>
      <c r="C408" s="562"/>
      <c r="D408" s="562"/>
      <c r="E408" s="562"/>
      <c r="F408" s="562"/>
      <c r="G408" s="562"/>
      <c r="H408" s="562"/>
      <c r="I408" s="562"/>
      <c r="J408" s="562"/>
      <c r="K408" s="562"/>
      <c r="L408" s="562"/>
      <c r="M408" s="562"/>
      <c r="N408" s="562"/>
      <c r="O408" s="562"/>
      <c r="P408" s="562"/>
      <c r="Q408" s="562"/>
      <c r="R408" s="562"/>
      <c r="S408" s="562"/>
    </row>
    <row r="409" spans="1:19" s="560" customFormat="1" ht="19.5" customHeight="1">
      <c r="A409" s="561"/>
      <c r="B409" s="562"/>
      <c r="C409" s="562"/>
      <c r="D409" s="562"/>
      <c r="E409" s="562"/>
      <c r="F409" s="562"/>
      <c r="G409" s="562"/>
      <c r="H409" s="562"/>
      <c r="I409" s="562"/>
      <c r="J409" s="562"/>
      <c r="K409" s="562"/>
      <c r="L409" s="562"/>
      <c r="M409" s="562"/>
      <c r="N409" s="562"/>
      <c r="O409" s="562"/>
      <c r="P409" s="562"/>
      <c r="Q409" s="562"/>
      <c r="R409" s="562"/>
      <c r="S409" s="562"/>
    </row>
    <row r="410" spans="1:19" s="560" customFormat="1" ht="19.5" customHeight="1">
      <c r="A410" s="561"/>
      <c r="B410" s="562"/>
      <c r="C410" s="562"/>
      <c r="D410" s="562"/>
      <c r="E410" s="562"/>
      <c r="F410" s="562"/>
      <c r="G410" s="562"/>
      <c r="H410" s="562"/>
      <c r="I410" s="562"/>
      <c r="J410" s="562"/>
      <c r="K410" s="562"/>
      <c r="L410" s="562"/>
      <c r="M410" s="562"/>
      <c r="N410" s="562"/>
      <c r="O410" s="562"/>
      <c r="P410" s="562"/>
      <c r="Q410" s="562"/>
      <c r="R410" s="562"/>
      <c r="S410" s="562"/>
    </row>
    <row r="411" spans="1:19" s="560" customFormat="1" ht="19.5" customHeight="1">
      <c r="A411" s="561"/>
      <c r="B411" s="562"/>
      <c r="C411" s="562"/>
      <c r="D411" s="562"/>
      <c r="E411" s="562"/>
      <c r="F411" s="562"/>
      <c r="G411" s="562"/>
      <c r="H411" s="562"/>
      <c r="I411" s="562"/>
      <c r="J411" s="562"/>
      <c r="K411" s="562"/>
      <c r="L411" s="562"/>
      <c r="M411" s="562"/>
      <c r="N411" s="562"/>
      <c r="O411" s="562"/>
      <c r="P411" s="562"/>
      <c r="Q411" s="562"/>
      <c r="R411" s="562"/>
      <c r="S411" s="562"/>
    </row>
    <row r="412" ht="19.5" customHeight="1"/>
    <row r="413" ht="9.75" customHeight="1"/>
    <row r="414" ht="19.5" customHeight="1"/>
    <row r="415" ht="19.5" customHeight="1"/>
    <row r="416" ht="19.5" customHeight="1"/>
    <row r="417" spans="1:19" s="560" customFormat="1" ht="19.5" customHeight="1">
      <c r="A417" s="561"/>
      <c r="B417" s="562"/>
      <c r="C417" s="562"/>
      <c r="D417" s="562"/>
      <c r="E417" s="562"/>
      <c r="F417" s="562"/>
      <c r="G417" s="562"/>
      <c r="H417" s="562"/>
      <c r="I417" s="562"/>
      <c r="J417" s="562"/>
      <c r="K417" s="562"/>
      <c r="L417" s="562"/>
      <c r="M417" s="562"/>
      <c r="N417" s="562"/>
      <c r="O417" s="562"/>
      <c r="P417" s="562"/>
      <c r="Q417" s="562"/>
      <c r="R417" s="562"/>
      <c r="S417" s="562"/>
    </row>
    <row r="418" spans="1:19" s="560" customFormat="1" ht="19.5" customHeight="1">
      <c r="A418" s="561"/>
      <c r="B418" s="562"/>
      <c r="C418" s="562"/>
      <c r="D418" s="562"/>
      <c r="E418" s="562"/>
      <c r="F418" s="562"/>
      <c r="G418" s="562"/>
      <c r="H418" s="562"/>
      <c r="I418" s="562"/>
      <c r="J418" s="562"/>
      <c r="K418" s="562"/>
      <c r="L418" s="562"/>
      <c r="M418" s="562"/>
      <c r="N418" s="562"/>
      <c r="O418" s="562"/>
      <c r="P418" s="562"/>
      <c r="Q418" s="562"/>
      <c r="R418" s="562"/>
      <c r="S418" s="562"/>
    </row>
    <row r="419" spans="1:19" s="560" customFormat="1" ht="19.5" customHeight="1">
      <c r="A419" s="561"/>
      <c r="B419" s="562"/>
      <c r="C419" s="562"/>
      <c r="D419" s="562"/>
      <c r="E419" s="562"/>
      <c r="F419" s="562"/>
      <c r="G419" s="562"/>
      <c r="H419" s="562"/>
      <c r="I419" s="562"/>
      <c r="J419" s="562"/>
      <c r="K419" s="562"/>
      <c r="L419" s="562"/>
      <c r="M419" s="562"/>
      <c r="N419" s="562"/>
      <c r="O419" s="562"/>
      <c r="P419" s="562"/>
      <c r="Q419" s="562"/>
      <c r="R419" s="562"/>
      <c r="S419" s="562"/>
    </row>
    <row r="420" spans="1:19" s="560" customFormat="1" ht="19.5" customHeight="1">
      <c r="A420" s="561"/>
      <c r="B420" s="562"/>
      <c r="C420" s="562"/>
      <c r="D420" s="562"/>
      <c r="E420" s="562"/>
      <c r="F420" s="562"/>
      <c r="G420" s="562"/>
      <c r="H420" s="562"/>
      <c r="I420" s="562"/>
      <c r="J420" s="562"/>
      <c r="K420" s="562"/>
      <c r="L420" s="562"/>
      <c r="M420" s="562"/>
      <c r="N420" s="562"/>
      <c r="O420" s="562"/>
      <c r="P420" s="562"/>
      <c r="Q420" s="562"/>
      <c r="R420" s="562"/>
      <c r="S420" s="562"/>
    </row>
    <row r="421" spans="1:19" s="560" customFormat="1" ht="19.5" customHeight="1">
      <c r="A421" s="561"/>
      <c r="B421" s="562"/>
      <c r="C421" s="562"/>
      <c r="D421" s="562"/>
      <c r="E421" s="562"/>
      <c r="F421" s="562"/>
      <c r="G421" s="562"/>
      <c r="H421" s="562"/>
      <c r="I421" s="562"/>
      <c r="J421" s="562"/>
      <c r="K421" s="562"/>
      <c r="L421" s="562"/>
      <c r="M421" s="562"/>
      <c r="N421" s="562"/>
      <c r="O421" s="562"/>
      <c r="P421" s="562"/>
      <c r="Q421" s="562"/>
      <c r="R421" s="562"/>
      <c r="S421" s="562"/>
    </row>
    <row r="422" spans="1:19" s="560" customFormat="1" ht="19.5" customHeight="1">
      <c r="A422" s="561"/>
      <c r="B422" s="562"/>
      <c r="C422" s="562"/>
      <c r="D422" s="562"/>
      <c r="E422" s="562"/>
      <c r="F422" s="562"/>
      <c r="G422" s="562"/>
      <c r="H422" s="562"/>
      <c r="I422" s="562"/>
      <c r="J422" s="562"/>
      <c r="K422" s="562"/>
      <c r="L422" s="562"/>
      <c r="M422" s="562"/>
      <c r="N422" s="562"/>
      <c r="O422" s="562"/>
      <c r="P422" s="562"/>
      <c r="Q422" s="562"/>
      <c r="R422" s="562"/>
      <c r="S422" s="562"/>
    </row>
    <row r="423" spans="1:19" s="560" customFormat="1" ht="19.5" customHeight="1">
      <c r="A423" s="561"/>
      <c r="B423" s="562"/>
      <c r="C423" s="562"/>
      <c r="D423" s="562"/>
      <c r="E423" s="562"/>
      <c r="F423" s="562"/>
      <c r="G423" s="562"/>
      <c r="H423" s="562"/>
      <c r="I423" s="562"/>
      <c r="J423" s="562"/>
      <c r="K423" s="562"/>
      <c r="L423" s="562"/>
      <c r="M423" s="562"/>
      <c r="N423" s="562"/>
      <c r="O423" s="562"/>
      <c r="P423" s="562"/>
      <c r="Q423" s="562"/>
      <c r="R423" s="562"/>
      <c r="S423" s="562"/>
    </row>
    <row r="424" spans="1:19" s="560" customFormat="1" ht="19.5" customHeight="1">
      <c r="A424" s="561"/>
      <c r="B424" s="562"/>
      <c r="C424" s="562"/>
      <c r="D424" s="562"/>
      <c r="E424" s="562"/>
      <c r="F424" s="562"/>
      <c r="G424" s="562"/>
      <c r="H424" s="562"/>
      <c r="I424" s="562"/>
      <c r="J424" s="562"/>
      <c r="K424" s="562"/>
      <c r="L424" s="562"/>
      <c r="M424" s="562"/>
      <c r="N424" s="562"/>
      <c r="O424" s="562"/>
      <c r="P424" s="562"/>
      <c r="Q424" s="562"/>
      <c r="R424" s="562"/>
      <c r="S424" s="562"/>
    </row>
    <row r="425" spans="1:19" s="560" customFormat="1" ht="19.5" customHeight="1">
      <c r="A425" s="561"/>
      <c r="B425" s="562"/>
      <c r="C425" s="562"/>
      <c r="D425" s="562"/>
      <c r="E425" s="562"/>
      <c r="F425" s="562"/>
      <c r="G425" s="562"/>
      <c r="H425" s="562"/>
      <c r="I425" s="562"/>
      <c r="J425" s="562"/>
      <c r="K425" s="562"/>
      <c r="L425" s="562"/>
      <c r="M425" s="562"/>
      <c r="N425" s="562"/>
      <c r="O425" s="562"/>
      <c r="P425" s="562"/>
      <c r="Q425" s="562"/>
      <c r="R425" s="562"/>
      <c r="S425" s="562"/>
    </row>
    <row r="426" spans="1:19" s="560" customFormat="1" ht="19.5" customHeight="1">
      <c r="A426" s="561"/>
      <c r="B426" s="562"/>
      <c r="C426" s="562"/>
      <c r="D426" s="562"/>
      <c r="E426" s="562"/>
      <c r="F426" s="562"/>
      <c r="G426" s="562"/>
      <c r="H426" s="562"/>
      <c r="I426" s="562"/>
      <c r="J426" s="562"/>
      <c r="K426" s="562"/>
      <c r="L426" s="562"/>
      <c r="M426" s="562"/>
      <c r="N426" s="562"/>
      <c r="O426" s="562"/>
      <c r="P426" s="562"/>
      <c r="Q426" s="562"/>
      <c r="R426" s="562"/>
      <c r="S426" s="562"/>
    </row>
    <row r="427" spans="1:19" s="560" customFormat="1" ht="19.5" customHeight="1">
      <c r="A427" s="561"/>
      <c r="B427" s="562"/>
      <c r="C427" s="562"/>
      <c r="D427" s="562"/>
      <c r="E427" s="562"/>
      <c r="F427" s="562"/>
      <c r="G427" s="562"/>
      <c r="H427" s="562"/>
      <c r="I427" s="562"/>
      <c r="J427" s="562"/>
      <c r="K427" s="562"/>
      <c r="L427" s="562"/>
      <c r="M427" s="562"/>
      <c r="N427" s="562"/>
      <c r="O427" s="562"/>
      <c r="P427" s="562"/>
      <c r="Q427" s="562"/>
      <c r="R427" s="562"/>
      <c r="S427" s="562"/>
    </row>
    <row r="428" spans="1:19" s="560" customFormat="1" ht="19.5" customHeight="1">
      <c r="A428" s="561"/>
      <c r="B428" s="562"/>
      <c r="C428" s="562"/>
      <c r="D428" s="562"/>
      <c r="E428" s="562"/>
      <c r="F428" s="562"/>
      <c r="G428" s="562"/>
      <c r="H428" s="562"/>
      <c r="I428" s="562"/>
      <c r="J428" s="562"/>
      <c r="K428" s="562"/>
      <c r="L428" s="562"/>
      <c r="M428" s="562"/>
      <c r="N428" s="562"/>
      <c r="O428" s="562"/>
      <c r="P428" s="562"/>
      <c r="Q428" s="562"/>
      <c r="R428" s="562"/>
      <c r="S428" s="562"/>
    </row>
    <row r="429" spans="1:19" s="560" customFormat="1" ht="19.5" customHeight="1">
      <c r="A429" s="561"/>
      <c r="B429" s="562"/>
      <c r="C429" s="562"/>
      <c r="D429" s="562"/>
      <c r="E429" s="562"/>
      <c r="F429" s="562"/>
      <c r="G429" s="562"/>
      <c r="H429" s="562"/>
      <c r="I429" s="562"/>
      <c r="J429" s="562"/>
      <c r="K429" s="562"/>
      <c r="L429" s="562"/>
      <c r="M429" s="562"/>
      <c r="N429" s="562"/>
      <c r="O429" s="562"/>
      <c r="P429" s="562"/>
      <c r="Q429" s="562"/>
      <c r="R429" s="562"/>
      <c r="S429" s="562"/>
    </row>
    <row r="430" spans="1:19" s="560" customFormat="1" ht="19.5" customHeight="1">
      <c r="A430" s="561"/>
      <c r="B430" s="562"/>
      <c r="C430" s="562"/>
      <c r="D430" s="562"/>
      <c r="E430" s="562"/>
      <c r="F430" s="562"/>
      <c r="G430" s="562"/>
      <c r="H430" s="562"/>
      <c r="I430" s="562"/>
      <c r="J430" s="562"/>
      <c r="K430" s="562"/>
      <c r="L430" s="562"/>
      <c r="M430" s="562"/>
      <c r="N430" s="562"/>
      <c r="O430" s="562"/>
      <c r="P430" s="562"/>
      <c r="Q430" s="562"/>
      <c r="R430" s="562"/>
      <c r="S430" s="562"/>
    </row>
    <row r="431" spans="1:19" s="560" customFormat="1" ht="19.5" customHeight="1">
      <c r="A431" s="561"/>
      <c r="B431" s="562"/>
      <c r="C431" s="562"/>
      <c r="D431" s="562"/>
      <c r="E431" s="562"/>
      <c r="F431" s="562"/>
      <c r="G431" s="562"/>
      <c r="H431" s="562"/>
      <c r="I431" s="562"/>
      <c r="J431" s="562"/>
      <c r="K431" s="562"/>
      <c r="L431" s="562"/>
      <c r="M431" s="562"/>
      <c r="N431" s="562"/>
      <c r="O431" s="562"/>
      <c r="P431" s="562"/>
      <c r="Q431" s="562"/>
      <c r="R431" s="562"/>
      <c r="S431" s="562"/>
    </row>
    <row r="432" spans="1:19" s="560" customFormat="1" ht="19.5" customHeight="1">
      <c r="A432" s="561"/>
      <c r="B432" s="562"/>
      <c r="C432" s="562"/>
      <c r="D432" s="562"/>
      <c r="E432" s="562"/>
      <c r="F432" s="562"/>
      <c r="G432" s="562"/>
      <c r="H432" s="562"/>
      <c r="I432" s="562"/>
      <c r="J432" s="562"/>
      <c r="K432" s="562"/>
      <c r="L432" s="562"/>
      <c r="M432" s="562"/>
      <c r="N432" s="562"/>
      <c r="O432" s="562"/>
      <c r="P432" s="562"/>
      <c r="Q432" s="562"/>
      <c r="R432" s="562"/>
      <c r="S432" s="562"/>
    </row>
    <row r="433" spans="1:19" s="560" customFormat="1" ht="19.5" customHeight="1">
      <c r="A433" s="561"/>
      <c r="B433" s="562"/>
      <c r="C433" s="562"/>
      <c r="D433" s="562"/>
      <c r="E433" s="562"/>
      <c r="F433" s="562"/>
      <c r="G433" s="562"/>
      <c r="H433" s="562"/>
      <c r="I433" s="562"/>
      <c r="J433" s="562"/>
      <c r="K433" s="562"/>
      <c r="L433" s="562"/>
      <c r="M433" s="562"/>
      <c r="N433" s="562"/>
      <c r="O433" s="562"/>
      <c r="P433" s="562"/>
      <c r="Q433" s="562"/>
      <c r="R433" s="562"/>
      <c r="S433" s="562"/>
    </row>
    <row r="434" spans="1:19" s="560" customFormat="1" ht="19.5" customHeight="1">
      <c r="A434" s="561"/>
      <c r="B434" s="562"/>
      <c r="C434" s="562"/>
      <c r="D434" s="562"/>
      <c r="E434" s="562"/>
      <c r="F434" s="562"/>
      <c r="G434" s="562"/>
      <c r="H434" s="562"/>
      <c r="I434" s="562"/>
      <c r="J434" s="562"/>
      <c r="K434" s="562"/>
      <c r="L434" s="562"/>
      <c r="M434" s="562"/>
      <c r="N434" s="562"/>
      <c r="O434" s="562"/>
      <c r="P434" s="562"/>
      <c r="Q434" s="562"/>
      <c r="R434" s="562"/>
      <c r="S434" s="562"/>
    </row>
    <row r="435" spans="1:19" s="560" customFormat="1" ht="19.5" customHeight="1">
      <c r="A435" s="561"/>
      <c r="B435" s="562"/>
      <c r="C435" s="562"/>
      <c r="D435" s="562"/>
      <c r="E435" s="562"/>
      <c r="F435" s="562"/>
      <c r="G435" s="562"/>
      <c r="H435" s="562"/>
      <c r="I435" s="562"/>
      <c r="J435" s="562"/>
      <c r="K435" s="562"/>
      <c r="L435" s="562"/>
      <c r="M435" s="562"/>
      <c r="N435" s="562"/>
      <c r="O435" s="562"/>
      <c r="P435" s="562"/>
      <c r="Q435" s="562"/>
      <c r="R435" s="562"/>
      <c r="S435" s="562"/>
    </row>
    <row r="436" spans="1:19" s="560" customFormat="1" ht="19.5" customHeight="1">
      <c r="A436" s="561"/>
      <c r="B436" s="562"/>
      <c r="C436" s="562"/>
      <c r="D436" s="562"/>
      <c r="E436" s="562"/>
      <c r="F436" s="562"/>
      <c r="G436" s="562"/>
      <c r="H436" s="562"/>
      <c r="I436" s="562"/>
      <c r="J436" s="562"/>
      <c r="K436" s="562"/>
      <c r="L436" s="562"/>
      <c r="M436" s="562"/>
      <c r="N436" s="562"/>
      <c r="O436" s="562"/>
      <c r="P436" s="562"/>
      <c r="Q436" s="562"/>
      <c r="R436" s="562"/>
      <c r="S436" s="562"/>
    </row>
    <row r="437" spans="1:19" s="560" customFormat="1" ht="19.5" customHeight="1">
      <c r="A437" s="561"/>
      <c r="B437" s="562"/>
      <c r="C437" s="562"/>
      <c r="D437" s="562"/>
      <c r="E437" s="562"/>
      <c r="F437" s="562"/>
      <c r="G437" s="562"/>
      <c r="H437" s="562"/>
      <c r="I437" s="562"/>
      <c r="J437" s="562"/>
      <c r="K437" s="562"/>
      <c r="L437" s="562"/>
      <c r="M437" s="562"/>
      <c r="N437" s="562"/>
      <c r="O437" s="562"/>
      <c r="P437" s="562"/>
      <c r="Q437" s="562"/>
      <c r="R437" s="562"/>
      <c r="S437" s="562"/>
    </row>
    <row r="438" spans="1:19" s="560" customFormat="1" ht="19.5" customHeight="1">
      <c r="A438" s="561"/>
      <c r="B438" s="562"/>
      <c r="C438" s="562"/>
      <c r="D438" s="562"/>
      <c r="E438" s="562"/>
      <c r="F438" s="562"/>
      <c r="G438" s="562"/>
      <c r="H438" s="562"/>
      <c r="I438" s="562"/>
      <c r="J438" s="562"/>
      <c r="K438" s="562"/>
      <c r="L438" s="562"/>
      <c r="M438" s="562"/>
      <c r="N438" s="562"/>
      <c r="O438" s="562"/>
      <c r="P438" s="562"/>
      <c r="Q438" s="562"/>
      <c r="R438" s="562"/>
      <c r="S438" s="562"/>
    </row>
    <row r="439" spans="1:19" s="560" customFormat="1" ht="19.5" customHeight="1">
      <c r="A439" s="561"/>
      <c r="B439" s="562"/>
      <c r="C439" s="562"/>
      <c r="D439" s="562"/>
      <c r="E439" s="562"/>
      <c r="F439" s="562"/>
      <c r="G439" s="562"/>
      <c r="H439" s="562"/>
      <c r="I439" s="562"/>
      <c r="J439" s="562"/>
      <c r="K439" s="562"/>
      <c r="L439" s="562"/>
      <c r="M439" s="562"/>
      <c r="N439" s="562"/>
      <c r="O439" s="562"/>
      <c r="P439" s="562"/>
      <c r="Q439" s="562"/>
      <c r="R439" s="562"/>
      <c r="S439" s="562"/>
    </row>
    <row r="440" spans="1:19" s="560" customFormat="1" ht="19.5" customHeight="1">
      <c r="A440" s="561"/>
      <c r="B440" s="562"/>
      <c r="C440" s="562"/>
      <c r="D440" s="562"/>
      <c r="E440" s="562"/>
      <c r="F440" s="562"/>
      <c r="G440" s="562"/>
      <c r="H440" s="562"/>
      <c r="I440" s="562"/>
      <c r="J440" s="562"/>
      <c r="K440" s="562"/>
      <c r="L440" s="562"/>
      <c r="M440" s="562"/>
      <c r="N440" s="562"/>
      <c r="O440" s="562"/>
      <c r="P440" s="562"/>
      <c r="Q440" s="562"/>
      <c r="R440" s="562"/>
      <c r="S440" s="562"/>
    </row>
    <row r="441" spans="1:19" s="560" customFormat="1" ht="19.5" customHeight="1">
      <c r="A441" s="561"/>
      <c r="B441" s="562"/>
      <c r="C441" s="562"/>
      <c r="D441" s="562"/>
      <c r="E441" s="562"/>
      <c r="F441" s="562"/>
      <c r="G441" s="562"/>
      <c r="H441" s="562"/>
      <c r="I441" s="562"/>
      <c r="J441" s="562"/>
      <c r="K441" s="562"/>
      <c r="L441" s="562"/>
      <c r="M441" s="562"/>
      <c r="N441" s="562"/>
      <c r="O441" s="562"/>
      <c r="P441" s="562"/>
      <c r="Q441" s="562"/>
      <c r="R441" s="562"/>
      <c r="S441" s="562"/>
    </row>
    <row r="442" spans="1:19" s="560" customFormat="1" ht="19.5" customHeight="1">
      <c r="A442" s="561"/>
      <c r="B442" s="562"/>
      <c r="C442" s="562"/>
      <c r="D442" s="562"/>
      <c r="E442" s="562"/>
      <c r="F442" s="562"/>
      <c r="G442" s="562"/>
      <c r="H442" s="562"/>
      <c r="I442" s="562"/>
      <c r="J442" s="562"/>
      <c r="K442" s="562"/>
      <c r="L442" s="562"/>
      <c r="M442" s="562"/>
      <c r="N442" s="562"/>
      <c r="O442" s="562"/>
      <c r="P442" s="562"/>
      <c r="Q442" s="562"/>
      <c r="R442" s="562"/>
      <c r="S442" s="562"/>
    </row>
    <row r="443" spans="1:19" s="560" customFormat="1" ht="19.5" customHeight="1">
      <c r="A443" s="561"/>
      <c r="B443" s="562"/>
      <c r="C443" s="562"/>
      <c r="D443" s="562"/>
      <c r="E443" s="562"/>
      <c r="F443" s="562"/>
      <c r="G443" s="562"/>
      <c r="H443" s="562"/>
      <c r="I443" s="562"/>
      <c r="J443" s="562"/>
      <c r="K443" s="562"/>
      <c r="L443" s="562"/>
      <c r="M443" s="562"/>
      <c r="N443" s="562"/>
      <c r="O443" s="562"/>
      <c r="P443" s="562"/>
      <c r="Q443" s="562"/>
      <c r="R443" s="562"/>
      <c r="S443" s="562"/>
    </row>
    <row r="444" spans="1:19" s="560" customFormat="1" ht="19.5" customHeight="1">
      <c r="A444" s="561"/>
      <c r="B444" s="562"/>
      <c r="C444" s="562"/>
      <c r="D444" s="562"/>
      <c r="E444" s="562"/>
      <c r="F444" s="562"/>
      <c r="G444" s="562"/>
      <c r="H444" s="562"/>
      <c r="I444" s="562"/>
      <c r="J444" s="562"/>
      <c r="K444" s="562"/>
      <c r="L444" s="562"/>
      <c r="M444" s="562"/>
      <c r="N444" s="562"/>
      <c r="O444" s="562"/>
      <c r="P444" s="562"/>
      <c r="Q444" s="562"/>
      <c r="R444" s="562"/>
      <c r="S444" s="562"/>
    </row>
    <row r="445" spans="1:19" s="560" customFormat="1" ht="19.5" customHeight="1">
      <c r="A445" s="561"/>
      <c r="B445" s="562"/>
      <c r="C445" s="562"/>
      <c r="D445" s="562"/>
      <c r="E445" s="562"/>
      <c r="F445" s="562"/>
      <c r="G445" s="562"/>
      <c r="H445" s="562"/>
      <c r="I445" s="562"/>
      <c r="J445" s="562"/>
      <c r="K445" s="562"/>
      <c r="L445" s="562"/>
      <c r="M445" s="562"/>
      <c r="N445" s="562"/>
      <c r="O445" s="562"/>
      <c r="P445" s="562"/>
      <c r="Q445" s="562"/>
      <c r="R445" s="562"/>
      <c r="S445" s="562"/>
    </row>
    <row r="446" spans="1:19" s="560" customFormat="1" ht="19.5" customHeight="1">
      <c r="A446" s="561"/>
      <c r="B446" s="562"/>
      <c r="C446" s="562"/>
      <c r="D446" s="562"/>
      <c r="E446" s="562"/>
      <c r="F446" s="562"/>
      <c r="G446" s="562"/>
      <c r="H446" s="562"/>
      <c r="I446" s="562"/>
      <c r="J446" s="562"/>
      <c r="K446" s="562"/>
      <c r="L446" s="562"/>
      <c r="M446" s="562"/>
      <c r="N446" s="562"/>
      <c r="O446" s="562"/>
      <c r="P446" s="562"/>
      <c r="Q446" s="562"/>
      <c r="R446" s="562"/>
      <c r="S446" s="562"/>
    </row>
    <row r="447" spans="1:19" s="560" customFormat="1" ht="19.5" customHeight="1">
      <c r="A447" s="561"/>
      <c r="B447" s="562"/>
      <c r="C447" s="562"/>
      <c r="D447" s="562"/>
      <c r="E447" s="562"/>
      <c r="F447" s="562"/>
      <c r="G447" s="562"/>
      <c r="H447" s="562"/>
      <c r="I447" s="562"/>
      <c r="J447" s="562"/>
      <c r="K447" s="562"/>
      <c r="L447" s="562"/>
      <c r="M447" s="562"/>
      <c r="N447" s="562"/>
      <c r="O447" s="562"/>
      <c r="P447" s="562"/>
      <c r="Q447" s="562"/>
      <c r="R447" s="562"/>
      <c r="S447" s="562"/>
    </row>
    <row r="448" spans="1:19" s="560" customFormat="1" ht="19.5" customHeight="1">
      <c r="A448" s="561"/>
      <c r="B448" s="562"/>
      <c r="C448" s="562"/>
      <c r="D448" s="562"/>
      <c r="E448" s="562"/>
      <c r="F448" s="562"/>
      <c r="G448" s="562"/>
      <c r="H448" s="562"/>
      <c r="I448" s="562"/>
      <c r="J448" s="562"/>
      <c r="K448" s="562"/>
      <c r="L448" s="562"/>
      <c r="M448" s="562"/>
      <c r="N448" s="562"/>
      <c r="O448" s="562"/>
      <c r="P448" s="562"/>
      <c r="Q448" s="562"/>
      <c r="R448" s="562"/>
      <c r="S448" s="562"/>
    </row>
    <row r="449" spans="1:19" s="560" customFormat="1" ht="19.5" customHeight="1">
      <c r="A449" s="561"/>
      <c r="B449" s="562"/>
      <c r="C449" s="562"/>
      <c r="D449" s="562"/>
      <c r="E449" s="562"/>
      <c r="F449" s="562"/>
      <c r="G449" s="562"/>
      <c r="H449" s="562"/>
      <c r="I449" s="562"/>
      <c r="J449" s="562"/>
      <c r="K449" s="562"/>
      <c r="L449" s="562"/>
      <c r="M449" s="562"/>
      <c r="N449" s="562"/>
      <c r="O449" s="562"/>
      <c r="P449" s="562"/>
      <c r="Q449" s="562"/>
      <c r="R449" s="562"/>
      <c r="S449" s="562"/>
    </row>
    <row r="450" spans="1:19" s="560" customFormat="1" ht="19.5" customHeight="1">
      <c r="A450" s="561"/>
      <c r="B450" s="562"/>
      <c r="C450" s="562"/>
      <c r="D450" s="562"/>
      <c r="E450" s="562"/>
      <c r="F450" s="562"/>
      <c r="G450" s="562"/>
      <c r="H450" s="562"/>
      <c r="I450" s="562"/>
      <c r="J450" s="562"/>
      <c r="K450" s="562"/>
      <c r="L450" s="562"/>
      <c r="M450" s="562"/>
      <c r="N450" s="562"/>
      <c r="O450" s="562"/>
      <c r="P450" s="562"/>
      <c r="Q450" s="562"/>
      <c r="R450" s="562"/>
      <c r="S450" s="562"/>
    </row>
    <row r="451" spans="1:19" s="560" customFormat="1" ht="19.5" customHeight="1">
      <c r="A451" s="561"/>
      <c r="B451" s="562"/>
      <c r="C451" s="562"/>
      <c r="D451" s="562"/>
      <c r="E451" s="562"/>
      <c r="F451" s="562"/>
      <c r="G451" s="562"/>
      <c r="H451" s="562"/>
      <c r="I451" s="562"/>
      <c r="J451" s="562"/>
      <c r="K451" s="562"/>
      <c r="L451" s="562"/>
      <c r="M451" s="562"/>
      <c r="N451" s="562"/>
      <c r="O451" s="562"/>
      <c r="P451" s="562"/>
      <c r="Q451" s="562"/>
      <c r="R451" s="562"/>
      <c r="S451" s="562"/>
    </row>
    <row r="452" spans="1:19" s="560" customFormat="1" ht="19.5" customHeight="1">
      <c r="A452" s="561"/>
      <c r="B452" s="562"/>
      <c r="C452" s="562"/>
      <c r="D452" s="562"/>
      <c r="E452" s="562"/>
      <c r="F452" s="562"/>
      <c r="G452" s="562"/>
      <c r="H452" s="562"/>
      <c r="I452" s="562"/>
      <c r="J452" s="562"/>
      <c r="K452" s="562"/>
      <c r="L452" s="562"/>
      <c r="M452" s="562"/>
      <c r="N452" s="562"/>
      <c r="O452" s="562"/>
      <c r="P452" s="562"/>
      <c r="Q452" s="562"/>
      <c r="R452" s="562"/>
      <c r="S452" s="562"/>
    </row>
    <row r="453" spans="1:19" s="560" customFormat="1" ht="19.5" customHeight="1">
      <c r="A453" s="561"/>
      <c r="B453" s="562"/>
      <c r="C453" s="562"/>
      <c r="D453" s="562"/>
      <c r="E453" s="562"/>
      <c r="F453" s="562"/>
      <c r="G453" s="562"/>
      <c r="H453" s="562"/>
      <c r="I453" s="562"/>
      <c r="J453" s="562"/>
      <c r="K453" s="562"/>
      <c r="L453" s="562"/>
      <c r="M453" s="562"/>
      <c r="N453" s="562"/>
      <c r="O453" s="562"/>
      <c r="P453" s="562"/>
      <c r="Q453" s="562"/>
      <c r="R453" s="562"/>
      <c r="S453" s="562"/>
    </row>
    <row r="454" ht="19.5" customHeight="1"/>
    <row r="455" ht="9.75" customHeight="1"/>
  </sheetData>
  <sheetProtection/>
  <mergeCells count="20">
    <mergeCell ref="A39:B39"/>
    <mergeCell ref="J13:S13"/>
    <mergeCell ref="A16:A17"/>
    <mergeCell ref="B16:B17"/>
    <mergeCell ref="A11:S11"/>
    <mergeCell ref="A12:S12"/>
    <mergeCell ref="A13:B15"/>
    <mergeCell ref="C13:C16"/>
    <mergeCell ref="D13:D16"/>
    <mergeCell ref="E13:I14"/>
    <mergeCell ref="J14:N14"/>
    <mergeCell ref="O14:S14"/>
    <mergeCell ref="A2:S2"/>
    <mergeCell ref="A3:S3"/>
    <mergeCell ref="A4:S4"/>
    <mergeCell ref="A8:S8"/>
    <mergeCell ref="C9:S9"/>
    <mergeCell ref="A5:S5"/>
    <mergeCell ref="A6:S6"/>
    <mergeCell ref="A7:S7"/>
  </mergeCells>
  <conditionalFormatting sqref="O16:R16 P17:R17 B19:G38 K19:S38">
    <cfRule type="cellIs" priority="33" dxfId="0" operator="equal">
      <formula>0</formula>
    </cfRule>
  </conditionalFormatting>
  <conditionalFormatting sqref="E16:G16">
    <cfRule type="cellIs" priority="32" dxfId="0" operator="equal">
      <formula>0</formula>
    </cfRule>
  </conditionalFormatting>
  <conditionalFormatting sqref="K16:M16">
    <cfRule type="cellIs" priority="31" dxfId="0" operator="equal">
      <formula>0</formula>
    </cfRule>
  </conditionalFormatting>
  <conditionalFormatting sqref="A16:B16">
    <cfRule type="cellIs" priority="28" dxfId="0" operator="equal">
      <formula>0</formula>
    </cfRule>
  </conditionalFormatting>
  <conditionalFormatting sqref="S16">
    <cfRule type="cellIs" priority="22" dxfId="0" operator="equal">
      <formula>0</formula>
    </cfRule>
  </conditionalFormatting>
  <conditionalFormatting sqref="E17:G17 K17:N17">
    <cfRule type="cellIs" priority="21" dxfId="0" operator="equal">
      <formula>0</formula>
    </cfRule>
  </conditionalFormatting>
  <conditionalFormatting sqref="C17:D17">
    <cfRule type="cellIs" priority="18" dxfId="0" operator="equal">
      <formula>0</formula>
    </cfRule>
  </conditionalFormatting>
  <conditionalFormatting sqref="J16">
    <cfRule type="cellIs" priority="17" dxfId="0" operator="equal">
      <formula>0</formula>
    </cfRule>
  </conditionalFormatting>
  <conditionalFormatting sqref="J19:J38">
    <cfRule type="cellIs" priority="16" dxfId="0" operator="equal">
      <formula>0</formula>
    </cfRule>
  </conditionalFormatting>
  <conditionalFormatting sqref="J17">
    <cfRule type="cellIs" priority="15" dxfId="0" operator="equal">
      <formula>0</formula>
    </cfRule>
  </conditionalFormatting>
  <conditionalFormatting sqref="O17">
    <cfRule type="cellIs" priority="12" dxfId="0" operator="equal">
      <formula>0</formula>
    </cfRule>
  </conditionalFormatting>
  <conditionalFormatting sqref="N16">
    <cfRule type="cellIs" priority="8" dxfId="0" operator="equal">
      <formula>0</formula>
    </cfRule>
  </conditionalFormatting>
  <conditionalFormatting sqref="I16 I19:I38">
    <cfRule type="cellIs" priority="5" dxfId="0" operator="equal">
      <formula>0</formula>
    </cfRule>
  </conditionalFormatting>
  <conditionalFormatting sqref="I17">
    <cfRule type="cellIs" priority="4" dxfId="0" operator="equal">
      <formula>0</formula>
    </cfRule>
  </conditionalFormatting>
  <conditionalFormatting sqref="H16 H19:H38">
    <cfRule type="cellIs" priority="3" dxfId="0" operator="equal">
      <formula>0</formula>
    </cfRule>
  </conditionalFormatting>
  <conditionalFormatting sqref="H17">
    <cfRule type="cellIs" priority="2" dxfId="0" operator="equal">
      <formula>0</formula>
    </cfRule>
  </conditionalFormatting>
  <conditionalFormatting sqref="S17">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16" r:id="rId2"/>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52"/>
  <sheetViews>
    <sheetView view="pageBreakPreview" zoomScale="25" zoomScaleNormal="25" zoomScaleSheetLayoutView="25" zoomScalePageLayoutView="0" workbookViewId="0" topLeftCell="A1">
      <selection activeCell="T38" sqref="A1:T38"/>
    </sheetView>
  </sheetViews>
  <sheetFormatPr defaultColWidth="9.140625" defaultRowHeight="12.75"/>
  <cols>
    <col min="1" max="1" width="16.140625" style="569" bestFit="1" customWidth="1"/>
    <col min="2" max="2" width="87.57421875" style="562" bestFit="1" customWidth="1"/>
    <col min="3" max="3" width="55.00390625" style="562" bestFit="1" customWidth="1"/>
    <col min="4" max="4" width="52.140625" style="562" bestFit="1" customWidth="1"/>
    <col min="5" max="8" width="35.7109375" style="562" hidden="1" customWidth="1"/>
    <col min="9" max="9" width="120.7109375" style="562" bestFit="1" customWidth="1"/>
    <col min="10" max="10" width="49.8515625" style="562" bestFit="1" customWidth="1"/>
    <col min="11" max="11" width="47.57421875" style="562" bestFit="1" customWidth="1"/>
    <col min="12" max="12" width="55.00390625" style="562" bestFit="1" customWidth="1"/>
    <col min="13" max="13" width="71.00390625" style="562" hidden="1" customWidth="1"/>
    <col min="14" max="14" width="59.00390625" style="562" hidden="1" customWidth="1"/>
    <col min="15" max="15" width="60.140625" style="562" hidden="1" customWidth="1"/>
    <col min="16" max="16" width="35.7109375" style="562" hidden="1" customWidth="1"/>
    <col min="17" max="17" width="57.8515625" style="562" hidden="1" customWidth="1"/>
    <col min="18" max="19" width="71.57421875" style="562" hidden="1" customWidth="1"/>
    <col min="20" max="20" width="64.140625" style="562" bestFit="1" customWidth="1"/>
    <col min="21" max="21" width="9.140625" style="528" customWidth="1"/>
    <col min="22" max="24" width="15.7109375" style="528" customWidth="1"/>
    <col min="25" max="25" width="21.8515625" style="528" bestFit="1" customWidth="1"/>
    <col min="26" max="26" width="21.8515625" style="528" customWidth="1"/>
    <col min="27" max="27" width="15.7109375" style="528" customWidth="1"/>
    <col min="28" max="28" width="9.140625" style="528" customWidth="1"/>
    <col min="29" max="29" width="18.421875" style="528" bestFit="1" customWidth="1"/>
    <col min="30" max="31" width="19.00390625" style="528" bestFit="1" customWidth="1"/>
    <col min="32" max="32" width="20.140625" style="528" bestFit="1" customWidth="1"/>
    <col min="33" max="33" width="16.7109375" style="528" bestFit="1" customWidth="1"/>
    <col min="34" max="34" width="9.140625" style="528" customWidth="1"/>
    <col min="35" max="35" width="18.421875" style="528" bestFit="1" customWidth="1"/>
    <col min="36" max="36" width="16.7109375" style="528" bestFit="1" customWidth="1"/>
    <col min="37" max="37" width="21.8515625" style="528" bestFit="1" customWidth="1"/>
    <col min="38" max="38" width="16.7109375" style="528" bestFit="1" customWidth="1"/>
    <col min="39" max="40" width="16.7109375" style="528" customWidth="1"/>
    <col min="41" max="41" width="16.7109375" style="528" bestFit="1" customWidth="1"/>
    <col min="42" max="16384" width="9.140625" style="528" customWidth="1"/>
  </cols>
  <sheetData>
    <row r="1" spans="1:20" ht="39.75" customHeight="1">
      <c r="A1" s="636"/>
      <c r="B1" s="637"/>
      <c r="C1" s="637"/>
      <c r="D1" s="637"/>
      <c r="E1" s="637"/>
      <c r="F1" s="637"/>
      <c r="G1" s="637"/>
      <c r="H1" s="637"/>
      <c r="I1" s="637"/>
      <c r="J1" s="637"/>
      <c r="K1" s="637"/>
      <c r="L1" s="637"/>
      <c r="M1" s="637"/>
      <c r="N1" s="637"/>
      <c r="O1" s="637"/>
      <c r="P1" s="637"/>
      <c r="Q1" s="637"/>
      <c r="R1" s="637"/>
      <c r="S1" s="637"/>
      <c r="T1" s="638"/>
    </row>
    <row r="2" spans="1:20" ht="39.75" customHeight="1">
      <c r="A2" s="931"/>
      <c r="B2" s="932"/>
      <c r="C2" s="932"/>
      <c r="D2" s="932"/>
      <c r="E2" s="932"/>
      <c r="F2" s="932"/>
      <c r="G2" s="932"/>
      <c r="H2" s="932"/>
      <c r="I2" s="932"/>
      <c r="J2" s="932"/>
      <c r="K2" s="932"/>
      <c r="L2" s="932"/>
      <c r="M2" s="932"/>
      <c r="N2" s="932"/>
      <c r="O2" s="932"/>
      <c r="P2" s="932"/>
      <c r="Q2" s="932"/>
      <c r="R2" s="932"/>
      <c r="S2" s="932"/>
      <c r="T2" s="933"/>
    </row>
    <row r="3" spans="1:20" ht="39.75" customHeight="1">
      <c r="A3" s="934"/>
      <c r="B3" s="935"/>
      <c r="C3" s="935"/>
      <c r="D3" s="935"/>
      <c r="E3" s="935"/>
      <c r="F3" s="935"/>
      <c r="G3" s="935"/>
      <c r="H3" s="935"/>
      <c r="I3" s="935"/>
      <c r="J3" s="935"/>
      <c r="K3" s="935"/>
      <c r="L3" s="935"/>
      <c r="M3" s="935"/>
      <c r="N3" s="935"/>
      <c r="O3" s="935"/>
      <c r="P3" s="935"/>
      <c r="Q3" s="935"/>
      <c r="R3" s="935"/>
      <c r="S3" s="935"/>
      <c r="T3" s="936"/>
    </row>
    <row r="4" spans="1:20" ht="39.75" customHeight="1">
      <c r="A4" s="934"/>
      <c r="B4" s="935"/>
      <c r="C4" s="935"/>
      <c r="D4" s="935"/>
      <c r="E4" s="935"/>
      <c r="F4" s="935"/>
      <c r="G4" s="935"/>
      <c r="H4" s="935"/>
      <c r="I4" s="935"/>
      <c r="J4" s="935"/>
      <c r="K4" s="935"/>
      <c r="L4" s="935"/>
      <c r="M4" s="935"/>
      <c r="N4" s="935"/>
      <c r="O4" s="935"/>
      <c r="P4" s="935"/>
      <c r="Q4" s="935"/>
      <c r="R4" s="935"/>
      <c r="S4" s="935"/>
      <c r="T4" s="936"/>
    </row>
    <row r="5" spans="1:20" ht="39.75" customHeight="1">
      <c r="A5" s="931" t="s">
        <v>20</v>
      </c>
      <c r="B5" s="932"/>
      <c r="C5" s="932"/>
      <c r="D5" s="932"/>
      <c r="E5" s="932"/>
      <c r="F5" s="932"/>
      <c r="G5" s="932"/>
      <c r="H5" s="932"/>
      <c r="I5" s="932"/>
      <c r="J5" s="932"/>
      <c r="K5" s="932"/>
      <c r="L5" s="932"/>
      <c r="M5" s="932"/>
      <c r="N5" s="932"/>
      <c r="O5" s="932"/>
      <c r="P5" s="932"/>
      <c r="Q5" s="932"/>
      <c r="R5" s="932"/>
      <c r="S5" s="932"/>
      <c r="T5" s="933"/>
    </row>
    <row r="6" spans="1:20" ht="39.75" customHeight="1">
      <c r="A6" s="934" t="s">
        <v>194</v>
      </c>
      <c r="B6" s="935"/>
      <c r="C6" s="935"/>
      <c r="D6" s="935"/>
      <c r="E6" s="935"/>
      <c r="F6" s="935"/>
      <c r="G6" s="935"/>
      <c r="H6" s="935"/>
      <c r="I6" s="935"/>
      <c r="J6" s="935"/>
      <c r="K6" s="935"/>
      <c r="L6" s="935"/>
      <c r="M6" s="935"/>
      <c r="N6" s="935"/>
      <c r="O6" s="935"/>
      <c r="P6" s="935"/>
      <c r="Q6" s="935"/>
      <c r="R6" s="935"/>
      <c r="S6" s="935"/>
      <c r="T6" s="936"/>
    </row>
    <row r="7" spans="1:20" ht="39.75" customHeight="1">
      <c r="A7" s="934" t="s">
        <v>19</v>
      </c>
      <c r="B7" s="935"/>
      <c r="C7" s="935"/>
      <c r="D7" s="935"/>
      <c r="E7" s="935"/>
      <c r="F7" s="935"/>
      <c r="G7" s="935"/>
      <c r="H7" s="935"/>
      <c r="I7" s="935"/>
      <c r="J7" s="935"/>
      <c r="K7" s="935"/>
      <c r="L7" s="935"/>
      <c r="M7" s="935"/>
      <c r="N7" s="935"/>
      <c r="O7" s="935"/>
      <c r="P7" s="935"/>
      <c r="Q7" s="935"/>
      <c r="R7" s="935"/>
      <c r="S7" s="935"/>
      <c r="T7" s="936"/>
    </row>
    <row r="8" spans="1:20" ht="39.75" customHeight="1">
      <c r="A8" s="772"/>
      <c r="B8" s="773"/>
      <c r="C8" s="773"/>
      <c r="D8" s="773"/>
      <c r="E8" s="773"/>
      <c r="F8" s="773"/>
      <c r="G8" s="773"/>
      <c r="H8" s="773"/>
      <c r="I8" s="773"/>
      <c r="J8" s="773"/>
      <c r="K8" s="773"/>
      <c r="L8" s="773"/>
      <c r="M8" s="773"/>
      <c r="N8" s="773"/>
      <c r="O8" s="773"/>
      <c r="P8" s="773"/>
      <c r="Q8" s="773"/>
      <c r="R8" s="773"/>
      <c r="S8" s="773"/>
      <c r="T8" s="774"/>
    </row>
    <row r="9" spans="1:20" ht="114.75" customHeight="1">
      <c r="A9" s="657"/>
      <c r="B9" s="639" t="s">
        <v>691</v>
      </c>
      <c r="C9" s="937" t="str">
        <f>'ORÇAMENTO GERAL'!D9</f>
        <v>EXECUÇÃO DOS SERVIÇOS DE DRENAGEM URBANA E TERRAPLENAGEM NA NS. DO CARMO, PASS. KENEDY, PASS. UBIRATAN MACIEL E PASS. ALEGRE - BAIRRO COQUEIRO  - NO MUNICÍPIO DE ANANINDEUA - PA.</v>
      </c>
      <c r="D9" s="938"/>
      <c r="E9" s="938"/>
      <c r="F9" s="938"/>
      <c r="G9" s="938"/>
      <c r="H9" s="938"/>
      <c r="I9" s="938"/>
      <c r="J9" s="938"/>
      <c r="K9" s="938"/>
      <c r="L9" s="938"/>
      <c r="M9" s="938"/>
      <c r="N9" s="938"/>
      <c r="O9" s="938"/>
      <c r="P9" s="938"/>
      <c r="Q9" s="938"/>
      <c r="R9" s="938"/>
      <c r="S9" s="938"/>
      <c r="T9" s="939"/>
    </row>
    <row r="10" spans="1:20" ht="39.75" customHeight="1" thickBot="1">
      <c r="A10" s="640"/>
      <c r="B10" s="641"/>
      <c r="C10" s="641"/>
      <c r="D10" s="641"/>
      <c r="E10" s="641"/>
      <c r="F10" s="641"/>
      <c r="G10" s="641"/>
      <c r="H10" s="641"/>
      <c r="I10" s="641"/>
      <c r="J10" s="641"/>
      <c r="K10" s="641"/>
      <c r="L10" s="641"/>
      <c r="M10" s="641"/>
      <c r="N10" s="641"/>
      <c r="O10" s="641"/>
      <c r="P10" s="641"/>
      <c r="Q10" s="641"/>
      <c r="R10" s="641"/>
      <c r="S10" s="641"/>
      <c r="T10" s="642"/>
    </row>
    <row r="11" spans="1:20" s="565" customFormat="1" ht="78.75" customHeight="1" thickBot="1" thickTop="1">
      <c r="A11" s="918" t="s">
        <v>402</v>
      </c>
      <c r="B11" s="919"/>
      <c r="C11" s="919"/>
      <c r="D11" s="919"/>
      <c r="E11" s="919"/>
      <c r="F11" s="919"/>
      <c r="G11" s="919"/>
      <c r="H11" s="919"/>
      <c r="I11" s="919"/>
      <c r="J11" s="919"/>
      <c r="K11" s="919"/>
      <c r="L11" s="919"/>
      <c r="M11" s="919"/>
      <c r="N11" s="919"/>
      <c r="O11" s="919"/>
      <c r="P11" s="919"/>
      <c r="Q11" s="919"/>
      <c r="R11" s="919"/>
      <c r="S11" s="919"/>
      <c r="T11" s="920"/>
    </row>
    <row r="12" spans="1:20" ht="27.75" customHeight="1" thickBot="1" thickTop="1">
      <c r="A12" s="940"/>
      <c r="B12" s="941"/>
      <c r="C12" s="941"/>
      <c r="D12" s="941"/>
      <c r="E12" s="941"/>
      <c r="F12" s="941"/>
      <c r="G12" s="941"/>
      <c r="H12" s="941"/>
      <c r="I12" s="941"/>
      <c r="J12" s="941"/>
      <c r="K12" s="941"/>
      <c r="L12" s="941"/>
      <c r="M12" s="941"/>
      <c r="N12" s="941"/>
      <c r="O12" s="941"/>
      <c r="P12" s="941"/>
      <c r="Q12" s="941"/>
      <c r="R12" s="941"/>
      <c r="S12" s="941"/>
      <c r="T12" s="942"/>
    </row>
    <row r="13" spans="1:20" ht="39.75" customHeight="1">
      <c r="A13" s="923" t="s">
        <v>383</v>
      </c>
      <c r="B13" s="924"/>
      <c r="C13" s="926" t="s">
        <v>393</v>
      </c>
      <c r="D13" s="929" t="s">
        <v>391</v>
      </c>
      <c r="E13" s="953" t="s">
        <v>395</v>
      </c>
      <c r="F13" s="946"/>
      <c r="G13" s="954"/>
      <c r="H13" s="954"/>
      <c r="I13" s="948" t="s">
        <v>492</v>
      </c>
      <c r="J13" s="949"/>
      <c r="K13" s="950"/>
      <c r="L13" s="775" t="s">
        <v>493</v>
      </c>
      <c r="M13" s="945" t="s">
        <v>386</v>
      </c>
      <c r="N13" s="946"/>
      <c r="O13" s="946"/>
      <c r="P13" s="946"/>
      <c r="Q13" s="947"/>
      <c r="R13" s="951" t="s">
        <v>629</v>
      </c>
      <c r="S13" s="951" t="s">
        <v>731</v>
      </c>
      <c r="T13" s="943" t="s">
        <v>11</v>
      </c>
    </row>
    <row r="14" spans="1:20" ht="134.25" customHeight="1">
      <c r="A14" s="923"/>
      <c r="B14" s="924"/>
      <c r="C14" s="926"/>
      <c r="D14" s="929"/>
      <c r="E14" s="734" t="s">
        <v>391</v>
      </c>
      <c r="F14" s="735" t="s">
        <v>392</v>
      </c>
      <c r="G14" s="735" t="s">
        <v>714</v>
      </c>
      <c r="H14" s="761" t="s">
        <v>394</v>
      </c>
      <c r="I14" s="735" t="s">
        <v>397</v>
      </c>
      <c r="J14" s="736" t="s">
        <v>756</v>
      </c>
      <c r="K14" s="736" t="s">
        <v>755</v>
      </c>
      <c r="L14" s="737" t="s">
        <v>494</v>
      </c>
      <c r="M14" s="738" t="s">
        <v>400</v>
      </c>
      <c r="N14" s="738" t="s">
        <v>401</v>
      </c>
      <c r="O14" s="738" t="s">
        <v>390</v>
      </c>
      <c r="P14" s="738" t="s">
        <v>632</v>
      </c>
      <c r="Q14" s="739" t="s">
        <v>388</v>
      </c>
      <c r="R14" s="952"/>
      <c r="S14" s="952"/>
      <c r="T14" s="944"/>
    </row>
    <row r="15" spans="1:20" ht="93.75" customHeight="1">
      <c r="A15" s="914" t="s">
        <v>7</v>
      </c>
      <c r="B15" s="916" t="s">
        <v>389</v>
      </c>
      <c r="C15" s="927"/>
      <c r="D15" s="930"/>
      <c r="E15" s="740"/>
      <c r="F15" s="741">
        <v>0.1</v>
      </c>
      <c r="G15" s="741"/>
      <c r="H15" s="762"/>
      <c r="I15" s="770"/>
      <c r="J15" s="743"/>
      <c r="K15" s="771"/>
      <c r="L15" s="744"/>
      <c r="M15" s="742"/>
      <c r="N15" s="770"/>
      <c r="O15" s="770"/>
      <c r="P15" s="741"/>
      <c r="Q15" s="746">
        <v>5</v>
      </c>
      <c r="R15" s="747">
        <v>0.2</v>
      </c>
      <c r="S15" s="747">
        <v>0</v>
      </c>
      <c r="T15" s="748"/>
    </row>
    <row r="16" spans="1:20" ht="69.75" customHeight="1" thickBot="1">
      <c r="A16" s="955"/>
      <c r="B16" s="956"/>
      <c r="C16" s="749" t="s">
        <v>55</v>
      </c>
      <c r="D16" s="750" t="s">
        <v>58</v>
      </c>
      <c r="E16" s="751" t="s">
        <v>16</v>
      </c>
      <c r="F16" s="752" t="s">
        <v>396</v>
      </c>
      <c r="G16" s="752" t="s">
        <v>732</v>
      </c>
      <c r="H16" s="763" t="s">
        <v>733</v>
      </c>
      <c r="I16" s="752" t="s">
        <v>734</v>
      </c>
      <c r="J16" s="754" t="s">
        <v>735</v>
      </c>
      <c r="K16" s="753" t="s">
        <v>757</v>
      </c>
      <c r="L16" s="755" t="s">
        <v>758</v>
      </c>
      <c r="M16" s="756" t="s">
        <v>736</v>
      </c>
      <c r="N16" s="757" t="s">
        <v>759</v>
      </c>
      <c r="O16" s="757" t="s">
        <v>594</v>
      </c>
      <c r="P16" s="757" t="s">
        <v>760</v>
      </c>
      <c r="Q16" s="758" t="s">
        <v>761</v>
      </c>
      <c r="R16" s="759" t="s">
        <v>762</v>
      </c>
      <c r="S16" s="759" t="s">
        <v>737</v>
      </c>
      <c r="T16" s="760" t="s">
        <v>771</v>
      </c>
    </row>
    <row r="17" spans="1:41" ht="73.5" customHeight="1" thickBot="1" thickTop="1">
      <c r="A17" s="554"/>
      <c r="B17" s="555"/>
      <c r="C17" s="555"/>
      <c r="D17" s="555"/>
      <c r="E17" s="555"/>
      <c r="F17" s="555"/>
      <c r="G17" s="555"/>
      <c r="H17" s="555"/>
      <c r="I17" s="555"/>
      <c r="J17" s="555"/>
      <c r="K17" s="555"/>
      <c r="L17" s="555"/>
      <c r="M17" s="555"/>
      <c r="N17" s="555"/>
      <c r="O17" s="555"/>
      <c r="P17" s="555"/>
      <c r="Q17" s="555"/>
      <c r="R17" s="555"/>
      <c r="S17" s="555"/>
      <c r="T17" s="566"/>
      <c r="V17" s="556"/>
      <c r="W17" s="567" t="s">
        <v>572</v>
      </c>
      <c r="X17" s="567" t="s">
        <v>571</v>
      </c>
      <c r="Y17" s="567" t="s">
        <v>573</v>
      </c>
      <c r="Z17" s="567" t="s">
        <v>543</v>
      </c>
      <c r="AA17" s="567" t="s">
        <v>24</v>
      </c>
      <c r="AC17" s="567" t="s">
        <v>558</v>
      </c>
      <c r="AD17" s="567" t="s">
        <v>574</v>
      </c>
      <c r="AE17" s="567" t="s">
        <v>575</v>
      </c>
      <c r="AF17" s="567" t="s">
        <v>573</v>
      </c>
      <c r="AG17" s="567" t="s">
        <v>24</v>
      </c>
      <c r="AI17" s="568" t="str">
        <f>M14</f>
        <v>IMPRIMAÇAO (m²)</v>
      </c>
      <c r="AJ17" s="568" t="str">
        <f>N14</f>
        <v>PINT. LIG.  (m²)</v>
      </c>
      <c r="AK17" s="568" t="str">
        <f>P14</f>
        <v>CBUQ (m³)</v>
      </c>
      <c r="AL17" s="568" t="str">
        <f>Q14</f>
        <v>TRANSPORTE CBUQ</v>
      </c>
      <c r="AM17" s="568" t="s">
        <v>628</v>
      </c>
      <c r="AN17" s="568" t="str">
        <f>S13</f>
        <v>FRESAGEM (m²)</v>
      </c>
      <c r="AO17" s="567" t="s">
        <v>24</v>
      </c>
    </row>
    <row r="18" spans="1:41" ht="150" customHeight="1" thickTop="1">
      <c r="A18" s="722">
        <f>DADOS!A9</f>
        <v>1</v>
      </c>
      <c r="B18" s="723" t="str">
        <f>DADOS!B9</f>
        <v>PASS. NS. DO CARMO</v>
      </c>
      <c r="C18" s="724">
        <f>DADOS!E9</f>
        <v>553</v>
      </c>
      <c r="D18" s="725">
        <f>DADOS!F9</f>
        <v>6</v>
      </c>
      <c r="E18" s="725"/>
      <c r="F18" s="725"/>
      <c r="G18" s="725"/>
      <c r="H18" s="725"/>
      <c r="I18" s="725">
        <f>K18*0.43*0.1</f>
        <v>47.56</v>
      </c>
      <c r="J18" s="725">
        <f>C18*2</f>
        <v>1106</v>
      </c>
      <c r="K18" s="725">
        <f>C18*2</f>
        <v>1106</v>
      </c>
      <c r="L18" s="725">
        <f>F18+I18</f>
        <v>47.56</v>
      </c>
      <c r="M18" s="725"/>
      <c r="N18" s="725"/>
      <c r="O18" s="726"/>
      <c r="P18" s="725"/>
      <c r="Q18" s="727"/>
      <c r="R18" s="727">
        <f>((30%*C18)*(20%*D18)*$R$15*2)*0</f>
        <v>0</v>
      </c>
      <c r="S18" s="727">
        <f aca="true" t="shared" si="0" ref="S18:S23">C18*D18*0</f>
        <v>0</v>
      </c>
      <c r="T18" s="728">
        <f>C18*D18*30%</f>
        <v>995.4</v>
      </c>
      <c r="V18" s="557">
        <f aca="true" t="shared" si="1" ref="V18:V37">A18</f>
        <v>1</v>
      </c>
      <c r="W18" s="559">
        <f>'ORÇAMENTO GERAL'!$J$24</f>
        <v>334.94</v>
      </c>
      <c r="X18" s="559">
        <f>'ORÇAMENTO GERAL'!$J$29</f>
        <v>118.33</v>
      </c>
      <c r="Y18" s="559">
        <f>'ORÇAMENTO GERAL'!$J$25</f>
        <v>118.45</v>
      </c>
      <c r="Z18" s="559">
        <f>'ORÇAMENTO GERAL'!$J$28</f>
        <v>169.7</v>
      </c>
      <c r="AA18" s="559">
        <f>(F18*W18)+(H18*X18)+(F18*Y18)+(G18*Z18)</f>
        <v>0</v>
      </c>
      <c r="AC18" s="559">
        <f>'ORÇAMENTO GERAL'!$J$30</f>
        <v>19.65</v>
      </c>
      <c r="AD18" s="559">
        <f>'ORÇAMENTO GERAL'!$J$31</f>
        <v>60.11</v>
      </c>
      <c r="AE18" s="559">
        <f>'ORÇAMENTO GERAL'!$J$32</f>
        <v>47.92</v>
      </c>
      <c r="AF18" s="559">
        <f>'ORÇAMENTO GERAL'!$J$25</f>
        <v>118.45</v>
      </c>
      <c r="AG18" s="559">
        <f>(I18*AC18)+(K18*AD18)+(J18*AE18)+(I18*AF18)</f>
        <v>126049.22</v>
      </c>
      <c r="AI18" s="559">
        <f>'ORÇAMENTO GERAL'!$J$123</f>
        <v>13.36</v>
      </c>
      <c r="AJ18" s="559">
        <f>'ORÇAMENTO GERAL'!$J$124</f>
        <v>4.28</v>
      </c>
      <c r="AK18" s="559">
        <f>'ORÇAMENTO GERAL'!$J$127</f>
        <v>3336.89</v>
      </c>
      <c r="AL18" s="559">
        <f>'ORÇAMENTO GERAL'!$J$128</f>
        <v>3.07</v>
      </c>
      <c r="AM18" s="559">
        <f>'ORÇAMENTO GERAL'!$J$129</f>
        <v>259.22</v>
      </c>
      <c r="AN18" s="559">
        <f>'ORÇAMENTO GERAL'!$J$130</f>
        <v>9.41</v>
      </c>
      <c r="AO18" s="559">
        <f>(M18*AI18)+(N18*AJ18)+(P18*AK18)+(Q18*AL18)+(R18*AM18)+(S18*AN18)</f>
        <v>0</v>
      </c>
    </row>
    <row r="19" spans="1:41" s="560" customFormat="1" ht="150" customHeight="1">
      <c r="A19" s="729">
        <v>2</v>
      </c>
      <c r="B19" s="723" t="str">
        <f>DADOS!B10</f>
        <v>PASS. KENEDY</v>
      </c>
      <c r="C19" s="724">
        <f>DADOS!E10</f>
        <v>305</v>
      </c>
      <c r="D19" s="725">
        <f>DADOS!F10</f>
        <v>6</v>
      </c>
      <c r="E19" s="725"/>
      <c r="F19" s="725"/>
      <c r="G19" s="725"/>
      <c r="H19" s="725"/>
      <c r="I19" s="725">
        <f aca="true" t="shared" si="2" ref="I19:I37">K19*0.43*0.1</f>
        <v>26.23</v>
      </c>
      <c r="J19" s="725">
        <f aca="true" t="shared" si="3" ref="J19:J37">C19*2</f>
        <v>610</v>
      </c>
      <c r="K19" s="725">
        <f aca="true" t="shared" si="4" ref="K19:K37">C19*2</f>
        <v>610</v>
      </c>
      <c r="L19" s="725">
        <f aca="true" t="shared" si="5" ref="L19:L37">F19+I19</f>
        <v>26.23</v>
      </c>
      <c r="M19" s="725"/>
      <c r="N19" s="725"/>
      <c r="O19" s="726"/>
      <c r="P19" s="725"/>
      <c r="Q19" s="727"/>
      <c r="R19" s="727">
        <f>((30%*C19)*(20%*D19)*$R$15*2)*0</f>
        <v>0</v>
      </c>
      <c r="S19" s="727">
        <f t="shared" si="0"/>
        <v>0</v>
      </c>
      <c r="T19" s="730">
        <f>C19*D19*30%</f>
        <v>549</v>
      </c>
      <c r="V19" s="557">
        <f t="shared" si="1"/>
        <v>2</v>
      </c>
      <c r="W19" s="559">
        <f>'ORÇAMENTO GERAL'!$J$24</f>
        <v>334.94</v>
      </c>
      <c r="X19" s="559">
        <f>'ORÇAMENTO GERAL'!$J$29</f>
        <v>118.33</v>
      </c>
      <c r="Y19" s="559">
        <f>'ORÇAMENTO GERAL'!$J$25</f>
        <v>118.45</v>
      </c>
      <c r="Z19" s="559">
        <f>'ORÇAMENTO GERAL'!$J$28</f>
        <v>169.7</v>
      </c>
      <c r="AA19" s="559">
        <f aca="true" t="shared" si="6" ref="AA19:AA37">(F19*W19)+(H19*X19)+(F19*Y19)+(G19*Z19)</f>
        <v>0</v>
      </c>
      <c r="AC19" s="559">
        <f>'ORÇAMENTO GERAL'!$J$30</f>
        <v>19.65</v>
      </c>
      <c r="AD19" s="559">
        <f>'ORÇAMENTO GERAL'!$J$31</f>
        <v>60.11</v>
      </c>
      <c r="AE19" s="559">
        <f>'ORÇAMENTO GERAL'!$J$32</f>
        <v>47.92</v>
      </c>
      <c r="AF19" s="559">
        <f>'ORÇAMENTO GERAL'!$J$25</f>
        <v>118.45</v>
      </c>
      <c r="AG19" s="559">
        <f aca="true" t="shared" si="7" ref="AG19:AG37">(I19*AC19)+(K19*AD19)+(J19*AE19)+(I19*AF19)</f>
        <v>69520.66</v>
      </c>
      <c r="AI19" s="559">
        <f>'ORÇAMENTO GERAL'!$J$123</f>
        <v>13.36</v>
      </c>
      <c r="AJ19" s="559">
        <f>'ORÇAMENTO GERAL'!$J$124</f>
        <v>4.28</v>
      </c>
      <c r="AK19" s="559">
        <f>'ORÇAMENTO GERAL'!$J$127</f>
        <v>3336.89</v>
      </c>
      <c r="AL19" s="559">
        <f>'ORÇAMENTO GERAL'!$J$128</f>
        <v>3.07</v>
      </c>
      <c r="AM19" s="559">
        <f>'ORÇAMENTO GERAL'!$J$129</f>
        <v>259.22</v>
      </c>
      <c r="AN19" s="559">
        <f>'ORÇAMENTO GERAL'!$J$130</f>
        <v>9.41</v>
      </c>
      <c r="AO19" s="559">
        <f aca="true" t="shared" si="8" ref="AO19:AO37">(M19*AI19)+(N19*AJ19)+(P19*AK19)+(Q19*AL19)+(R19*AM19)+(S19*AN19)</f>
        <v>0</v>
      </c>
    </row>
    <row r="20" spans="1:41" s="560" customFormat="1" ht="150" customHeight="1">
      <c r="A20" s="722">
        <v>3</v>
      </c>
      <c r="B20" s="723" t="str">
        <f>DADOS!B11</f>
        <v>PASS. UBIRATAN MACIEL</v>
      </c>
      <c r="C20" s="724">
        <f>DADOS!E11</f>
        <v>300</v>
      </c>
      <c r="D20" s="725">
        <f>DADOS!F11</f>
        <v>6</v>
      </c>
      <c r="E20" s="725"/>
      <c r="F20" s="725"/>
      <c r="G20" s="725"/>
      <c r="H20" s="725"/>
      <c r="I20" s="725">
        <f t="shared" si="2"/>
        <v>25.8</v>
      </c>
      <c r="J20" s="725">
        <f t="shared" si="3"/>
        <v>600</v>
      </c>
      <c r="K20" s="725">
        <f t="shared" si="4"/>
        <v>600</v>
      </c>
      <c r="L20" s="725">
        <f t="shared" si="5"/>
        <v>25.8</v>
      </c>
      <c r="M20" s="725"/>
      <c r="N20" s="725"/>
      <c r="O20" s="726"/>
      <c r="P20" s="725"/>
      <c r="Q20" s="727"/>
      <c r="R20" s="727">
        <f>((30%*C20)*(20%*D20)*$R$15*2)*0</f>
        <v>0</v>
      </c>
      <c r="S20" s="727">
        <f t="shared" si="0"/>
        <v>0</v>
      </c>
      <c r="T20" s="730">
        <f>C20*D20*30%</f>
        <v>540</v>
      </c>
      <c r="V20" s="557">
        <f t="shared" si="1"/>
        <v>3</v>
      </c>
      <c r="W20" s="559">
        <f>'ORÇAMENTO GERAL'!$J$24</f>
        <v>334.94</v>
      </c>
      <c r="X20" s="559">
        <f>'ORÇAMENTO GERAL'!$J$29</f>
        <v>118.33</v>
      </c>
      <c r="Y20" s="559">
        <f>'ORÇAMENTO GERAL'!$J$25</f>
        <v>118.45</v>
      </c>
      <c r="Z20" s="559">
        <f>'ORÇAMENTO GERAL'!$J$28</f>
        <v>169.7</v>
      </c>
      <c r="AA20" s="559">
        <f t="shared" si="6"/>
        <v>0</v>
      </c>
      <c r="AC20" s="559">
        <f>'ORÇAMENTO GERAL'!$J$30</f>
        <v>19.65</v>
      </c>
      <c r="AD20" s="559">
        <f>'ORÇAMENTO GERAL'!$J$31</f>
        <v>60.11</v>
      </c>
      <c r="AE20" s="559">
        <f>'ORÇAMENTO GERAL'!$J$32</f>
        <v>47.92</v>
      </c>
      <c r="AF20" s="559">
        <f>'ORÇAMENTO GERAL'!$J$25</f>
        <v>118.45</v>
      </c>
      <c r="AG20" s="559">
        <f t="shared" si="7"/>
        <v>68380.98</v>
      </c>
      <c r="AI20" s="559">
        <f>'ORÇAMENTO GERAL'!$J$123</f>
        <v>13.36</v>
      </c>
      <c r="AJ20" s="559">
        <f>'ORÇAMENTO GERAL'!$J$124</f>
        <v>4.28</v>
      </c>
      <c r="AK20" s="559">
        <f>'ORÇAMENTO GERAL'!$J$127</f>
        <v>3336.89</v>
      </c>
      <c r="AL20" s="559">
        <f>'ORÇAMENTO GERAL'!$J$128</f>
        <v>3.07</v>
      </c>
      <c r="AM20" s="559">
        <f>'ORÇAMENTO GERAL'!$J$129</f>
        <v>259.22</v>
      </c>
      <c r="AN20" s="559">
        <f>'ORÇAMENTO GERAL'!$J$130</f>
        <v>9.41</v>
      </c>
      <c r="AO20" s="559">
        <f t="shared" si="8"/>
        <v>0</v>
      </c>
    </row>
    <row r="21" spans="1:41" s="560" customFormat="1" ht="150" customHeight="1" thickBot="1">
      <c r="A21" s="729">
        <v>4</v>
      </c>
      <c r="B21" s="723" t="str">
        <f>DADOS!B12</f>
        <v>PASS. ALEGRE </v>
      </c>
      <c r="C21" s="724">
        <f>DADOS!E12</f>
        <v>215</v>
      </c>
      <c r="D21" s="725">
        <f>DADOS!F12</f>
        <v>6</v>
      </c>
      <c r="E21" s="725"/>
      <c r="F21" s="725"/>
      <c r="G21" s="725"/>
      <c r="H21" s="725"/>
      <c r="I21" s="725">
        <f t="shared" si="2"/>
        <v>18.49</v>
      </c>
      <c r="J21" s="725">
        <f t="shared" si="3"/>
        <v>430</v>
      </c>
      <c r="K21" s="725">
        <f t="shared" si="4"/>
        <v>430</v>
      </c>
      <c r="L21" s="725">
        <f t="shared" si="5"/>
        <v>18.49</v>
      </c>
      <c r="M21" s="725"/>
      <c r="N21" s="725"/>
      <c r="O21" s="726"/>
      <c r="P21" s="725"/>
      <c r="Q21" s="727"/>
      <c r="R21" s="727">
        <f>((30%*C21)*(20%*D21)*$R$15*2)*0</f>
        <v>0</v>
      </c>
      <c r="S21" s="727">
        <f t="shared" si="0"/>
        <v>0</v>
      </c>
      <c r="T21" s="730">
        <f>C21*D21*30%</f>
        <v>387</v>
      </c>
      <c r="V21" s="557">
        <f t="shared" si="1"/>
        <v>4</v>
      </c>
      <c r="W21" s="559">
        <f>'ORÇAMENTO GERAL'!$J$24</f>
        <v>334.94</v>
      </c>
      <c r="X21" s="559">
        <f>'ORÇAMENTO GERAL'!$J$29</f>
        <v>118.33</v>
      </c>
      <c r="Y21" s="559">
        <f>'ORÇAMENTO GERAL'!$J$25</f>
        <v>118.45</v>
      </c>
      <c r="Z21" s="559">
        <f>'ORÇAMENTO GERAL'!$J$28</f>
        <v>169.7</v>
      </c>
      <c r="AA21" s="559">
        <f t="shared" si="6"/>
        <v>0</v>
      </c>
      <c r="AC21" s="559">
        <f>'ORÇAMENTO GERAL'!$J$30</f>
        <v>19.65</v>
      </c>
      <c r="AD21" s="559">
        <f>'ORÇAMENTO GERAL'!$J$31</f>
        <v>60.11</v>
      </c>
      <c r="AE21" s="559">
        <f>'ORÇAMENTO GERAL'!$J$32</f>
        <v>47.92</v>
      </c>
      <c r="AF21" s="559">
        <f>'ORÇAMENTO GERAL'!$J$25</f>
        <v>118.45</v>
      </c>
      <c r="AG21" s="559">
        <f t="shared" si="7"/>
        <v>49006.37</v>
      </c>
      <c r="AI21" s="559">
        <f>'ORÇAMENTO GERAL'!$J$123</f>
        <v>13.36</v>
      </c>
      <c r="AJ21" s="559">
        <f>'ORÇAMENTO GERAL'!$J$124</f>
        <v>4.28</v>
      </c>
      <c r="AK21" s="559">
        <f>'ORÇAMENTO GERAL'!$J$127</f>
        <v>3336.89</v>
      </c>
      <c r="AL21" s="559">
        <f>'ORÇAMENTO GERAL'!$J$128</f>
        <v>3.07</v>
      </c>
      <c r="AM21" s="559">
        <f>'ORÇAMENTO GERAL'!$J$129</f>
        <v>259.22</v>
      </c>
      <c r="AN21" s="559">
        <f>'ORÇAMENTO GERAL'!$J$130</f>
        <v>9.41</v>
      </c>
      <c r="AO21" s="559">
        <f t="shared" si="8"/>
        <v>0</v>
      </c>
    </row>
    <row r="22" spans="1:41" s="560" customFormat="1" ht="54.75" customHeight="1" hidden="1" thickBot="1">
      <c r="A22" s="722">
        <v>5</v>
      </c>
      <c r="B22" s="723">
        <f>DADOS!B13</f>
        <v>0</v>
      </c>
      <c r="C22" s="724">
        <f>DADOS!E13</f>
        <v>0</v>
      </c>
      <c r="D22" s="725">
        <f>DADOS!F13</f>
        <v>0</v>
      </c>
      <c r="E22" s="725"/>
      <c r="F22" s="725">
        <f aca="true" t="shared" si="9" ref="F22:F37">C22*E22*$F$15</f>
        <v>0</v>
      </c>
      <c r="G22" s="725">
        <f aca="true" t="shared" si="10" ref="G22:G37">F22*70%</f>
        <v>0</v>
      </c>
      <c r="H22" s="725">
        <f aca="true" t="shared" si="11" ref="H22:H37">C22*E22*2</f>
        <v>0</v>
      </c>
      <c r="I22" s="725">
        <f t="shared" si="2"/>
        <v>0</v>
      </c>
      <c r="J22" s="725">
        <f t="shared" si="3"/>
        <v>0</v>
      </c>
      <c r="K22" s="725">
        <f t="shared" si="4"/>
        <v>0</v>
      </c>
      <c r="L22" s="725">
        <f t="shared" si="5"/>
        <v>0</v>
      </c>
      <c r="M22" s="725">
        <f aca="true" t="shared" si="12" ref="M22:M37">C22*D22</f>
        <v>0</v>
      </c>
      <c r="N22" s="725">
        <f aca="true" t="shared" si="13" ref="N22:N37">C22*D22</f>
        <v>0</v>
      </c>
      <c r="O22" s="726">
        <v>0.035</v>
      </c>
      <c r="P22" s="725">
        <f aca="true" t="shared" si="14" ref="P22:P37">N22*O22</f>
        <v>0</v>
      </c>
      <c r="Q22" s="727">
        <f aca="true" t="shared" si="15" ref="Q22:Q37">P22*$Q$15</f>
        <v>0</v>
      </c>
      <c r="R22" s="727">
        <f>((30%*C22)*(20%*D22)*$R$15*2)*0</f>
        <v>0</v>
      </c>
      <c r="S22" s="727">
        <f t="shared" si="0"/>
        <v>0</v>
      </c>
      <c r="T22" s="730">
        <f>C22*D22*30%</f>
        <v>0</v>
      </c>
      <c r="V22" s="557">
        <f t="shared" si="1"/>
        <v>5</v>
      </c>
      <c r="W22" s="559">
        <f>'ORÇAMENTO GERAL'!$J$24</f>
        <v>334.94</v>
      </c>
      <c r="X22" s="559">
        <f>'ORÇAMENTO GERAL'!$J$29</f>
        <v>118.33</v>
      </c>
      <c r="Y22" s="559">
        <f>'ORÇAMENTO GERAL'!$J$25</f>
        <v>118.45</v>
      </c>
      <c r="Z22" s="559">
        <f>'ORÇAMENTO GERAL'!$J$28</f>
        <v>169.7</v>
      </c>
      <c r="AA22" s="559">
        <f t="shared" si="6"/>
        <v>0</v>
      </c>
      <c r="AC22" s="559">
        <f>'ORÇAMENTO GERAL'!$J$30</f>
        <v>19.65</v>
      </c>
      <c r="AD22" s="559">
        <f>'ORÇAMENTO GERAL'!$J$31</f>
        <v>60.11</v>
      </c>
      <c r="AE22" s="559">
        <f>'ORÇAMENTO GERAL'!$J$32</f>
        <v>47.92</v>
      </c>
      <c r="AF22" s="559">
        <f>'ORÇAMENTO GERAL'!$J$25</f>
        <v>118.45</v>
      </c>
      <c r="AG22" s="559">
        <f t="shared" si="7"/>
        <v>0</v>
      </c>
      <c r="AI22" s="559">
        <f>'ORÇAMENTO GERAL'!$J$123</f>
        <v>13.36</v>
      </c>
      <c r="AJ22" s="559">
        <f>'ORÇAMENTO GERAL'!$J$124</f>
        <v>4.28</v>
      </c>
      <c r="AK22" s="559">
        <f>'ORÇAMENTO GERAL'!$J$127</f>
        <v>3336.89</v>
      </c>
      <c r="AL22" s="559">
        <f>'ORÇAMENTO GERAL'!$J$128</f>
        <v>3.07</v>
      </c>
      <c r="AM22" s="559">
        <f>'ORÇAMENTO GERAL'!$J$129</f>
        <v>259.22</v>
      </c>
      <c r="AN22" s="559">
        <f>'ORÇAMENTO GERAL'!$J$130</f>
        <v>9.41</v>
      </c>
      <c r="AO22" s="559">
        <f t="shared" si="8"/>
        <v>0</v>
      </c>
    </row>
    <row r="23" spans="1:41" s="560" customFormat="1" ht="54.75" customHeight="1" hidden="1">
      <c r="A23" s="729">
        <v>6</v>
      </c>
      <c r="B23" s="723">
        <f>DADOS!B14</f>
        <v>0</v>
      </c>
      <c r="C23" s="724">
        <f>DADOS!E14</f>
        <v>0</v>
      </c>
      <c r="D23" s="725">
        <f>DADOS!F14</f>
        <v>0</v>
      </c>
      <c r="E23" s="725"/>
      <c r="F23" s="725">
        <f t="shared" si="9"/>
        <v>0</v>
      </c>
      <c r="G23" s="725">
        <f t="shared" si="10"/>
        <v>0</v>
      </c>
      <c r="H23" s="725">
        <f t="shared" si="11"/>
        <v>0</v>
      </c>
      <c r="I23" s="725">
        <f t="shared" si="2"/>
        <v>0</v>
      </c>
      <c r="J23" s="725">
        <f t="shared" si="3"/>
        <v>0</v>
      </c>
      <c r="K23" s="725">
        <f t="shared" si="4"/>
        <v>0</v>
      </c>
      <c r="L23" s="725">
        <f t="shared" si="5"/>
        <v>0</v>
      </c>
      <c r="M23" s="725">
        <f t="shared" si="12"/>
        <v>0</v>
      </c>
      <c r="N23" s="725">
        <f t="shared" si="13"/>
        <v>0</v>
      </c>
      <c r="O23" s="725">
        <v>0.03</v>
      </c>
      <c r="P23" s="725">
        <f t="shared" si="14"/>
        <v>0</v>
      </c>
      <c r="Q23" s="727">
        <f t="shared" si="15"/>
        <v>0</v>
      </c>
      <c r="R23" s="727">
        <f aca="true" t="shared" si="16" ref="R23:R37">(30%*C23)*(20%*D23)*$R$15*2</f>
        <v>0</v>
      </c>
      <c r="S23" s="727">
        <f t="shared" si="0"/>
        <v>0</v>
      </c>
      <c r="T23" s="730">
        <f aca="true" t="shared" si="17" ref="T23:T37">C23*D23</f>
        <v>0</v>
      </c>
      <c r="V23" s="557">
        <f t="shared" si="1"/>
        <v>6</v>
      </c>
      <c r="W23" s="559">
        <f>'ORÇAMENTO GERAL'!$J$24</f>
        <v>334.94</v>
      </c>
      <c r="X23" s="559">
        <f>'ORÇAMENTO GERAL'!$J$29</f>
        <v>118.33</v>
      </c>
      <c r="Y23" s="559">
        <f>'ORÇAMENTO GERAL'!$J$25</f>
        <v>118.45</v>
      </c>
      <c r="Z23" s="559">
        <f>'ORÇAMENTO GERAL'!$J$28</f>
        <v>169.7</v>
      </c>
      <c r="AA23" s="559">
        <f t="shared" si="6"/>
        <v>0</v>
      </c>
      <c r="AC23" s="559">
        <f>'ORÇAMENTO GERAL'!$J$30</f>
        <v>19.65</v>
      </c>
      <c r="AD23" s="559">
        <f>'ORÇAMENTO GERAL'!$J$31</f>
        <v>60.11</v>
      </c>
      <c r="AE23" s="559">
        <f>'ORÇAMENTO GERAL'!$J$32</f>
        <v>47.92</v>
      </c>
      <c r="AF23" s="559">
        <f>'ORÇAMENTO GERAL'!$J$25</f>
        <v>118.45</v>
      </c>
      <c r="AG23" s="559">
        <f t="shared" si="7"/>
        <v>0</v>
      </c>
      <c r="AI23" s="559">
        <f>'ORÇAMENTO GERAL'!$J$123</f>
        <v>13.36</v>
      </c>
      <c r="AJ23" s="559">
        <f>'ORÇAMENTO GERAL'!$J$124</f>
        <v>4.28</v>
      </c>
      <c r="AK23" s="559">
        <f>'ORÇAMENTO GERAL'!$J$127</f>
        <v>3336.89</v>
      </c>
      <c r="AL23" s="559">
        <f>'ORÇAMENTO GERAL'!$J$128</f>
        <v>3.07</v>
      </c>
      <c r="AM23" s="559">
        <f>'ORÇAMENTO GERAL'!$J$129</f>
        <v>259.22</v>
      </c>
      <c r="AN23" s="559">
        <f>'ORÇAMENTO GERAL'!$J$130</f>
        <v>9.41</v>
      </c>
      <c r="AO23" s="559">
        <f t="shared" si="8"/>
        <v>0</v>
      </c>
    </row>
    <row r="24" spans="1:41" s="560" customFormat="1" ht="54.75" customHeight="1" hidden="1">
      <c r="A24" s="722">
        <v>7</v>
      </c>
      <c r="B24" s="723">
        <f>DADOS!B15</f>
        <v>0</v>
      </c>
      <c r="C24" s="724">
        <f>DADOS!E15</f>
        <v>0</v>
      </c>
      <c r="D24" s="725">
        <f>DADOS!F15</f>
        <v>0</v>
      </c>
      <c r="E24" s="725"/>
      <c r="F24" s="725">
        <f t="shared" si="9"/>
        <v>0</v>
      </c>
      <c r="G24" s="725">
        <f t="shared" si="10"/>
        <v>0</v>
      </c>
      <c r="H24" s="725">
        <f t="shared" si="11"/>
        <v>0</v>
      </c>
      <c r="I24" s="725">
        <f t="shared" si="2"/>
        <v>0</v>
      </c>
      <c r="J24" s="725">
        <f t="shared" si="3"/>
        <v>0</v>
      </c>
      <c r="K24" s="725">
        <f t="shared" si="4"/>
        <v>0</v>
      </c>
      <c r="L24" s="725">
        <f t="shared" si="5"/>
        <v>0</v>
      </c>
      <c r="M24" s="725">
        <f t="shared" si="12"/>
        <v>0</v>
      </c>
      <c r="N24" s="725">
        <f t="shared" si="13"/>
        <v>0</v>
      </c>
      <c r="O24" s="725">
        <v>0.03</v>
      </c>
      <c r="P24" s="725">
        <f t="shared" si="14"/>
        <v>0</v>
      </c>
      <c r="Q24" s="727">
        <f t="shared" si="15"/>
        <v>0</v>
      </c>
      <c r="R24" s="727">
        <f t="shared" si="16"/>
        <v>0</v>
      </c>
      <c r="S24" s="727">
        <f aca="true" t="shared" si="18" ref="S24:S37">C24*D24</f>
        <v>0</v>
      </c>
      <c r="T24" s="730">
        <f t="shared" si="17"/>
        <v>0</v>
      </c>
      <c r="V24" s="557">
        <f t="shared" si="1"/>
        <v>7</v>
      </c>
      <c r="W24" s="559">
        <f>'ORÇAMENTO GERAL'!$J$24</f>
        <v>334.94</v>
      </c>
      <c r="X24" s="559">
        <f>'ORÇAMENTO GERAL'!$J$29</f>
        <v>118.33</v>
      </c>
      <c r="Y24" s="559">
        <f>'ORÇAMENTO GERAL'!$J$25</f>
        <v>118.45</v>
      </c>
      <c r="Z24" s="559">
        <f>'ORÇAMENTO GERAL'!$J$28</f>
        <v>169.7</v>
      </c>
      <c r="AA24" s="559">
        <f t="shared" si="6"/>
        <v>0</v>
      </c>
      <c r="AC24" s="559">
        <f>'ORÇAMENTO GERAL'!$J$30</f>
        <v>19.65</v>
      </c>
      <c r="AD24" s="559">
        <f>'ORÇAMENTO GERAL'!$J$31</f>
        <v>60.11</v>
      </c>
      <c r="AE24" s="559">
        <f>'ORÇAMENTO GERAL'!$J$32</f>
        <v>47.92</v>
      </c>
      <c r="AF24" s="559">
        <f>'ORÇAMENTO GERAL'!$J$25</f>
        <v>118.45</v>
      </c>
      <c r="AG24" s="559">
        <f t="shared" si="7"/>
        <v>0</v>
      </c>
      <c r="AI24" s="559">
        <f>'ORÇAMENTO GERAL'!$J$123</f>
        <v>13.36</v>
      </c>
      <c r="AJ24" s="559">
        <f>'ORÇAMENTO GERAL'!$J$124</f>
        <v>4.28</v>
      </c>
      <c r="AK24" s="559">
        <f>'ORÇAMENTO GERAL'!$J$127</f>
        <v>3336.89</v>
      </c>
      <c r="AL24" s="559">
        <f>'ORÇAMENTO GERAL'!$J$128</f>
        <v>3.07</v>
      </c>
      <c r="AM24" s="559">
        <f>'ORÇAMENTO GERAL'!$J$129</f>
        <v>259.22</v>
      </c>
      <c r="AN24" s="559">
        <f>'ORÇAMENTO GERAL'!$J$130</f>
        <v>9.41</v>
      </c>
      <c r="AO24" s="559">
        <f t="shared" si="8"/>
        <v>0</v>
      </c>
    </row>
    <row r="25" spans="1:41" ht="54.75" customHeight="1" hidden="1">
      <c r="A25" s="729">
        <v>8</v>
      </c>
      <c r="B25" s="723">
        <f>DADOS!B16</f>
        <v>0</v>
      </c>
      <c r="C25" s="724">
        <f>DADOS!E16</f>
        <v>0</v>
      </c>
      <c r="D25" s="725">
        <f>DADOS!F16</f>
        <v>0</v>
      </c>
      <c r="E25" s="725"/>
      <c r="F25" s="725">
        <f t="shared" si="9"/>
        <v>0</v>
      </c>
      <c r="G25" s="725">
        <f t="shared" si="10"/>
        <v>0</v>
      </c>
      <c r="H25" s="725">
        <f t="shared" si="11"/>
        <v>0</v>
      </c>
      <c r="I25" s="725">
        <f t="shared" si="2"/>
        <v>0</v>
      </c>
      <c r="J25" s="725">
        <f t="shared" si="3"/>
        <v>0</v>
      </c>
      <c r="K25" s="725">
        <f t="shared" si="4"/>
        <v>0</v>
      </c>
      <c r="L25" s="725">
        <f t="shared" si="5"/>
        <v>0</v>
      </c>
      <c r="M25" s="725">
        <f t="shared" si="12"/>
        <v>0</v>
      </c>
      <c r="N25" s="725">
        <f t="shared" si="13"/>
        <v>0</v>
      </c>
      <c r="O25" s="725">
        <v>0.03</v>
      </c>
      <c r="P25" s="725">
        <f t="shared" si="14"/>
        <v>0</v>
      </c>
      <c r="Q25" s="727">
        <f t="shared" si="15"/>
        <v>0</v>
      </c>
      <c r="R25" s="727">
        <f t="shared" si="16"/>
        <v>0</v>
      </c>
      <c r="S25" s="727">
        <f t="shared" si="18"/>
        <v>0</v>
      </c>
      <c r="T25" s="730">
        <f t="shared" si="17"/>
        <v>0</v>
      </c>
      <c r="V25" s="557">
        <f t="shared" si="1"/>
        <v>8</v>
      </c>
      <c r="W25" s="559">
        <f>'ORÇAMENTO GERAL'!$J$24</f>
        <v>334.94</v>
      </c>
      <c r="X25" s="559">
        <f>'ORÇAMENTO GERAL'!$J$29</f>
        <v>118.33</v>
      </c>
      <c r="Y25" s="559">
        <f>'ORÇAMENTO GERAL'!$J$25</f>
        <v>118.45</v>
      </c>
      <c r="Z25" s="559">
        <f>'ORÇAMENTO GERAL'!$J$28</f>
        <v>169.7</v>
      </c>
      <c r="AA25" s="559">
        <f t="shared" si="6"/>
        <v>0</v>
      </c>
      <c r="AC25" s="559">
        <f>'ORÇAMENTO GERAL'!$J$30</f>
        <v>19.65</v>
      </c>
      <c r="AD25" s="559">
        <f>'ORÇAMENTO GERAL'!$J$31</f>
        <v>60.11</v>
      </c>
      <c r="AE25" s="559">
        <f>'ORÇAMENTO GERAL'!$J$32</f>
        <v>47.92</v>
      </c>
      <c r="AF25" s="559">
        <f>'ORÇAMENTO GERAL'!$J$25</f>
        <v>118.45</v>
      </c>
      <c r="AG25" s="559">
        <f t="shared" si="7"/>
        <v>0</v>
      </c>
      <c r="AI25" s="559">
        <f>'ORÇAMENTO GERAL'!$J$123</f>
        <v>13.36</v>
      </c>
      <c r="AJ25" s="559">
        <f>'ORÇAMENTO GERAL'!$J$124</f>
        <v>4.28</v>
      </c>
      <c r="AK25" s="559">
        <f>'ORÇAMENTO GERAL'!$J$127</f>
        <v>3336.89</v>
      </c>
      <c r="AL25" s="559">
        <f>'ORÇAMENTO GERAL'!$J$128</f>
        <v>3.07</v>
      </c>
      <c r="AM25" s="559">
        <f>'ORÇAMENTO GERAL'!$J$129</f>
        <v>259.22</v>
      </c>
      <c r="AN25" s="559">
        <f>'ORÇAMENTO GERAL'!$J$130</f>
        <v>9.41</v>
      </c>
      <c r="AO25" s="559">
        <f t="shared" si="8"/>
        <v>0</v>
      </c>
    </row>
    <row r="26" spans="1:41" ht="54.75" customHeight="1" hidden="1">
      <c r="A26" s="722">
        <v>9</v>
      </c>
      <c r="B26" s="723">
        <f>DADOS!B17</f>
        <v>0</v>
      </c>
      <c r="C26" s="724">
        <f>DADOS!E17</f>
        <v>0</v>
      </c>
      <c r="D26" s="725">
        <f>DADOS!F17</f>
        <v>0</v>
      </c>
      <c r="E26" s="725"/>
      <c r="F26" s="725">
        <f t="shared" si="9"/>
        <v>0</v>
      </c>
      <c r="G26" s="725">
        <f t="shared" si="10"/>
        <v>0</v>
      </c>
      <c r="H26" s="725">
        <f t="shared" si="11"/>
        <v>0</v>
      </c>
      <c r="I26" s="725">
        <f t="shared" si="2"/>
        <v>0</v>
      </c>
      <c r="J26" s="725">
        <f t="shared" si="3"/>
        <v>0</v>
      </c>
      <c r="K26" s="725">
        <f t="shared" si="4"/>
        <v>0</v>
      </c>
      <c r="L26" s="725">
        <f t="shared" si="5"/>
        <v>0</v>
      </c>
      <c r="M26" s="725">
        <f t="shared" si="12"/>
        <v>0</v>
      </c>
      <c r="N26" s="725">
        <f t="shared" si="13"/>
        <v>0</v>
      </c>
      <c r="O26" s="725">
        <v>0.03</v>
      </c>
      <c r="P26" s="725">
        <f t="shared" si="14"/>
        <v>0</v>
      </c>
      <c r="Q26" s="727">
        <f t="shared" si="15"/>
        <v>0</v>
      </c>
      <c r="R26" s="727">
        <f t="shared" si="16"/>
        <v>0</v>
      </c>
      <c r="S26" s="727">
        <f t="shared" si="18"/>
        <v>0</v>
      </c>
      <c r="T26" s="730">
        <f t="shared" si="17"/>
        <v>0</v>
      </c>
      <c r="V26" s="557">
        <f t="shared" si="1"/>
        <v>9</v>
      </c>
      <c r="W26" s="559">
        <f>'ORÇAMENTO GERAL'!$J$24</f>
        <v>334.94</v>
      </c>
      <c r="X26" s="559">
        <f>'ORÇAMENTO GERAL'!$J$29</f>
        <v>118.33</v>
      </c>
      <c r="Y26" s="559">
        <f>'ORÇAMENTO GERAL'!$J$25</f>
        <v>118.45</v>
      </c>
      <c r="Z26" s="559">
        <f>'ORÇAMENTO GERAL'!$J$28</f>
        <v>169.7</v>
      </c>
      <c r="AA26" s="559">
        <f t="shared" si="6"/>
        <v>0</v>
      </c>
      <c r="AC26" s="559">
        <f>'ORÇAMENTO GERAL'!$J$30</f>
        <v>19.65</v>
      </c>
      <c r="AD26" s="559">
        <f>'ORÇAMENTO GERAL'!$J$31</f>
        <v>60.11</v>
      </c>
      <c r="AE26" s="559">
        <f>'ORÇAMENTO GERAL'!$J$32</f>
        <v>47.92</v>
      </c>
      <c r="AF26" s="559">
        <f>'ORÇAMENTO GERAL'!$J$25</f>
        <v>118.45</v>
      </c>
      <c r="AG26" s="559">
        <f t="shared" si="7"/>
        <v>0</v>
      </c>
      <c r="AI26" s="559">
        <f>'ORÇAMENTO GERAL'!$J$123</f>
        <v>13.36</v>
      </c>
      <c r="AJ26" s="559">
        <f>'ORÇAMENTO GERAL'!$J$124</f>
        <v>4.28</v>
      </c>
      <c r="AK26" s="559">
        <f>'ORÇAMENTO GERAL'!$J$127</f>
        <v>3336.89</v>
      </c>
      <c r="AL26" s="559">
        <f>'ORÇAMENTO GERAL'!$J$128</f>
        <v>3.07</v>
      </c>
      <c r="AM26" s="559">
        <f>'ORÇAMENTO GERAL'!$J$129</f>
        <v>259.22</v>
      </c>
      <c r="AN26" s="559">
        <f>'ORÇAMENTO GERAL'!$J$130</f>
        <v>9.41</v>
      </c>
      <c r="AO26" s="559">
        <f t="shared" si="8"/>
        <v>0</v>
      </c>
    </row>
    <row r="27" spans="1:41" ht="54.75" customHeight="1" hidden="1">
      <c r="A27" s="729">
        <v>10</v>
      </c>
      <c r="B27" s="723">
        <f>DADOS!B18</f>
        <v>0</v>
      </c>
      <c r="C27" s="724">
        <f>DADOS!E18</f>
        <v>0</v>
      </c>
      <c r="D27" s="725">
        <f>DADOS!F18</f>
        <v>0</v>
      </c>
      <c r="E27" s="725"/>
      <c r="F27" s="725">
        <f t="shared" si="9"/>
        <v>0</v>
      </c>
      <c r="G27" s="725">
        <f t="shared" si="10"/>
        <v>0</v>
      </c>
      <c r="H27" s="725">
        <f t="shared" si="11"/>
        <v>0</v>
      </c>
      <c r="I27" s="725">
        <f t="shared" si="2"/>
        <v>0</v>
      </c>
      <c r="J27" s="725">
        <f t="shared" si="3"/>
        <v>0</v>
      </c>
      <c r="K27" s="725">
        <f t="shared" si="4"/>
        <v>0</v>
      </c>
      <c r="L27" s="725">
        <f t="shared" si="5"/>
        <v>0</v>
      </c>
      <c r="M27" s="725">
        <f t="shared" si="12"/>
        <v>0</v>
      </c>
      <c r="N27" s="725">
        <f t="shared" si="13"/>
        <v>0</v>
      </c>
      <c r="O27" s="725">
        <v>0.03</v>
      </c>
      <c r="P27" s="725">
        <f t="shared" si="14"/>
        <v>0</v>
      </c>
      <c r="Q27" s="727">
        <f t="shared" si="15"/>
        <v>0</v>
      </c>
      <c r="R27" s="727">
        <f t="shared" si="16"/>
        <v>0</v>
      </c>
      <c r="S27" s="727">
        <f t="shared" si="18"/>
        <v>0</v>
      </c>
      <c r="T27" s="730">
        <f t="shared" si="17"/>
        <v>0</v>
      </c>
      <c r="V27" s="557">
        <f t="shared" si="1"/>
        <v>10</v>
      </c>
      <c r="W27" s="559">
        <f>'ORÇAMENTO GERAL'!$J$24</f>
        <v>334.94</v>
      </c>
      <c r="X27" s="559">
        <f>'ORÇAMENTO GERAL'!$J$29</f>
        <v>118.33</v>
      </c>
      <c r="Y27" s="559">
        <f>'ORÇAMENTO GERAL'!$J$25</f>
        <v>118.45</v>
      </c>
      <c r="Z27" s="559">
        <f>'ORÇAMENTO GERAL'!$J$28</f>
        <v>169.7</v>
      </c>
      <c r="AA27" s="559">
        <f t="shared" si="6"/>
        <v>0</v>
      </c>
      <c r="AC27" s="559">
        <f>'ORÇAMENTO GERAL'!$J$30</f>
        <v>19.65</v>
      </c>
      <c r="AD27" s="559">
        <f>'ORÇAMENTO GERAL'!$J$31</f>
        <v>60.11</v>
      </c>
      <c r="AE27" s="559">
        <f>'ORÇAMENTO GERAL'!$J$32</f>
        <v>47.92</v>
      </c>
      <c r="AF27" s="559">
        <f>'ORÇAMENTO GERAL'!$J$25</f>
        <v>118.45</v>
      </c>
      <c r="AG27" s="559">
        <f t="shared" si="7"/>
        <v>0</v>
      </c>
      <c r="AI27" s="559">
        <f>'ORÇAMENTO GERAL'!$J$123</f>
        <v>13.36</v>
      </c>
      <c r="AJ27" s="559">
        <f>'ORÇAMENTO GERAL'!$J$124</f>
        <v>4.28</v>
      </c>
      <c r="AK27" s="559">
        <f>'ORÇAMENTO GERAL'!$J$127</f>
        <v>3336.89</v>
      </c>
      <c r="AL27" s="559">
        <f>'ORÇAMENTO GERAL'!$J$128</f>
        <v>3.07</v>
      </c>
      <c r="AM27" s="559">
        <f>'ORÇAMENTO GERAL'!$J$129</f>
        <v>259.22</v>
      </c>
      <c r="AN27" s="559">
        <f>'ORÇAMENTO GERAL'!$J$130</f>
        <v>9.41</v>
      </c>
      <c r="AO27" s="559">
        <f t="shared" si="8"/>
        <v>0</v>
      </c>
    </row>
    <row r="28" spans="1:41" ht="54.75" customHeight="1" hidden="1">
      <c r="A28" s="722">
        <v>11</v>
      </c>
      <c r="B28" s="723">
        <f>DADOS!B19</f>
        <v>0</v>
      </c>
      <c r="C28" s="724">
        <f>DADOS!E19</f>
        <v>0</v>
      </c>
      <c r="D28" s="725">
        <f>DADOS!F19</f>
        <v>0</v>
      </c>
      <c r="E28" s="725"/>
      <c r="F28" s="725">
        <f t="shared" si="9"/>
        <v>0</v>
      </c>
      <c r="G28" s="725">
        <f t="shared" si="10"/>
        <v>0</v>
      </c>
      <c r="H28" s="725">
        <f t="shared" si="11"/>
        <v>0</v>
      </c>
      <c r="I28" s="725">
        <f t="shared" si="2"/>
        <v>0</v>
      </c>
      <c r="J28" s="725">
        <f t="shared" si="3"/>
        <v>0</v>
      </c>
      <c r="K28" s="725">
        <f t="shared" si="4"/>
        <v>0</v>
      </c>
      <c r="L28" s="725">
        <f t="shared" si="5"/>
        <v>0</v>
      </c>
      <c r="M28" s="725">
        <f t="shared" si="12"/>
        <v>0</v>
      </c>
      <c r="N28" s="725">
        <f t="shared" si="13"/>
        <v>0</v>
      </c>
      <c r="O28" s="725">
        <v>0.03</v>
      </c>
      <c r="P28" s="725">
        <f t="shared" si="14"/>
        <v>0</v>
      </c>
      <c r="Q28" s="727">
        <f t="shared" si="15"/>
        <v>0</v>
      </c>
      <c r="R28" s="727">
        <f t="shared" si="16"/>
        <v>0</v>
      </c>
      <c r="S28" s="727">
        <f t="shared" si="18"/>
        <v>0</v>
      </c>
      <c r="T28" s="730">
        <f t="shared" si="17"/>
        <v>0</v>
      </c>
      <c r="V28" s="557">
        <f t="shared" si="1"/>
        <v>11</v>
      </c>
      <c r="W28" s="559">
        <f>'ORÇAMENTO GERAL'!$J$24</f>
        <v>334.94</v>
      </c>
      <c r="X28" s="559">
        <f>'ORÇAMENTO GERAL'!$J$29</f>
        <v>118.33</v>
      </c>
      <c r="Y28" s="559">
        <f>'ORÇAMENTO GERAL'!$J$25</f>
        <v>118.45</v>
      </c>
      <c r="Z28" s="559">
        <f>'ORÇAMENTO GERAL'!$J$28</f>
        <v>169.7</v>
      </c>
      <c r="AA28" s="559">
        <f t="shared" si="6"/>
        <v>0</v>
      </c>
      <c r="AC28" s="559">
        <f>'ORÇAMENTO GERAL'!$J$30</f>
        <v>19.65</v>
      </c>
      <c r="AD28" s="559">
        <f>'ORÇAMENTO GERAL'!$J$31</f>
        <v>60.11</v>
      </c>
      <c r="AE28" s="559">
        <f>'ORÇAMENTO GERAL'!$J$32</f>
        <v>47.92</v>
      </c>
      <c r="AF28" s="559">
        <f>'ORÇAMENTO GERAL'!$J$25</f>
        <v>118.45</v>
      </c>
      <c r="AG28" s="559">
        <f t="shared" si="7"/>
        <v>0</v>
      </c>
      <c r="AI28" s="559">
        <f>'ORÇAMENTO GERAL'!$J$123</f>
        <v>13.36</v>
      </c>
      <c r="AJ28" s="559">
        <f>'ORÇAMENTO GERAL'!$J$124</f>
        <v>4.28</v>
      </c>
      <c r="AK28" s="559">
        <f>'ORÇAMENTO GERAL'!$J$127</f>
        <v>3336.89</v>
      </c>
      <c r="AL28" s="559">
        <f>'ORÇAMENTO GERAL'!$J$128</f>
        <v>3.07</v>
      </c>
      <c r="AM28" s="559">
        <f>'ORÇAMENTO GERAL'!$J$129</f>
        <v>259.22</v>
      </c>
      <c r="AN28" s="559">
        <f>'ORÇAMENTO GERAL'!$J$130</f>
        <v>9.41</v>
      </c>
      <c r="AO28" s="559">
        <f t="shared" si="8"/>
        <v>0</v>
      </c>
    </row>
    <row r="29" spans="1:41" s="560" customFormat="1" ht="54.75" customHeight="1" hidden="1">
      <c r="A29" s="729">
        <v>12</v>
      </c>
      <c r="B29" s="723">
        <f>DADOS!B20</f>
        <v>0</v>
      </c>
      <c r="C29" s="724">
        <f>DADOS!E20</f>
        <v>0</v>
      </c>
      <c r="D29" s="725">
        <f>DADOS!F20</f>
        <v>0</v>
      </c>
      <c r="E29" s="725"/>
      <c r="F29" s="725">
        <f t="shared" si="9"/>
        <v>0</v>
      </c>
      <c r="G29" s="725">
        <f t="shared" si="10"/>
        <v>0</v>
      </c>
      <c r="H29" s="725">
        <f t="shared" si="11"/>
        <v>0</v>
      </c>
      <c r="I29" s="725">
        <f t="shared" si="2"/>
        <v>0</v>
      </c>
      <c r="J29" s="725">
        <f t="shared" si="3"/>
        <v>0</v>
      </c>
      <c r="K29" s="725">
        <f t="shared" si="4"/>
        <v>0</v>
      </c>
      <c r="L29" s="725">
        <f t="shared" si="5"/>
        <v>0</v>
      </c>
      <c r="M29" s="725">
        <f t="shared" si="12"/>
        <v>0</v>
      </c>
      <c r="N29" s="725">
        <f t="shared" si="13"/>
        <v>0</v>
      </c>
      <c r="O29" s="725">
        <v>0.03</v>
      </c>
      <c r="P29" s="725">
        <f t="shared" si="14"/>
        <v>0</v>
      </c>
      <c r="Q29" s="727">
        <f t="shared" si="15"/>
        <v>0</v>
      </c>
      <c r="R29" s="727">
        <f t="shared" si="16"/>
        <v>0</v>
      </c>
      <c r="S29" s="727">
        <f t="shared" si="18"/>
        <v>0</v>
      </c>
      <c r="T29" s="730">
        <f t="shared" si="17"/>
        <v>0</v>
      </c>
      <c r="V29" s="557">
        <f t="shared" si="1"/>
        <v>12</v>
      </c>
      <c r="W29" s="559">
        <f>'ORÇAMENTO GERAL'!$J$24</f>
        <v>334.94</v>
      </c>
      <c r="X29" s="559">
        <f>'ORÇAMENTO GERAL'!$J$29</f>
        <v>118.33</v>
      </c>
      <c r="Y29" s="559">
        <f>'ORÇAMENTO GERAL'!$J$25</f>
        <v>118.45</v>
      </c>
      <c r="Z29" s="559">
        <f>'ORÇAMENTO GERAL'!$J$28</f>
        <v>169.7</v>
      </c>
      <c r="AA29" s="559">
        <f t="shared" si="6"/>
        <v>0</v>
      </c>
      <c r="AC29" s="559">
        <f>'ORÇAMENTO GERAL'!$J$30</f>
        <v>19.65</v>
      </c>
      <c r="AD29" s="559">
        <f>'ORÇAMENTO GERAL'!$J$31</f>
        <v>60.11</v>
      </c>
      <c r="AE29" s="559">
        <f>'ORÇAMENTO GERAL'!$J$32</f>
        <v>47.92</v>
      </c>
      <c r="AF29" s="559">
        <f>'ORÇAMENTO GERAL'!$J$25</f>
        <v>118.45</v>
      </c>
      <c r="AG29" s="559">
        <f t="shared" si="7"/>
        <v>0</v>
      </c>
      <c r="AI29" s="559">
        <f>'ORÇAMENTO GERAL'!$J$123</f>
        <v>13.36</v>
      </c>
      <c r="AJ29" s="559">
        <f>'ORÇAMENTO GERAL'!$J$124</f>
        <v>4.28</v>
      </c>
      <c r="AK29" s="559">
        <f>'ORÇAMENTO GERAL'!$J$127</f>
        <v>3336.89</v>
      </c>
      <c r="AL29" s="559">
        <f>'ORÇAMENTO GERAL'!$J$128</f>
        <v>3.07</v>
      </c>
      <c r="AM29" s="559">
        <f>'ORÇAMENTO GERAL'!$J$129</f>
        <v>259.22</v>
      </c>
      <c r="AN29" s="559">
        <f>'ORÇAMENTO GERAL'!$J$130</f>
        <v>9.41</v>
      </c>
      <c r="AO29" s="559">
        <f t="shared" si="8"/>
        <v>0</v>
      </c>
    </row>
    <row r="30" spans="1:41" s="560" customFormat="1" ht="54.75" customHeight="1" hidden="1">
      <c r="A30" s="722">
        <v>13</v>
      </c>
      <c r="B30" s="723">
        <f>DADOS!B21</f>
        <v>0</v>
      </c>
      <c r="C30" s="724">
        <f>DADOS!E21</f>
        <v>0</v>
      </c>
      <c r="D30" s="725">
        <f>DADOS!F21</f>
        <v>0</v>
      </c>
      <c r="E30" s="725"/>
      <c r="F30" s="725">
        <f t="shared" si="9"/>
        <v>0</v>
      </c>
      <c r="G30" s="725">
        <f t="shared" si="10"/>
        <v>0</v>
      </c>
      <c r="H30" s="725">
        <f t="shared" si="11"/>
        <v>0</v>
      </c>
      <c r="I30" s="725">
        <f t="shared" si="2"/>
        <v>0</v>
      </c>
      <c r="J30" s="725">
        <f t="shared" si="3"/>
        <v>0</v>
      </c>
      <c r="K30" s="725">
        <f t="shared" si="4"/>
        <v>0</v>
      </c>
      <c r="L30" s="725">
        <f t="shared" si="5"/>
        <v>0</v>
      </c>
      <c r="M30" s="725">
        <f t="shared" si="12"/>
        <v>0</v>
      </c>
      <c r="N30" s="725">
        <f t="shared" si="13"/>
        <v>0</v>
      </c>
      <c r="O30" s="725">
        <v>0.03</v>
      </c>
      <c r="P30" s="725">
        <f t="shared" si="14"/>
        <v>0</v>
      </c>
      <c r="Q30" s="727">
        <f t="shared" si="15"/>
        <v>0</v>
      </c>
      <c r="R30" s="727">
        <f t="shared" si="16"/>
        <v>0</v>
      </c>
      <c r="S30" s="727">
        <f t="shared" si="18"/>
        <v>0</v>
      </c>
      <c r="T30" s="730">
        <f t="shared" si="17"/>
        <v>0</v>
      </c>
      <c r="V30" s="557">
        <f t="shared" si="1"/>
        <v>13</v>
      </c>
      <c r="W30" s="559">
        <f>'ORÇAMENTO GERAL'!$J$24</f>
        <v>334.94</v>
      </c>
      <c r="X30" s="559">
        <f>'ORÇAMENTO GERAL'!$J$29</f>
        <v>118.33</v>
      </c>
      <c r="Y30" s="559">
        <f>'ORÇAMENTO GERAL'!$J$25</f>
        <v>118.45</v>
      </c>
      <c r="Z30" s="559">
        <f>'ORÇAMENTO GERAL'!$J$28</f>
        <v>169.7</v>
      </c>
      <c r="AA30" s="559">
        <f t="shared" si="6"/>
        <v>0</v>
      </c>
      <c r="AC30" s="559">
        <f>'ORÇAMENTO GERAL'!$J$30</f>
        <v>19.65</v>
      </c>
      <c r="AD30" s="559">
        <f>'ORÇAMENTO GERAL'!$J$31</f>
        <v>60.11</v>
      </c>
      <c r="AE30" s="559">
        <f>'ORÇAMENTO GERAL'!$J$32</f>
        <v>47.92</v>
      </c>
      <c r="AF30" s="559">
        <f>'ORÇAMENTO GERAL'!$J$25</f>
        <v>118.45</v>
      </c>
      <c r="AG30" s="559">
        <f t="shared" si="7"/>
        <v>0</v>
      </c>
      <c r="AI30" s="559">
        <f>'ORÇAMENTO GERAL'!$J$123</f>
        <v>13.36</v>
      </c>
      <c r="AJ30" s="559">
        <f>'ORÇAMENTO GERAL'!$J$124</f>
        <v>4.28</v>
      </c>
      <c r="AK30" s="559">
        <f>'ORÇAMENTO GERAL'!$J$127</f>
        <v>3336.89</v>
      </c>
      <c r="AL30" s="559">
        <f>'ORÇAMENTO GERAL'!$J$128</f>
        <v>3.07</v>
      </c>
      <c r="AM30" s="559">
        <f>'ORÇAMENTO GERAL'!$J$129</f>
        <v>259.22</v>
      </c>
      <c r="AN30" s="559">
        <f>'ORÇAMENTO GERAL'!$J$130</f>
        <v>9.41</v>
      </c>
      <c r="AO30" s="559">
        <f t="shared" si="8"/>
        <v>0</v>
      </c>
    </row>
    <row r="31" spans="1:41" s="560" customFormat="1" ht="54.75" customHeight="1" hidden="1">
      <c r="A31" s="729">
        <v>14</v>
      </c>
      <c r="B31" s="723">
        <f>DADOS!B22</f>
        <v>0</v>
      </c>
      <c r="C31" s="724">
        <f>DADOS!E22</f>
        <v>0</v>
      </c>
      <c r="D31" s="725">
        <f>DADOS!F22</f>
        <v>0</v>
      </c>
      <c r="E31" s="725"/>
      <c r="F31" s="725">
        <f t="shared" si="9"/>
        <v>0</v>
      </c>
      <c r="G31" s="725">
        <f t="shared" si="10"/>
        <v>0</v>
      </c>
      <c r="H31" s="725">
        <f t="shared" si="11"/>
        <v>0</v>
      </c>
      <c r="I31" s="725">
        <f t="shared" si="2"/>
        <v>0</v>
      </c>
      <c r="J31" s="725">
        <f t="shared" si="3"/>
        <v>0</v>
      </c>
      <c r="K31" s="725">
        <f t="shared" si="4"/>
        <v>0</v>
      </c>
      <c r="L31" s="725">
        <f t="shared" si="5"/>
        <v>0</v>
      </c>
      <c r="M31" s="725">
        <f t="shared" si="12"/>
        <v>0</v>
      </c>
      <c r="N31" s="725">
        <f t="shared" si="13"/>
        <v>0</v>
      </c>
      <c r="O31" s="725">
        <v>0.03</v>
      </c>
      <c r="P31" s="725">
        <f t="shared" si="14"/>
        <v>0</v>
      </c>
      <c r="Q31" s="727">
        <f t="shared" si="15"/>
        <v>0</v>
      </c>
      <c r="R31" s="727">
        <f t="shared" si="16"/>
        <v>0</v>
      </c>
      <c r="S31" s="727">
        <f t="shared" si="18"/>
        <v>0</v>
      </c>
      <c r="T31" s="730">
        <f t="shared" si="17"/>
        <v>0</v>
      </c>
      <c r="V31" s="557">
        <f t="shared" si="1"/>
        <v>14</v>
      </c>
      <c r="W31" s="559">
        <f>'ORÇAMENTO GERAL'!$J$24</f>
        <v>334.94</v>
      </c>
      <c r="X31" s="559">
        <f>'ORÇAMENTO GERAL'!$J$29</f>
        <v>118.33</v>
      </c>
      <c r="Y31" s="559">
        <f>'ORÇAMENTO GERAL'!$J$25</f>
        <v>118.45</v>
      </c>
      <c r="Z31" s="559">
        <f>'ORÇAMENTO GERAL'!$J$28</f>
        <v>169.7</v>
      </c>
      <c r="AA31" s="559">
        <f t="shared" si="6"/>
        <v>0</v>
      </c>
      <c r="AC31" s="559">
        <f>'ORÇAMENTO GERAL'!$J$30</f>
        <v>19.65</v>
      </c>
      <c r="AD31" s="559">
        <f>'ORÇAMENTO GERAL'!$J$31</f>
        <v>60.11</v>
      </c>
      <c r="AE31" s="559">
        <f>'ORÇAMENTO GERAL'!$J$32</f>
        <v>47.92</v>
      </c>
      <c r="AF31" s="559">
        <f>'ORÇAMENTO GERAL'!$J$25</f>
        <v>118.45</v>
      </c>
      <c r="AG31" s="559">
        <f t="shared" si="7"/>
        <v>0</v>
      </c>
      <c r="AI31" s="559">
        <f>'ORÇAMENTO GERAL'!$J$123</f>
        <v>13.36</v>
      </c>
      <c r="AJ31" s="559">
        <f>'ORÇAMENTO GERAL'!$J$124</f>
        <v>4.28</v>
      </c>
      <c r="AK31" s="559">
        <f>'ORÇAMENTO GERAL'!$J$127</f>
        <v>3336.89</v>
      </c>
      <c r="AL31" s="559">
        <f>'ORÇAMENTO GERAL'!$J$128</f>
        <v>3.07</v>
      </c>
      <c r="AM31" s="559">
        <f>'ORÇAMENTO GERAL'!$J$129</f>
        <v>259.22</v>
      </c>
      <c r="AN31" s="559">
        <f>'ORÇAMENTO GERAL'!$J$130</f>
        <v>9.41</v>
      </c>
      <c r="AO31" s="559">
        <f t="shared" si="8"/>
        <v>0</v>
      </c>
    </row>
    <row r="32" spans="1:41" s="560" customFormat="1" ht="54.75" customHeight="1" hidden="1">
      <c r="A32" s="722">
        <v>15</v>
      </c>
      <c r="B32" s="723">
        <f>DADOS!B23</f>
        <v>0</v>
      </c>
      <c r="C32" s="724">
        <f>DADOS!E23</f>
        <v>0</v>
      </c>
      <c r="D32" s="725">
        <f>DADOS!F23</f>
        <v>0</v>
      </c>
      <c r="E32" s="725"/>
      <c r="F32" s="725">
        <f t="shared" si="9"/>
        <v>0</v>
      </c>
      <c r="G32" s="725">
        <f t="shared" si="10"/>
        <v>0</v>
      </c>
      <c r="H32" s="725">
        <f t="shared" si="11"/>
        <v>0</v>
      </c>
      <c r="I32" s="725">
        <f t="shared" si="2"/>
        <v>0</v>
      </c>
      <c r="J32" s="725">
        <f t="shared" si="3"/>
        <v>0</v>
      </c>
      <c r="K32" s="725">
        <f t="shared" si="4"/>
        <v>0</v>
      </c>
      <c r="L32" s="725">
        <f t="shared" si="5"/>
        <v>0</v>
      </c>
      <c r="M32" s="725">
        <f t="shared" si="12"/>
        <v>0</v>
      </c>
      <c r="N32" s="725">
        <f t="shared" si="13"/>
        <v>0</v>
      </c>
      <c r="O32" s="725">
        <v>0.03</v>
      </c>
      <c r="P32" s="725">
        <f t="shared" si="14"/>
        <v>0</v>
      </c>
      <c r="Q32" s="727">
        <f t="shared" si="15"/>
        <v>0</v>
      </c>
      <c r="R32" s="727">
        <f t="shared" si="16"/>
        <v>0</v>
      </c>
      <c r="S32" s="727">
        <f t="shared" si="18"/>
        <v>0</v>
      </c>
      <c r="T32" s="730">
        <f t="shared" si="17"/>
        <v>0</v>
      </c>
      <c r="V32" s="557">
        <f t="shared" si="1"/>
        <v>15</v>
      </c>
      <c r="W32" s="559">
        <f>'ORÇAMENTO GERAL'!$J$24</f>
        <v>334.94</v>
      </c>
      <c r="X32" s="559">
        <f>'ORÇAMENTO GERAL'!$J$29</f>
        <v>118.33</v>
      </c>
      <c r="Y32" s="559">
        <f>'ORÇAMENTO GERAL'!$J$25</f>
        <v>118.45</v>
      </c>
      <c r="Z32" s="559">
        <f>'ORÇAMENTO GERAL'!$J$28</f>
        <v>169.7</v>
      </c>
      <c r="AA32" s="559">
        <f t="shared" si="6"/>
        <v>0</v>
      </c>
      <c r="AC32" s="559">
        <f>'ORÇAMENTO GERAL'!$J$30</f>
        <v>19.65</v>
      </c>
      <c r="AD32" s="559">
        <f>'ORÇAMENTO GERAL'!$J$31</f>
        <v>60.11</v>
      </c>
      <c r="AE32" s="559">
        <f>'ORÇAMENTO GERAL'!$J$32</f>
        <v>47.92</v>
      </c>
      <c r="AF32" s="559">
        <f>'ORÇAMENTO GERAL'!$J$25</f>
        <v>118.45</v>
      </c>
      <c r="AG32" s="559">
        <f t="shared" si="7"/>
        <v>0</v>
      </c>
      <c r="AI32" s="559">
        <f>'ORÇAMENTO GERAL'!$J$123</f>
        <v>13.36</v>
      </c>
      <c r="AJ32" s="559">
        <f>'ORÇAMENTO GERAL'!$J$124</f>
        <v>4.28</v>
      </c>
      <c r="AK32" s="559">
        <f>'ORÇAMENTO GERAL'!$J$127</f>
        <v>3336.89</v>
      </c>
      <c r="AL32" s="559">
        <f>'ORÇAMENTO GERAL'!$J$128</f>
        <v>3.07</v>
      </c>
      <c r="AM32" s="559">
        <f>'ORÇAMENTO GERAL'!$J$129</f>
        <v>259.22</v>
      </c>
      <c r="AN32" s="559">
        <f>'ORÇAMENTO GERAL'!$J$130</f>
        <v>9.41</v>
      </c>
      <c r="AO32" s="559">
        <f t="shared" si="8"/>
        <v>0</v>
      </c>
    </row>
    <row r="33" spans="1:41" s="560" customFormat="1" ht="54.75" customHeight="1" hidden="1">
      <c r="A33" s="729">
        <v>16</v>
      </c>
      <c r="B33" s="723">
        <f>DADOS!B24</f>
        <v>0</v>
      </c>
      <c r="C33" s="724">
        <f>DADOS!E24</f>
        <v>0</v>
      </c>
      <c r="D33" s="725">
        <f>DADOS!F24</f>
        <v>0</v>
      </c>
      <c r="E33" s="725"/>
      <c r="F33" s="725">
        <f t="shared" si="9"/>
        <v>0</v>
      </c>
      <c r="G33" s="725">
        <f t="shared" si="10"/>
        <v>0</v>
      </c>
      <c r="H33" s="725">
        <f t="shared" si="11"/>
        <v>0</v>
      </c>
      <c r="I33" s="725">
        <f t="shared" si="2"/>
        <v>0</v>
      </c>
      <c r="J33" s="725">
        <f t="shared" si="3"/>
        <v>0</v>
      </c>
      <c r="K33" s="725">
        <f t="shared" si="4"/>
        <v>0</v>
      </c>
      <c r="L33" s="725">
        <f t="shared" si="5"/>
        <v>0</v>
      </c>
      <c r="M33" s="725">
        <f t="shared" si="12"/>
        <v>0</v>
      </c>
      <c r="N33" s="725">
        <f t="shared" si="13"/>
        <v>0</v>
      </c>
      <c r="O33" s="725">
        <v>0.03</v>
      </c>
      <c r="P33" s="725">
        <f t="shared" si="14"/>
        <v>0</v>
      </c>
      <c r="Q33" s="727">
        <f t="shared" si="15"/>
        <v>0</v>
      </c>
      <c r="R33" s="727">
        <f t="shared" si="16"/>
        <v>0</v>
      </c>
      <c r="S33" s="727">
        <f t="shared" si="18"/>
        <v>0</v>
      </c>
      <c r="T33" s="730">
        <f t="shared" si="17"/>
        <v>0</v>
      </c>
      <c r="V33" s="557">
        <f t="shared" si="1"/>
        <v>16</v>
      </c>
      <c r="W33" s="559">
        <f>'ORÇAMENTO GERAL'!$J$24</f>
        <v>334.94</v>
      </c>
      <c r="X33" s="559">
        <f>'ORÇAMENTO GERAL'!$J$29</f>
        <v>118.33</v>
      </c>
      <c r="Y33" s="559">
        <f>'ORÇAMENTO GERAL'!$J$25</f>
        <v>118.45</v>
      </c>
      <c r="Z33" s="559">
        <f>'ORÇAMENTO GERAL'!$J$28</f>
        <v>169.7</v>
      </c>
      <c r="AA33" s="559">
        <f t="shared" si="6"/>
        <v>0</v>
      </c>
      <c r="AC33" s="559">
        <f>'ORÇAMENTO GERAL'!$J$30</f>
        <v>19.65</v>
      </c>
      <c r="AD33" s="559">
        <f>'ORÇAMENTO GERAL'!$J$31</f>
        <v>60.11</v>
      </c>
      <c r="AE33" s="559">
        <f>'ORÇAMENTO GERAL'!$J$32</f>
        <v>47.92</v>
      </c>
      <c r="AF33" s="559">
        <f>'ORÇAMENTO GERAL'!$J$25</f>
        <v>118.45</v>
      </c>
      <c r="AG33" s="559">
        <f t="shared" si="7"/>
        <v>0</v>
      </c>
      <c r="AI33" s="559">
        <f>'ORÇAMENTO GERAL'!$J$123</f>
        <v>13.36</v>
      </c>
      <c r="AJ33" s="559">
        <f>'ORÇAMENTO GERAL'!$J$124</f>
        <v>4.28</v>
      </c>
      <c r="AK33" s="559">
        <f>'ORÇAMENTO GERAL'!$J$127</f>
        <v>3336.89</v>
      </c>
      <c r="AL33" s="559">
        <f>'ORÇAMENTO GERAL'!$J$128</f>
        <v>3.07</v>
      </c>
      <c r="AM33" s="559">
        <f>'ORÇAMENTO GERAL'!$J$129</f>
        <v>259.22</v>
      </c>
      <c r="AN33" s="559">
        <f>'ORÇAMENTO GERAL'!$J$130</f>
        <v>9.41</v>
      </c>
      <c r="AO33" s="559">
        <f t="shared" si="8"/>
        <v>0</v>
      </c>
    </row>
    <row r="34" spans="1:41" ht="54.75" customHeight="1" hidden="1">
      <c r="A34" s="722">
        <v>17</v>
      </c>
      <c r="B34" s="723">
        <f>DADOS!B25</f>
        <v>0</v>
      </c>
      <c r="C34" s="724">
        <f>DADOS!E25</f>
        <v>0</v>
      </c>
      <c r="D34" s="725">
        <f>DADOS!F25</f>
        <v>0</v>
      </c>
      <c r="E34" s="725"/>
      <c r="F34" s="725">
        <f t="shared" si="9"/>
        <v>0</v>
      </c>
      <c r="G34" s="725">
        <f t="shared" si="10"/>
        <v>0</v>
      </c>
      <c r="H34" s="725">
        <f t="shared" si="11"/>
        <v>0</v>
      </c>
      <c r="I34" s="725">
        <f t="shared" si="2"/>
        <v>0</v>
      </c>
      <c r="J34" s="725">
        <f t="shared" si="3"/>
        <v>0</v>
      </c>
      <c r="K34" s="725">
        <f t="shared" si="4"/>
        <v>0</v>
      </c>
      <c r="L34" s="725">
        <f t="shared" si="5"/>
        <v>0</v>
      </c>
      <c r="M34" s="725">
        <f t="shared" si="12"/>
        <v>0</v>
      </c>
      <c r="N34" s="725">
        <f t="shared" si="13"/>
        <v>0</v>
      </c>
      <c r="O34" s="725">
        <v>0.03</v>
      </c>
      <c r="P34" s="725">
        <f t="shared" si="14"/>
        <v>0</v>
      </c>
      <c r="Q34" s="727">
        <f t="shared" si="15"/>
        <v>0</v>
      </c>
      <c r="R34" s="727">
        <f t="shared" si="16"/>
        <v>0</v>
      </c>
      <c r="S34" s="727">
        <f t="shared" si="18"/>
        <v>0</v>
      </c>
      <c r="T34" s="730">
        <f t="shared" si="17"/>
        <v>0</v>
      </c>
      <c r="V34" s="557">
        <f t="shared" si="1"/>
        <v>17</v>
      </c>
      <c r="W34" s="559">
        <f>'ORÇAMENTO GERAL'!$J$24</f>
        <v>334.94</v>
      </c>
      <c r="X34" s="559">
        <f>'ORÇAMENTO GERAL'!$J$29</f>
        <v>118.33</v>
      </c>
      <c r="Y34" s="559">
        <f>'ORÇAMENTO GERAL'!$J$25</f>
        <v>118.45</v>
      </c>
      <c r="Z34" s="559">
        <f>'ORÇAMENTO GERAL'!$J$28</f>
        <v>169.7</v>
      </c>
      <c r="AA34" s="559">
        <f t="shared" si="6"/>
        <v>0</v>
      </c>
      <c r="AC34" s="559">
        <f>'ORÇAMENTO GERAL'!$J$30</f>
        <v>19.65</v>
      </c>
      <c r="AD34" s="559">
        <f>'ORÇAMENTO GERAL'!$J$31</f>
        <v>60.11</v>
      </c>
      <c r="AE34" s="559">
        <f>'ORÇAMENTO GERAL'!$J$32</f>
        <v>47.92</v>
      </c>
      <c r="AF34" s="559">
        <f>'ORÇAMENTO GERAL'!$J$25</f>
        <v>118.45</v>
      </c>
      <c r="AG34" s="559">
        <f t="shared" si="7"/>
        <v>0</v>
      </c>
      <c r="AI34" s="559">
        <f>'ORÇAMENTO GERAL'!$J$123</f>
        <v>13.36</v>
      </c>
      <c r="AJ34" s="559">
        <f>'ORÇAMENTO GERAL'!$J$124</f>
        <v>4.28</v>
      </c>
      <c r="AK34" s="559">
        <f>'ORÇAMENTO GERAL'!$J$127</f>
        <v>3336.89</v>
      </c>
      <c r="AL34" s="559">
        <f>'ORÇAMENTO GERAL'!$J$128</f>
        <v>3.07</v>
      </c>
      <c r="AM34" s="559">
        <f>'ORÇAMENTO GERAL'!$J$129</f>
        <v>259.22</v>
      </c>
      <c r="AN34" s="559">
        <f>'ORÇAMENTO GERAL'!$J$130</f>
        <v>9.41</v>
      </c>
      <c r="AO34" s="559">
        <f t="shared" si="8"/>
        <v>0</v>
      </c>
    </row>
    <row r="35" spans="1:41" ht="54.75" customHeight="1" hidden="1">
      <c r="A35" s="729">
        <v>18</v>
      </c>
      <c r="B35" s="723">
        <f>DADOS!B26</f>
        <v>0</v>
      </c>
      <c r="C35" s="724">
        <f>DADOS!E26</f>
        <v>0</v>
      </c>
      <c r="D35" s="725">
        <f>DADOS!F26</f>
        <v>0</v>
      </c>
      <c r="E35" s="725"/>
      <c r="F35" s="725">
        <f t="shared" si="9"/>
        <v>0</v>
      </c>
      <c r="G35" s="725">
        <f t="shared" si="10"/>
        <v>0</v>
      </c>
      <c r="H35" s="725">
        <f t="shared" si="11"/>
        <v>0</v>
      </c>
      <c r="I35" s="725">
        <f t="shared" si="2"/>
        <v>0</v>
      </c>
      <c r="J35" s="725">
        <f t="shared" si="3"/>
        <v>0</v>
      </c>
      <c r="K35" s="725">
        <f t="shared" si="4"/>
        <v>0</v>
      </c>
      <c r="L35" s="725">
        <f t="shared" si="5"/>
        <v>0</v>
      </c>
      <c r="M35" s="725">
        <f t="shared" si="12"/>
        <v>0</v>
      </c>
      <c r="N35" s="725">
        <f t="shared" si="13"/>
        <v>0</v>
      </c>
      <c r="O35" s="725">
        <v>0.03</v>
      </c>
      <c r="P35" s="725">
        <f t="shared" si="14"/>
        <v>0</v>
      </c>
      <c r="Q35" s="727">
        <f t="shared" si="15"/>
        <v>0</v>
      </c>
      <c r="R35" s="727">
        <f t="shared" si="16"/>
        <v>0</v>
      </c>
      <c r="S35" s="727">
        <f t="shared" si="18"/>
        <v>0</v>
      </c>
      <c r="T35" s="730">
        <f t="shared" si="17"/>
        <v>0</v>
      </c>
      <c r="V35" s="557">
        <f t="shared" si="1"/>
        <v>18</v>
      </c>
      <c r="W35" s="559">
        <f>'ORÇAMENTO GERAL'!$J$24</f>
        <v>334.94</v>
      </c>
      <c r="X35" s="559">
        <f>'ORÇAMENTO GERAL'!$J$29</f>
        <v>118.33</v>
      </c>
      <c r="Y35" s="559">
        <f>'ORÇAMENTO GERAL'!$J$25</f>
        <v>118.45</v>
      </c>
      <c r="Z35" s="559">
        <f>'ORÇAMENTO GERAL'!$J$28</f>
        <v>169.7</v>
      </c>
      <c r="AA35" s="559">
        <f t="shared" si="6"/>
        <v>0</v>
      </c>
      <c r="AC35" s="559">
        <f>'ORÇAMENTO GERAL'!$J$30</f>
        <v>19.65</v>
      </c>
      <c r="AD35" s="559">
        <f>'ORÇAMENTO GERAL'!$J$31</f>
        <v>60.11</v>
      </c>
      <c r="AE35" s="559">
        <f>'ORÇAMENTO GERAL'!$J$32</f>
        <v>47.92</v>
      </c>
      <c r="AF35" s="559">
        <f>'ORÇAMENTO GERAL'!$J$25</f>
        <v>118.45</v>
      </c>
      <c r="AG35" s="559">
        <f t="shared" si="7"/>
        <v>0</v>
      </c>
      <c r="AI35" s="559">
        <f>'ORÇAMENTO GERAL'!$J$123</f>
        <v>13.36</v>
      </c>
      <c r="AJ35" s="559">
        <f>'ORÇAMENTO GERAL'!$J$124</f>
        <v>4.28</v>
      </c>
      <c r="AK35" s="559">
        <f>'ORÇAMENTO GERAL'!$J$127</f>
        <v>3336.89</v>
      </c>
      <c r="AL35" s="559">
        <f>'ORÇAMENTO GERAL'!$J$128</f>
        <v>3.07</v>
      </c>
      <c r="AM35" s="559">
        <f>'ORÇAMENTO GERAL'!$J$129</f>
        <v>259.22</v>
      </c>
      <c r="AN35" s="559">
        <f>'ORÇAMENTO GERAL'!$J$130</f>
        <v>9.41</v>
      </c>
      <c r="AO35" s="559">
        <f t="shared" si="8"/>
        <v>0</v>
      </c>
    </row>
    <row r="36" spans="1:41" ht="54.75" customHeight="1" hidden="1">
      <c r="A36" s="722">
        <v>19</v>
      </c>
      <c r="B36" s="723">
        <f>DADOS!B27</f>
        <v>0</v>
      </c>
      <c r="C36" s="724">
        <f>DADOS!E27</f>
        <v>0</v>
      </c>
      <c r="D36" s="725">
        <f>DADOS!F27</f>
        <v>0</v>
      </c>
      <c r="E36" s="725"/>
      <c r="F36" s="725">
        <f t="shared" si="9"/>
        <v>0</v>
      </c>
      <c r="G36" s="725">
        <f t="shared" si="10"/>
        <v>0</v>
      </c>
      <c r="H36" s="725">
        <f t="shared" si="11"/>
        <v>0</v>
      </c>
      <c r="I36" s="725">
        <f t="shared" si="2"/>
        <v>0</v>
      </c>
      <c r="J36" s="725">
        <f t="shared" si="3"/>
        <v>0</v>
      </c>
      <c r="K36" s="725">
        <f t="shared" si="4"/>
        <v>0</v>
      </c>
      <c r="L36" s="725">
        <f t="shared" si="5"/>
        <v>0</v>
      </c>
      <c r="M36" s="725">
        <f t="shared" si="12"/>
        <v>0</v>
      </c>
      <c r="N36" s="725">
        <f t="shared" si="13"/>
        <v>0</v>
      </c>
      <c r="O36" s="725">
        <v>0.03</v>
      </c>
      <c r="P36" s="725">
        <f t="shared" si="14"/>
        <v>0</v>
      </c>
      <c r="Q36" s="727">
        <f t="shared" si="15"/>
        <v>0</v>
      </c>
      <c r="R36" s="727">
        <f t="shared" si="16"/>
        <v>0</v>
      </c>
      <c r="S36" s="727">
        <f t="shared" si="18"/>
        <v>0</v>
      </c>
      <c r="T36" s="730">
        <f t="shared" si="17"/>
        <v>0</v>
      </c>
      <c r="V36" s="557">
        <f t="shared" si="1"/>
        <v>19</v>
      </c>
      <c r="W36" s="559">
        <f>'ORÇAMENTO GERAL'!$J$24</f>
        <v>334.94</v>
      </c>
      <c r="X36" s="559">
        <f>'ORÇAMENTO GERAL'!$J$29</f>
        <v>118.33</v>
      </c>
      <c r="Y36" s="559">
        <f>'ORÇAMENTO GERAL'!$J$25</f>
        <v>118.45</v>
      </c>
      <c r="Z36" s="559">
        <f>'ORÇAMENTO GERAL'!$J$28</f>
        <v>169.7</v>
      </c>
      <c r="AA36" s="559">
        <f t="shared" si="6"/>
        <v>0</v>
      </c>
      <c r="AC36" s="559">
        <f>'ORÇAMENTO GERAL'!$J$30</f>
        <v>19.65</v>
      </c>
      <c r="AD36" s="559">
        <f>'ORÇAMENTO GERAL'!$J$31</f>
        <v>60.11</v>
      </c>
      <c r="AE36" s="559">
        <f>'ORÇAMENTO GERAL'!$J$32</f>
        <v>47.92</v>
      </c>
      <c r="AF36" s="559">
        <f>'ORÇAMENTO GERAL'!$J$25</f>
        <v>118.45</v>
      </c>
      <c r="AG36" s="559">
        <f t="shared" si="7"/>
        <v>0</v>
      </c>
      <c r="AI36" s="559">
        <f>'ORÇAMENTO GERAL'!$J$123</f>
        <v>13.36</v>
      </c>
      <c r="AJ36" s="559">
        <f>'ORÇAMENTO GERAL'!$J$124</f>
        <v>4.28</v>
      </c>
      <c r="AK36" s="559">
        <f>'ORÇAMENTO GERAL'!$J$127</f>
        <v>3336.89</v>
      </c>
      <c r="AL36" s="559">
        <f>'ORÇAMENTO GERAL'!$J$128</f>
        <v>3.07</v>
      </c>
      <c r="AM36" s="559">
        <f>'ORÇAMENTO GERAL'!$J$129</f>
        <v>259.22</v>
      </c>
      <c r="AN36" s="559">
        <f>'ORÇAMENTO GERAL'!$J$130</f>
        <v>9.41</v>
      </c>
      <c r="AO36" s="559">
        <f t="shared" si="8"/>
        <v>0</v>
      </c>
    </row>
    <row r="37" spans="1:41" ht="54.75" customHeight="1" hidden="1" thickBot="1">
      <c r="A37" s="731">
        <v>20</v>
      </c>
      <c r="B37" s="723">
        <f>DADOS!B28</f>
        <v>0</v>
      </c>
      <c r="C37" s="724">
        <f>DADOS!E28</f>
        <v>0</v>
      </c>
      <c r="D37" s="725">
        <f>DADOS!F28</f>
        <v>0</v>
      </c>
      <c r="E37" s="725"/>
      <c r="F37" s="725">
        <f t="shared" si="9"/>
        <v>0</v>
      </c>
      <c r="G37" s="725">
        <f t="shared" si="10"/>
        <v>0</v>
      </c>
      <c r="H37" s="725">
        <f t="shared" si="11"/>
        <v>0</v>
      </c>
      <c r="I37" s="725">
        <f t="shared" si="2"/>
        <v>0</v>
      </c>
      <c r="J37" s="725">
        <f t="shared" si="3"/>
        <v>0</v>
      </c>
      <c r="K37" s="725">
        <f t="shared" si="4"/>
        <v>0</v>
      </c>
      <c r="L37" s="725">
        <f t="shared" si="5"/>
        <v>0</v>
      </c>
      <c r="M37" s="725">
        <f t="shared" si="12"/>
        <v>0</v>
      </c>
      <c r="N37" s="725">
        <f t="shared" si="13"/>
        <v>0</v>
      </c>
      <c r="O37" s="725">
        <v>0.03</v>
      </c>
      <c r="P37" s="725">
        <f t="shared" si="14"/>
        <v>0</v>
      </c>
      <c r="Q37" s="727">
        <f t="shared" si="15"/>
        <v>0</v>
      </c>
      <c r="R37" s="727">
        <f t="shared" si="16"/>
        <v>0</v>
      </c>
      <c r="S37" s="727">
        <f t="shared" si="18"/>
        <v>0</v>
      </c>
      <c r="T37" s="730">
        <f t="shared" si="17"/>
        <v>0</v>
      </c>
      <c r="V37" s="557">
        <f t="shared" si="1"/>
        <v>20</v>
      </c>
      <c r="W37" s="559">
        <f>'ORÇAMENTO GERAL'!$J$24</f>
        <v>334.94</v>
      </c>
      <c r="X37" s="559">
        <f>'ORÇAMENTO GERAL'!$J$29</f>
        <v>118.33</v>
      </c>
      <c r="Y37" s="559">
        <f>'ORÇAMENTO GERAL'!$J$25</f>
        <v>118.45</v>
      </c>
      <c r="Z37" s="559">
        <f>'ORÇAMENTO GERAL'!$J$28</f>
        <v>169.7</v>
      </c>
      <c r="AA37" s="559">
        <f t="shared" si="6"/>
        <v>0</v>
      </c>
      <c r="AC37" s="559">
        <f>'ORÇAMENTO GERAL'!$J$30</f>
        <v>19.65</v>
      </c>
      <c r="AD37" s="559">
        <f>'ORÇAMENTO GERAL'!$J$31</f>
        <v>60.11</v>
      </c>
      <c r="AE37" s="559">
        <f>'ORÇAMENTO GERAL'!$J$32</f>
        <v>47.92</v>
      </c>
      <c r="AF37" s="559">
        <f>'ORÇAMENTO GERAL'!$J$25</f>
        <v>118.45</v>
      </c>
      <c r="AG37" s="559">
        <f t="shared" si="7"/>
        <v>0</v>
      </c>
      <c r="AI37" s="559">
        <f>'ORÇAMENTO GERAL'!$J$123</f>
        <v>13.36</v>
      </c>
      <c r="AJ37" s="559">
        <f>'ORÇAMENTO GERAL'!$J$124</f>
        <v>4.28</v>
      </c>
      <c r="AK37" s="559">
        <f>'ORÇAMENTO GERAL'!$J$127</f>
        <v>3336.89</v>
      </c>
      <c r="AL37" s="559">
        <f>'ORÇAMENTO GERAL'!$J$128</f>
        <v>3.07</v>
      </c>
      <c r="AM37" s="559">
        <f>'ORÇAMENTO GERAL'!$J$129</f>
        <v>259.22</v>
      </c>
      <c r="AN37" s="559">
        <f>'ORÇAMENTO GERAL'!$J$130</f>
        <v>9.41</v>
      </c>
      <c r="AO37" s="559">
        <f t="shared" si="8"/>
        <v>0</v>
      </c>
    </row>
    <row r="38" spans="1:20" s="560" customFormat="1" ht="150" customHeight="1" thickBot="1">
      <c r="A38" s="910" t="s">
        <v>382</v>
      </c>
      <c r="B38" s="911"/>
      <c r="C38" s="732">
        <f aca="true" t="shared" si="19" ref="C38:T38">SUM(C18:C37)</f>
        <v>1373</v>
      </c>
      <c r="D38" s="732"/>
      <c r="E38" s="732"/>
      <c r="F38" s="733">
        <f t="shared" si="19"/>
        <v>0</v>
      </c>
      <c r="G38" s="733">
        <f t="shared" si="19"/>
        <v>0</v>
      </c>
      <c r="H38" s="733">
        <f t="shared" si="19"/>
        <v>0</v>
      </c>
      <c r="I38" s="733">
        <f t="shared" si="19"/>
        <v>118.08</v>
      </c>
      <c r="J38" s="733">
        <f t="shared" si="19"/>
        <v>2746</v>
      </c>
      <c r="K38" s="733">
        <f t="shared" si="19"/>
        <v>2746</v>
      </c>
      <c r="L38" s="733">
        <f t="shared" si="19"/>
        <v>118.08</v>
      </c>
      <c r="M38" s="733">
        <f t="shared" si="19"/>
        <v>0</v>
      </c>
      <c r="N38" s="733">
        <f t="shared" si="19"/>
        <v>0</v>
      </c>
      <c r="O38" s="733"/>
      <c r="P38" s="733">
        <f t="shared" si="19"/>
        <v>0</v>
      </c>
      <c r="Q38" s="733">
        <f t="shared" si="19"/>
        <v>0</v>
      </c>
      <c r="R38" s="733">
        <f t="shared" si="19"/>
        <v>0</v>
      </c>
      <c r="S38" s="733">
        <f t="shared" si="19"/>
        <v>0</v>
      </c>
      <c r="T38" s="733">
        <f t="shared" si="19"/>
        <v>2471.4</v>
      </c>
    </row>
    <row r="39" spans="1:20" s="560" customFormat="1" ht="19.5" customHeight="1">
      <c r="A39" s="561"/>
      <c r="B39" s="562"/>
      <c r="C39" s="562"/>
      <c r="D39" s="562"/>
      <c r="E39" s="562"/>
      <c r="F39" s="562"/>
      <c r="G39" s="562"/>
      <c r="H39" s="562"/>
      <c r="I39" s="562"/>
      <c r="J39" s="562"/>
      <c r="K39" s="562"/>
      <c r="L39" s="562"/>
      <c r="M39" s="562"/>
      <c r="N39" s="562"/>
      <c r="O39" s="562"/>
      <c r="P39" s="562"/>
      <c r="Q39" s="562"/>
      <c r="R39" s="562"/>
      <c r="S39" s="562"/>
      <c r="T39" s="562"/>
    </row>
    <row r="40" spans="1:20" s="560" customFormat="1" ht="19.5" customHeight="1">
      <c r="A40" s="561"/>
      <c r="B40" s="562"/>
      <c r="C40" s="562"/>
      <c r="D40" s="562"/>
      <c r="E40" s="562"/>
      <c r="F40" s="562"/>
      <c r="G40" s="562"/>
      <c r="H40" s="562"/>
      <c r="I40" s="562"/>
      <c r="J40" s="562"/>
      <c r="K40" s="562"/>
      <c r="L40" s="562"/>
      <c r="M40" s="562"/>
      <c r="N40" s="562"/>
      <c r="O40" s="562"/>
      <c r="P40" s="562"/>
      <c r="Q40" s="562"/>
      <c r="R40" s="562"/>
      <c r="S40" s="562"/>
      <c r="T40" s="562"/>
    </row>
    <row r="41" spans="1:20" s="560" customFormat="1" ht="19.5" customHeight="1">
      <c r="A41" s="561"/>
      <c r="B41" s="562"/>
      <c r="C41" s="562"/>
      <c r="D41" s="562"/>
      <c r="E41" s="562"/>
      <c r="F41" s="562"/>
      <c r="G41" s="562"/>
      <c r="H41" s="562"/>
      <c r="I41" s="562"/>
      <c r="J41" s="562"/>
      <c r="K41" s="562"/>
      <c r="L41" s="562"/>
      <c r="M41" s="562"/>
      <c r="N41" s="562"/>
      <c r="O41" s="562"/>
      <c r="P41" s="562"/>
      <c r="Q41" s="562"/>
      <c r="R41" s="562"/>
      <c r="S41" s="562"/>
      <c r="T41" s="562"/>
    </row>
    <row r="42" spans="1:20" s="560" customFormat="1" ht="19.5" customHeight="1">
      <c r="A42" s="561"/>
      <c r="B42" s="562"/>
      <c r="C42" s="562"/>
      <c r="D42" s="562"/>
      <c r="E42" s="562"/>
      <c r="F42" s="562"/>
      <c r="G42" s="562"/>
      <c r="H42" s="562"/>
      <c r="I42" s="562"/>
      <c r="J42" s="562"/>
      <c r="K42" s="562"/>
      <c r="L42" s="562"/>
      <c r="M42" s="562"/>
      <c r="N42" s="562"/>
      <c r="O42" s="562"/>
      <c r="P42" s="562"/>
      <c r="Q42" s="562"/>
      <c r="R42" s="562"/>
      <c r="S42" s="562"/>
      <c r="T42" s="562"/>
    </row>
    <row r="43" spans="1:20" s="560" customFormat="1" ht="19.5" customHeight="1">
      <c r="A43" s="561"/>
      <c r="B43" s="562"/>
      <c r="C43" s="562"/>
      <c r="D43" s="562"/>
      <c r="E43" s="562"/>
      <c r="F43" s="562"/>
      <c r="G43" s="562"/>
      <c r="H43" s="562"/>
      <c r="I43" s="562"/>
      <c r="J43" s="562"/>
      <c r="K43" s="562"/>
      <c r="L43" s="562"/>
      <c r="M43" s="562"/>
      <c r="N43" s="562"/>
      <c r="O43" s="562"/>
      <c r="P43" s="562"/>
      <c r="Q43" s="562"/>
      <c r="R43" s="562"/>
      <c r="S43" s="562"/>
      <c r="T43" s="562"/>
    </row>
    <row r="44" spans="1:20" s="560" customFormat="1" ht="19.5" customHeight="1">
      <c r="A44" s="561"/>
      <c r="B44" s="562"/>
      <c r="C44" s="562"/>
      <c r="D44" s="562"/>
      <c r="E44" s="562"/>
      <c r="F44" s="562"/>
      <c r="G44" s="562"/>
      <c r="H44" s="562"/>
      <c r="I44" s="562"/>
      <c r="J44" s="562"/>
      <c r="K44" s="562"/>
      <c r="L44" s="562"/>
      <c r="M44" s="562"/>
      <c r="N44" s="562"/>
      <c r="O44" s="562"/>
      <c r="P44" s="562"/>
      <c r="Q44" s="562"/>
      <c r="R44" s="562"/>
      <c r="S44" s="562"/>
      <c r="T44" s="562"/>
    </row>
    <row r="45" spans="1:20" s="560" customFormat="1" ht="19.5" customHeight="1">
      <c r="A45" s="561"/>
      <c r="B45" s="562"/>
      <c r="C45" s="562"/>
      <c r="D45" s="562"/>
      <c r="E45" s="562"/>
      <c r="F45" s="562"/>
      <c r="G45" s="562"/>
      <c r="H45" s="562"/>
      <c r="I45" s="562"/>
      <c r="J45" s="562"/>
      <c r="K45" s="562"/>
      <c r="L45" s="562"/>
      <c r="M45" s="562"/>
      <c r="N45" s="562"/>
      <c r="O45" s="562"/>
      <c r="P45" s="562"/>
      <c r="Q45" s="562"/>
      <c r="R45" s="562"/>
      <c r="S45" s="562"/>
      <c r="T45" s="562"/>
    </row>
    <row r="46" spans="1:20" s="560" customFormat="1" ht="19.5" customHeight="1">
      <c r="A46" s="561"/>
      <c r="B46" s="562"/>
      <c r="C46" s="562"/>
      <c r="D46" s="562"/>
      <c r="E46" s="562"/>
      <c r="F46" s="562"/>
      <c r="G46" s="562"/>
      <c r="H46" s="562"/>
      <c r="I46" s="562"/>
      <c r="J46" s="562"/>
      <c r="K46" s="562"/>
      <c r="L46" s="562"/>
      <c r="M46" s="562"/>
      <c r="N46" s="562"/>
      <c r="O46" s="562"/>
      <c r="P46" s="562"/>
      <c r="Q46" s="562"/>
      <c r="R46" s="562"/>
      <c r="S46" s="562"/>
      <c r="T46" s="562"/>
    </row>
    <row r="47" spans="1:20" s="560" customFormat="1" ht="19.5" customHeight="1">
      <c r="A47" s="561"/>
      <c r="B47" s="562"/>
      <c r="C47" s="562"/>
      <c r="D47" s="562"/>
      <c r="E47" s="562"/>
      <c r="F47" s="562"/>
      <c r="G47" s="562"/>
      <c r="H47" s="562"/>
      <c r="I47" s="562"/>
      <c r="J47" s="562"/>
      <c r="K47" s="562"/>
      <c r="L47" s="562"/>
      <c r="M47" s="562"/>
      <c r="N47" s="562"/>
      <c r="O47" s="562"/>
      <c r="P47" s="562"/>
      <c r="Q47" s="562"/>
      <c r="R47" s="562"/>
      <c r="S47" s="562"/>
      <c r="T47" s="562"/>
    </row>
    <row r="48" spans="1:20" s="560" customFormat="1" ht="19.5" customHeight="1">
      <c r="A48" s="561"/>
      <c r="B48" s="562"/>
      <c r="C48" s="562"/>
      <c r="D48" s="562"/>
      <c r="E48" s="562"/>
      <c r="F48" s="562"/>
      <c r="G48" s="562"/>
      <c r="H48" s="562"/>
      <c r="I48" s="562"/>
      <c r="J48" s="562"/>
      <c r="K48" s="562"/>
      <c r="L48" s="562"/>
      <c r="M48" s="562"/>
      <c r="N48" s="562"/>
      <c r="O48" s="562"/>
      <c r="P48" s="562"/>
      <c r="Q48" s="562"/>
      <c r="R48" s="562"/>
      <c r="S48" s="562"/>
      <c r="T48" s="562"/>
    </row>
    <row r="49" spans="1:20" s="560" customFormat="1" ht="19.5" customHeight="1">
      <c r="A49" s="561"/>
      <c r="B49" s="562"/>
      <c r="C49" s="562"/>
      <c r="D49" s="562"/>
      <c r="E49" s="562"/>
      <c r="F49" s="562"/>
      <c r="G49" s="562"/>
      <c r="H49" s="562"/>
      <c r="I49" s="562"/>
      <c r="J49" s="562"/>
      <c r="K49" s="562"/>
      <c r="L49" s="562"/>
      <c r="M49" s="562"/>
      <c r="N49" s="562"/>
      <c r="O49" s="562"/>
      <c r="P49" s="562"/>
      <c r="Q49" s="562"/>
      <c r="R49" s="562"/>
      <c r="S49" s="562"/>
      <c r="T49" s="562"/>
    </row>
    <row r="50" spans="1:20" s="560" customFormat="1" ht="19.5" customHeight="1">
      <c r="A50" s="561"/>
      <c r="B50" s="562"/>
      <c r="C50" s="562"/>
      <c r="D50" s="562"/>
      <c r="E50" s="562"/>
      <c r="F50" s="562"/>
      <c r="G50" s="562"/>
      <c r="H50" s="562"/>
      <c r="I50" s="562"/>
      <c r="J50" s="562"/>
      <c r="K50" s="562"/>
      <c r="L50" s="562"/>
      <c r="M50" s="562"/>
      <c r="N50" s="562"/>
      <c r="O50" s="562"/>
      <c r="P50" s="562"/>
      <c r="Q50" s="562"/>
      <c r="R50" s="562"/>
      <c r="S50" s="562"/>
      <c r="T50" s="562"/>
    </row>
    <row r="51" spans="1:20" s="560" customFormat="1" ht="19.5" customHeight="1">
      <c r="A51" s="561"/>
      <c r="B51" s="562"/>
      <c r="C51" s="562"/>
      <c r="D51" s="562"/>
      <c r="E51" s="562"/>
      <c r="F51" s="562"/>
      <c r="G51" s="562"/>
      <c r="H51" s="562"/>
      <c r="I51" s="562"/>
      <c r="J51" s="562"/>
      <c r="K51" s="562"/>
      <c r="L51" s="562"/>
      <c r="M51" s="562"/>
      <c r="N51" s="562"/>
      <c r="O51" s="562"/>
      <c r="P51" s="562"/>
      <c r="Q51" s="562"/>
      <c r="R51" s="562"/>
      <c r="S51" s="562"/>
      <c r="T51" s="562"/>
    </row>
    <row r="52" spans="1:20" s="560" customFormat="1" ht="19.5" customHeight="1">
      <c r="A52" s="561"/>
      <c r="B52" s="562"/>
      <c r="C52" s="562"/>
      <c r="D52" s="562"/>
      <c r="E52" s="562"/>
      <c r="F52" s="562"/>
      <c r="G52" s="562"/>
      <c r="H52" s="562"/>
      <c r="I52" s="562"/>
      <c r="J52" s="562"/>
      <c r="K52" s="562"/>
      <c r="L52" s="562"/>
      <c r="M52" s="562"/>
      <c r="N52" s="562"/>
      <c r="O52" s="562"/>
      <c r="P52" s="562"/>
      <c r="Q52" s="562"/>
      <c r="R52" s="562"/>
      <c r="S52" s="562"/>
      <c r="T52" s="562"/>
    </row>
    <row r="53" spans="1:20" s="560" customFormat="1" ht="19.5" customHeight="1">
      <c r="A53" s="561"/>
      <c r="B53" s="562"/>
      <c r="C53" s="562"/>
      <c r="D53" s="562"/>
      <c r="E53" s="562"/>
      <c r="F53" s="562"/>
      <c r="G53" s="562"/>
      <c r="H53" s="562"/>
      <c r="I53" s="562"/>
      <c r="J53" s="562"/>
      <c r="K53" s="562"/>
      <c r="L53" s="562"/>
      <c r="M53" s="562"/>
      <c r="N53" s="562"/>
      <c r="O53" s="562"/>
      <c r="P53" s="562"/>
      <c r="Q53" s="562"/>
      <c r="R53" s="562"/>
      <c r="S53" s="562"/>
      <c r="T53" s="562"/>
    </row>
    <row r="54" spans="1:20" s="560" customFormat="1" ht="19.5" customHeight="1">
      <c r="A54" s="561"/>
      <c r="B54" s="562"/>
      <c r="C54" s="562"/>
      <c r="D54" s="562"/>
      <c r="E54" s="562"/>
      <c r="F54" s="562"/>
      <c r="G54" s="562"/>
      <c r="H54" s="562"/>
      <c r="I54" s="562"/>
      <c r="J54" s="562"/>
      <c r="K54" s="562"/>
      <c r="L54" s="562"/>
      <c r="M54" s="562"/>
      <c r="N54" s="562"/>
      <c r="O54" s="562"/>
      <c r="P54" s="562"/>
      <c r="Q54" s="562"/>
      <c r="R54" s="562"/>
      <c r="S54" s="562"/>
      <c r="T54" s="562"/>
    </row>
    <row r="55" spans="1:20" s="560" customFormat="1" ht="19.5" customHeight="1">
      <c r="A55" s="561"/>
      <c r="B55" s="562"/>
      <c r="C55" s="562"/>
      <c r="D55" s="562"/>
      <c r="E55" s="562"/>
      <c r="F55" s="562"/>
      <c r="G55" s="562"/>
      <c r="H55" s="562"/>
      <c r="I55" s="562"/>
      <c r="J55" s="562"/>
      <c r="K55" s="562"/>
      <c r="L55" s="562"/>
      <c r="M55" s="562"/>
      <c r="N55" s="562"/>
      <c r="O55" s="562"/>
      <c r="P55" s="562"/>
      <c r="Q55" s="562"/>
      <c r="R55" s="562"/>
      <c r="S55" s="562"/>
      <c r="T55" s="562"/>
    </row>
    <row r="56" spans="1:20" s="560" customFormat="1" ht="19.5" customHeight="1">
      <c r="A56" s="561"/>
      <c r="B56" s="562"/>
      <c r="C56" s="562"/>
      <c r="D56" s="562"/>
      <c r="E56" s="562"/>
      <c r="F56" s="562"/>
      <c r="G56" s="562"/>
      <c r="H56" s="562"/>
      <c r="I56" s="562"/>
      <c r="J56" s="562"/>
      <c r="K56" s="562"/>
      <c r="L56" s="562"/>
      <c r="M56" s="562"/>
      <c r="N56" s="562"/>
      <c r="O56" s="562"/>
      <c r="P56" s="562"/>
      <c r="Q56" s="562"/>
      <c r="R56" s="562"/>
      <c r="S56" s="562"/>
      <c r="T56" s="562"/>
    </row>
    <row r="57" spans="1:20" s="560" customFormat="1" ht="19.5" customHeight="1">
      <c r="A57" s="561"/>
      <c r="B57" s="562"/>
      <c r="C57" s="562"/>
      <c r="D57" s="562"/>
      <c r="E57" s="562"/>
      <c r="F57" s="562"/>
      <c r="G57" s="562"/>
      <c r="H57" s="562"/>
      <c r="I57" s="562"/>
      <c r="J57" s="562"/>
      <c r="K57" s="562"/>
      <c r="L57" s="562"/>
      <c r="M57" s="562"/>
      <c r="N57" s="562"/>
      <c r="O57" s="562"/>
      <c r="P57" s="562"/>
      <c r="Q57" s="562"/>
      <c r="R57" s="562"/>
      <c r="S57" s="562"/>
      <c r="T57" s="562"/>
    </row>
    <row r="58" spans="1:20" s="560" customFormat="1" ht="19.5" customHeight="1">
      <c r="A58" s="561"/>
      <c r="B58" s="562"/>
      <c r="C58" s="562"/>
      <c r="D58" s="562"/>
      <c r="E58" s="562"/>
      <c r="F58" s="562"/>
      <c r="G58" s="562"/>
      <c r="H58" s="562"/>
      <c r="I58" s="562"/>
      <c r="J58" s="562"/>
      <c r="K58" s="562"/>
      <c r="L58" s="562"/>
      <c r="M58" s="562"/>
      <c r="N58" s="562"/>
      <c r="O58" s="562"/>
      <c r="P58" s="562"/>
      <c r="Q58" s="562"/>
      <c r="R58" s="562"/>
      <c r="S58" s="562"/>
      <c r="T58" s="562"/>
    </row>
    <row r="59" spans="1:20" s="560" customFormat="1" ht="19.5" customHeight="1">
      <c r="A59" s="561"/>
      <c r="B59" s="562"/>
      <c r="C59" s="562"/>
      <c r="D59" s="562"/>
      <c r="E59" s="562"/>
      <c r="F59" s="562"/>
      <c r="G59" s="562"/>
      <c r="H59" s="562"/>
      <c r="I59" s="562"/>
      <c r="J59" s="562"/>
      <c r="K59" s="562"/>
      <c r="L59" s="562"/>
      <c r="M59" s="562"/>
      <c r="N59" s="562"/>
      <c r="O59" s="562"/>
      <c r="P59" s="562"/>
      <c r="Q59" s="562"/>
      <c r="R59" s="562"/>
      <c r="S59" s="562"/>
      <c r="T59" s="562"/>
    </row>
    <row r="60" spans="1:20" s="560" customFormat="1" ht="19.5" customHeight="1">
      <c r="A60" s="561"/>
      <c r="B60" s="562"/>
      <c r="C60" s="562"/>
      <c r="D60" s="562"/>
      <c r="E60" s="562"/>
      <c r="F60" s="562"/>
      <c r="G60" s="562"/>
      <c r="H60" s="562"/>
      <c r="I60" s="562"/>
      <c r="J60" s="562"/>
      <c r="K60" s="562"/>
      <c r="L60" s="562"/>
      <c r="M60" s="562"/>
      <c r="N60" s="562"/>
      <c r="O60" s="562"/>
      <c r="P60" s="562"/>
      <c r="Q60" s="562"/>
      <c r="R60" s="562"/>
      <c r="S60" s="562"/>
      <c r="T60" s="562"/>
    </row>
    <row r="61" spans="1:20" s="560" customFormat="1" ht="19.5" customHeight="1">
      <c r="A61" s="561"/>
      <c r="B61" s="562"/>
      <c r="C61" s="562"/>
      <c r="D61" s="562"/>
      <c r="E61" s="562"/>
      <c r="F61" s="562"/>
      <c r="G61" s="562"/>
      <c r="H61" s="562"/>
      <c r="I61" s="562"/>
      <c r="J61" s="562"/>
      <c r="K61" s="562"/>
      <c r="L61" s="562"/>
      <c r="M61" s="562"/>
      <c r="N61" s="562"/>
      <c r="O61" s="562"/>
      <c r="P61" s="562"/>
      <c r="Q61" s="562"/>
      <c r="R61" s="562"/>
      <c r="S61" s="562"/>
      <c r="T61" s="562"/>
    </row>
    <row r="62" spans="1:20" s="560" customFormat="1" ht="19.5" customHeight="1">
      <c r="A62" s="561"/>
      <c r="B62" s="562"/>
      <c r="C62" s="562"/>
      <c r="D62" s="562"/>
      <c r="E62" s="562"/>
      <c r="F62" s="562"/>
      <c r="G62" s="562"/>
      <c r="H62" s="562"/>
      <c r="I62" s="562"/>
      <c r="J62" s="562"/>
      <c r="K62" s="562"/>
      <c r="L62" s="562"/>
      <c r="M62" s="562"/>
      <c r="N62" s="562"/>
      <c r="O62" s="562"/>
      <c r="P62" s="562"/>
      <c r="Q62" s="562"/>
      <c r="R62" s="562"/>
      <c r="S62" s="562"/>
      <c r="T62" s="562"/>
    </row>
    <row r="63" spans="1:20" s="560" customFormat="1" ht="19.5" customHeight="1">
      <c r="A63" s="561"/>
      <c r="B63" s="562"/>
      <c r="C63" s="562"/>
      <c r="D63" s="562"/>
      <c r="E63" s="562"/>
      <c r="F63" s="562"/>
      <c r="G63" s="562"/>
      <c r="H63" s="562"/>
      <c r="I63" s="562"/>
      <c r="J63" s="562"/>
      <c r="K63" s="562"/>
      <c r="L63" s="562"/>
      <c r="M63" s="562"/>
      <c r="N63" s="562"/>
      <c r="O63" s="562"/>
      <c r="P63" s="562"/>
      <c r="Q63" s="562"/>
      <c r="R63" s="562"/>
      <c r="S63" s="562"/>
      <c r="T63" s="562"/>
    </row>
    <row r="64" spans="1:20" s="560" customFormat="1" ht="19.5" customHeight="1">
      <c r="A64" s="561"/>
      <c r="B64" s="562"/>
      <c r="C64" s="562"/>
      <c r="D64" s="562"/>
      <c r="E64" s="562"/>
      <c r="F64" s="562"/>
      <c r="G64" s="562"/>
      <c r="H64" s="562"/>
      <c r="I64" s="562"/>
      <c r="J64" s="562"/>
      <c r="K64" s="562"/>
      <c r="L64" s="562"/>
      <c r="M64" s="562"/>
      <c r="N64" s="562"/>
      <c r="O64" s="562"/>
      <c r="P64" s="562"/>
      <c r="Q64" s="562"/>
      <c r="R64" s="562"/>
      <c r="S64" s="562"/>
      <c r="T64" s="562"/>
    </row>
    <row r="65" spans="1:20" s="560" customFormat="1" ht="19.5" customHeight="1">
      <c r="A65" s="561"/>
      <c r="B65" s="562"/>
      <c r="C65" s="562"/>
      <c r="D65" s="562"/>
      <c r="E65" s="562"/>
      <c r="F65" s="562"/>
      <c r="G65" s="562"/>
      <c r="H65" s="562"/>
      <c r="I65" s="562"/>
      <c r="J65" s="562"/>
      <c r="K65" s="562"/>
      <c r="L65" s="562"/>
      <c r="M65" s="562"/>
      <c r="N65" s="562"/>
      <c r="O65" s="562"/>
      <c r="P65" s="562"/>
      <c r="Q65" s="562"/>
      <c r="R65" s="562"/>
      <c r="S65" s="562"/>
      <c r="T65" s="562"/>
    </row>
    <row r="66" spans="1:20" s="560" customFormat="1" ht="19.5" customHeight="1">
      <c r="A66" s="561"/>
      <c r="B66" s="562"/>
      <c r="C66" s="562"/>
      <c r="D66" s="562"/>
      <c r="E66" s="562"/>
      <c r="F66" s="562"/>
      <c r="G66" s="562"/>
      <c r="H66" s="562"/>
      <c r="I66" s="562"/>
      <c r="J66" s="562"/>
      <c r="K66" s="562"/>
      <c r="L66" s="562"/>
      <c r="M66" s="562"/>
      <c r="N66" s="562"/>
      <c r="O66" s="562"/>
      <c r="P66" s="562"/>
      <c r="Q66" s="562"/>
      <c r="R66" s="562"/>
      <c r="S66" s="562"/>
      <c r="T66" s="562"/>
    </row>
    <row r="67" spans="1:20" s="560" customFormat="1" ht="19.5" customHeight="1">
      <c r="A67" s="561"/>
      <c r="B67" s="562"/>
      <c r="C67" s="562"/>
      <c r="D67" s="562"/>
      <c r="E67" s="562"/>
      <c r="F67" s="562"/>
      <c r="G67" s="562"/>
      <c r="H67" s="562"/>
      <c r="I67" s="562"/>
      <c r="J67" s="562"/>
      <c r="K67" s="562"/>
      <c r="L67" s="562"/>
      <c r="M67" s="562"/>
      <c r="N67" s="562"/>
      <c r="O67" s="562"/>
      <c r="P67" s="562"/>
      <c r="Q67" s="562"/>
      <c r="R67" s="562"/>
      <c r="S67" s="562"/>
      <c r="T67" s="562"/>
    </row>
    <row r="68" spans="1:20" s="560" customFormat="1" ht="19.5" customHeight="1">
      <c r="A68" s="561"/>
      <c r="B68" s="562"/>
      <c r="C68" s="562"/>
      <c r="D68" s="562"/>
      <c r="E68" s="562"/>
      <c r="F68" s="562"/>
      <c r="G68" s="562"/>
      <c r="H68" s="562"/>
      <c r="I68" s="562"/>
      <c r="J68" s="562"/>
      <c r="K68" s="562"/>
      <c r="L68" s="562"/>
      <c r="M68" s="562"/>
      <c r="N68" s="562"/>
      <c r="O68" s="562"/>
      <c r="P68" s="562"/>
      <c r="Q68" s="562"/>
      <c r="R68" s="562"/>
      <c r="S68" s="562"/>
      <c r="T68" s="562"/>
    </row>
    <row r="69" spans="1:20" s="560" customFormat="1" ht="19.5" customHeight="1">
      <c r="A69" s="561"/>
      <c r="B69" s="562"/>
      <c r="C69" s="562"/>
      <c r="D69" s="562"/>
      <c r="E69" s="562"/>
      <c r="F69" s="562"/>
      <c r="G69" s="562"/>
      <c r="H69" s="562"/>
      <c r="I69" s="562"/>
      <c r="J69" s="562"/>
      <c r="K69" s="562"/>
      <c r="L69" s="562"/>
      <c r="M69" s="562"/>
      <c r="N69" s="562"/>
      <c r="O69" s="562"/>
      <c r="P69" s="562"/>
      <c r="Q69" s="562"/>
      <c r="R69" s="562"/>
      <c r="S69" s="562"/>
      <c r="T69" s="562"/>
    </row>
    <row r="70" spans="1:20" s="560" customFormat="1" ht="19.5" customHeight="1">
      <c r="A70" s="561"/>
      <c r="B70" s="562"/>
      <c r="C70" s="562"/>
      <c r="D70" s="562"/>
      <c r="E70" s="562"/>
      <c r="F70" s="562"/>
      <c r="G70" s="562"/>
      <c r="H70" s="562"/>
      <c r="I70" s="562"/>
      <c r="J70" s="562"/>
      <c r="K70" s="562"/>
      <c r="L70" s="562"/>
      <c r="M70" s="562"/>
      <c r="N70" s="562"/>
      <c r="O70" s="562"/>
      <c r="P70" s="562"/>
      <c r="Q70" s="562"/>
      <c r="R70" s="562"/>
      <c r="S70" s="562"/>
      <c r="T70" s="562"/>
    </row>
    <row r="71" spans="1:20" s="560" customFormat="1" ht="19.5" customHeight="1">
      <c r="A71" s="561"/>
      <c r="B71" s="562"/>
      <c r="C71" s="562"/>
      <c r="D71" s="562"/>
      <c r="E71" s="562"/>
      <c r="F71" s="562"/>
      <c r="G71" s="562"/>
      <c r="H71" s="562"/>
      <c r="I71" s="562"/>
      <c r="J71" s="562"/>
      <c r="K71" s="562"/>
      <c r="L71" s="562"/>
      <c r="M71" s="562"/>
      <c r="N71" s="562"/>
      <c r="O71" s="562"/>
      <c r="P71" s="562"/>
      <c r="Q71" s="562"/>
      <c r="R71" s="562"/>
      <c r="S71" s="562"/>
      <c r="T71" s="562"/>
    </row>
    <row r="72" spans="1:20" s="560" customFormat="1" ht="19.5" customHeight="1">
      <c r="A72" s="561"/>
      <c r="B72" s="562"/>
      <c r="C72" s="562"/>
      <c r="D72" s="562"/>
      <c r="E72" s="562"/>
      <c r="F72" s="562"/>
      <c r="G72" s="562"/>
      <c r="H72" s="562"/>
      <c r="I72" s="562"/>
      <c r="J72" s="562"/>
      <c r="K72" s="562"/>
      <c r="L72" s="562"/>
      <c r="M72" s="562"/>
      <c r="N72" s="562"/>
      <c r="O72" s="562"/>
      <c r="P72" s="562"/>
      <c r="Q72" s="562"/>
      <c r="R72" s="562"/>
      <c r="S72" s="562"/>
      <c r="T72" s="562"/>
    </row>
    <row r="73" ht="19.5" customHeight="1"/>
    <row r="74" ht="9.75" customHeight="1"/>
    <row r="75" ht="19.5" customHeight="1"/>
    <row r="76" ht="19.5" customHeight="1"/>
    <row r="77" ht="19.5" customHeight="1"/>
    <row r="78" spans="1:20" s="560" customFormat="1" ht="19.5" customHeight="1">
      <c r="A78" s="561"/>
      <c r="B78" s="562"/>
      <c r="C78" s="562"/>
      <c r="D78" s="562"/>
      <c r="E78" s="562"/>
      <c r="F78" s="562"/>
      <c r="G78" s="562"/>
      <c r="H78" s="562"/>
      <c r="I78" s="562"/>
      <c r="J78" s="562"/>
      <c r="K78" s="562"/>
      <c r="L78" s="562"/>
      <c r="M78" s="562"/>
      <c r="N78" s="562"/>
      <c r="O78" s="562"/>
      <c r="P78" s="562"/>
      <c r="Q78" s="562"/>
      <c r="R78" s="562"/>
      <c r="S78" s="562"/>
      <c r="T78" s="562"/>
    </row>
    <row r="79" spans="1:20" s="560" customFormat="1" ht="19.5" customHeight="1">
      <c r="A79" s="561"/>
      <c r="B79" s="562"/>
      <c r="C79" s="562"/>
      <c r="D79" s="562"/>
      <c r="E79" s="562"/>
      <c r="F79" s="562"/>
      <c r="G79" s="562"/>
      <c r="H79" s="562"/>
      <c r="I79" s="562"/>
      <c r="J79" s="562"/>
      <c r="K79" s="562"/>
      <c r="L79" s="562"/>
      <c r="M79" s="562"/>
      <c r="N79" s="562"/>
      <c r="O79" s="562"/>
      <c r="P79" s="562"/>
      <c r="Q79" s="562"/>
      <c r="R79" s="562"/>
      <c r="S79" s="562"/>
      <c r="T79" s="562"/>
    </row>
    <row r="80" spans="1:20" s="560" customFormat="1" ht="19.5" customHeight="1">
      <c r="A80" s="561"/>
      <c r="B80" s="562"/>
      <c r="C80" s="562"/>
      <c r="D80" s="562"/>
      <c r="E80" s="562"/>
      <c r="F80" s="562"/>
      <c r="G80" s="562"/>
      <c r="H80" s="562"/>
      <c r="I80" s="562"/>
      <c r="J80" s="562"/>
      <c r="K80" s="562"/>
      <c r="L80" s="562"/>
      <c r="M80" s="562"/>
      <c r="N80" s="562"/>
      <c r="O80" s="562"/>
      <c r="P80" s="562"/>
      <c r="Q80" s="562"/>
      <c r="R80" s="562"/>
      <c r="S80" s="562"/>
      <c r="T80" s="562"/>
    </row>
    <row r="81" spans="1:20" s="560" customFormat="1" ht="19.5" customHeight="1">
      <c r="A81" s="561"/>
      <c r="B81" s="562"/>
      <c r="C81" s="562"/>
      <c r="D81" s="562"/>
      <c r="E81" s="562"/>
      <c r="F81" s="562"/>
      <c r="G81" s="562"/>
      <c r="H81" s="562"/>
      <c r="I81" s="562"/>
      <c r="J81" s="562"/>
      <c r="K81" s="562"/>
      <c r="L81" s="562"/>
      <c r="M81" s="562"/>
      <c r="N81" s="562"/>
      <c r="O81" s="562"/>
      <c r="P81" s="562"/>
      <c r="Q81" s="562"/>
      <c r="R81" s="562"/>
      <c r="S81" s="562"/>
      <c r="T81" s="562"/>
    </row>
    <row r="82" spans="1:20" s="560" customFormat="1" ht="19.5" customHeight="1">
      <c r="A82" s="561"/>
      <c r="B82" s="562"/>
      <c r="C82" s="562"/>
      <c r="D82" s="562"/>
      <c r="E82" s="562"/>
      <c r="F82" s="562"/>
      <c r="G82" s="562"/>
      <c r="H82" s="562"/>
      <c r="I82" s="562"/>
      <c r="J82" s="562"/>
      <c r="K82" s="562"/>
      <c r="L82" s="562"/>
      <c r="M82" s="562"/>
      <c r="N82" s="562"/>
      <c r="O82" s="562"/>
      <c r="P82" s="562"/>
      <c r="Q82" s="562"/>
      <c r="R82" s="562"/>
      <c r="S82" s="562"/>
      <c r="T82" s="562"/>
    </row>
    <row r="83" spans="1:20" s="560" customFormat="1" ht="19.5" customHeight="1">
      <c r="A83" s="561"/>
      <c r="B83" s="562"/>
      <c r="C83" s="562"/>
      <c r="D83" s="562"/>
      <c r="E83" s="562"/>
      <c r="F83" s="562"/>
      <c r="G83" s="562"/>
      <c r="H83" s="562"/>
      <c r="I83" s="562"/>
      <c r="J83" s="562"/>
      <c r="K83" s="562"/>
      <c r="L83" s="562"/>
      <c r="M83" s="562"/>
      <c r="N83" s="562"/>
      <c r="O83" s="562"/>
      <c r="P83" s="562"/>
      <c r="Q83" s="562"/>
      <c r="R83" s="562"/>
      <c r="S83" s="562"/>
      <c r="T83" s="562"/>
    </row>
    <row r="84" spans="1:20" s="560" customFormat="1" ht="19.5" customHeight="1">
      <c r="A84" s="561"/>
      <c r="B84" s="562"/>
      <c r="C84" s="562"/>
      <c r="D84" s="562"/>
      <c r="E84" s="562"/>
      <c r="F84" s="562"/>
      <c r="G84" s="562"/>
      <c r="H84" s="562"/>
      <c r="I84" s="562"/>
      <c r="J84" s="562"/>
      <c r="K84" s="562"/>
      <c r="L84" s="562"/>
      <c r="M84" s="562"/>
      <c r="N84" s="562"/>
      <c r="O84" s="562"/>
      <c r="P84" s="562"/>
      <c r="Q84" s="562"/>
      <c r="R84" s="562"/>
      <c r="S84" s="562"/>
      <c r="T84" s="562"/>
    </row>
    <row r="85" spans="1:20" s="560" customFormat="1" ht="19.5" customHeight="1">
      <c r="A85" s="561"/>
      <c r="B85" s="562"/>
      <c r="C85" s="562"/>
      <c r="D85" s="562"/>
      <c r="E85" s="562"/>
      <c r="F85" s="562"/>
      <c r="G85" s="562"/>
      <c r="H85" s="562"/>
      <c r="I85" s="562"/>
      <c r="J85" s="562"/>
      <c r="K85" s="562"/>
      <c r="L85" s="562"/>
      <c r="M85" s="562"/>
      <c r="N85" s="562"/>
      <c r="O85" s="562"/>
      <c r="P85" s="562"/>
      <c r="Q85" s="562"/>
      <c r="R85" s="562"/>
      <c r="S85" s="562"/>
      <c r="T85" s="562"/>
    </row>
    <row r="86" spans="1:20" s="560" customFormat="1" ht="19.5" customHeight="1">
      <c r="A86" s="561"/>
      <c r="B86" s="562"/>
      <c r="C86" s="562"/>
      <c r="D86" s="562"/>
      <c r="E86" s="562"/>
      <c r="F86" s="562"/>
      <c r="G86" s="562"/>
      <c r="H86" s="562"/>
      <c r="I86" s="562"/>
      <c r="J86" s="562"/>
      <c r="K86" s="562"/>
      <c r="L86" s="562"/>
      <c r="M86" s="562"/>
      <c r="N86" s="562"/>
      <c r="O86" s="562"/>
      <c r="P86" s="562"/>
      <c r="Q86" s="562"/>
      <c r="R86" s="562"/>
      <c r="S86" s="562"/>
      <c r="T86" s="562"/>
    </row>
    <row r="87" spans="1:20" s="560" customFormat="1" ht="19.5" customHeight="1">
      <c r="A87" s="561"/>
      <c r="B87" s="562"/>
      <c r="C87" s="562"/>
      <c r="D87" s="562"/>
      <c r="E87" s="562"/>
      <c r="F87" s="562"/>
      <c r="G87" s="562"/>
      <c r="H87" s="562"/>
      <c r="I87" s="562"/>
      <c r="J87" s="562"/>
      <c r="K87" s="562"/>
      <c r="L87" s="562"/>
      <c r="M87" s="562"/>
      <c r="N87" s="562"/>
      <c r="O87" s="562"/>
      <c r="P87" s="562"/>
      <c r="Q87" s="562"/>
      <c r="R87" s="562"/>
      <c r="S87" s="562"/>
      <c r="T87" s="562"/>
    </row>
    <row r="88" spans="1:20" s="560" customFormat="1" ht="19.5" customHeight="1">
      <c r="A88" s="561"/>
      <c r="B88" s="562"/>
      <c r="C88" s="562"/>
      <c r="D88" s="562"/>
      <c r="E88" s="562"/>
      <c r="F88" s="562"/>
      <c r="G88" s="562"/>
      <c r="H88" s="562"/>
      <c r="I88" s="562"/>
      <c r="J88" s="562"/>
      <c r="K88" s="562"/>
      <c r="L88" s="562"/>
      <c r="M88" s="562"/>
      <c r="N88" s="562"/>
      <c r="O88" s="562"/>
      <c r="P88" s="562"/>
      <c r="Q88" s="562"/>
      <c r="R88" s="562"/>
      <c r="S88" s="562"/>
      <c r="T88" s="562"/>
    </row>
    <row r="89" spans="1:20" s="560" customFormat="1" ht="19.5" customHeight="1">
      <c r="A89" s="561"/>
      <c r="B89" s="562"/>
      <c r="C89" s="562"/>
      <c r="D89" s="562"/>
      <c r="E89" s="562"/>
      <c r="F89" s="562"/>
      <c r="G89" s="562"/>
      <c r="H89" s="562"/>
      <c r="I89" s="562"/>
      <c r="J89" s="562"/>
      <c r="K89" s="562"/>
      <c r="L89" s="562"/>
      <c r="M89" s="562"/>
      <c r="N89" s="562"/>
      <c r="O89" s="562"/>
      <c r="P89" s="562"/>
      <c r="Q89" s="562"/>
      <c r="R89" s="562"/>
      <c r="S89" s="562"/>
      <c r="T89" s="562"/>
    </row>
    <row r="90" spans="1:20" s="560" customFormat="1" ht="19.5" customHeight="1">
      <c r="A90" s="561"/>
      <c r="B90" s="562"/>
      <c r="C90" s="562"/>
      <c r="D90" s="562"/>
      <c r="E90" s="562"/>
      <c r="F90" s="562"/>
      <c r="G90" s="562"/>
      <c r="H90" s="562"/>
      <c r="I90" s="562"/>
      <c r="J90" s="562"/>
      <c r="K90" s="562"/>
      <c r="L90" s="562"/>
      <c r="M90" s="562"/>
      <c r="N90" s="562"/>
      <c r="O90" s="562"/>
      <c r="P90" s="562"/>
      <c r="Q90" s="562"/>
      <c r="R90" s="562"/>
      <c r="S90" s="562"/>
      <c r="T90" s="562"/>
    </row>
    <row r="91" spans="1:20" s="560" customFormat="1" ht="19.5" customHeight="1">
      <c r="A91" s="561"/>
      <c r="B91" s="562"/>
      <c r="C91" s="562"/>
      <c r="D91" s="562"/>
      <c r="E91" s="562"/>
      <c r="F91" s="562"/>
      <c r="G91" s="562"/>
      <c r="H91" s="562"/>
      <c r="I91" s="562"/>
      <c r="J91" s="562"/>
      <c r="K91" s="562"/>
      <c r="L91" s="562"/>
      <c r="M91" s="562"/>
      <c r="N91" s="562"/>
      <c r="O91" s="562"/>
      <c r="P91" s="562"/>
      <c r="Q91" s="562"/>
      <c r="R91" s="562"/>
      <c r="S91" s="562"/>
      <c r="T91" s="562"/>
    </row>
    <row r="92" spans="1:20" s="560" customFormat="1" ht="19.5" customHeight="1">
      <c r="A92" s="561"/>
      <c r="B92" s="562"/>
      <c r="C92" s="562"/>
      <c r="D92" s="562"/>
      <c r="E92" s="562"/>
      <c r="F92" s="562"/>
      <c r="G92" s="562"/>
      <c r="H92" s="562"/>
      <c r="I92" s="562"/>
      <c r="J92" s="562"/>
      <c r="K92" s="562"/>
      <c r="L92" s="562"/>
      <c r="M92" s="562"/>
      <c r="N92" s="562"/>
      <c r="O92" s="562"/>
      <c r="P92" s="562"/>
      <c r="Q92" s="562"/>
      <c r="R92" s="562"/>
      <c r="S92" s="562"/>
      <c r="T92" s="562"/>
    </row>
    <row r="93" spans="1:20" s="560" customFormat="1" ht="19.5" customHeight="1">
      <c r="A93" s="561"/>
      <c r="B93" s="562"/>
      <c r="C93" s="562"/>
      <c r="D93" s="562"/>
      <c r="E93" s="562"/>
      <c r="F93" s="562"/>
      <c r="G93" s="562"/>
      <c r="H93" s="562"/>
      <c r="I93" s="562"/>
      <c r="J93" s="562"/>
      <c r="K93" s="562"/>
      <c r="L93" s="562"/>
      <c r="M93" s="562"/>
      <c r="N93" s="562"/>
      <c r="O93" s="562"/>
      <c r="P93" s="562"/>
      <c r="Q93" s="562"/>
      <c r="R93" s="562"/>
      <c r="S93" s="562"/>
      <c r="T93" s="562"/>
    </row>
    <row r="94" spans="1:20" s="560" customFormat="1" ht="19.5" customHeight="1">
      <c r="A94" s="561"/>
      <c r="B94" s="562"/>
      <c r="C94" s="562"/>
      <c r="D94" s="562"/>
      <c r="E94" s="562"/>
      <c r="F94" s="562"/>
      <c r="G94" s="562"/>
      <c r="H94" s="562"/>
      <c r="I94" s="562"/>
      <c r="J94" s="562"/>
      <c r="K94" s="562"/>
      <c r="L94" s="562"/>
      <c r="M94" s="562"/>
      <c r="N94" s="562"/>
      <c r="O94" s="562"/>
      <c r="P94" s="562"/>
      <c r="Q94" s="562"/>
      <c r="R94" s="562"/>
      <c r="S94" s="562"/>
      <c r="T94" s="562"/>
    </row>
    <row r="95" spans="1:20" s="560" customFormat="1" ht="19.5" customHeight="1">
      <c r="A95" s="561"/>
      <c r="B95" s="562"/>
      <c r="C95" s="562"/>
      <c r="D95" s="562"/>
      <c r="E95" s="562"/>
      <c r="F95" s="562"/>
      <c r="G95" s="562"/>
      <c r="H95" s="562"/>
      <c r="I95" s="562"/>
      <c r="J95" s="562"/>
      <c r="K95" s="562"/>
      <c r="L95" s="562"/>
      <c r="M95" s="562"/>
      <c r="N95" s="562"/>
      <c r="O95" s="562"/>
      <c r="P95" s="562"/>
      <c r="Q95" s="562"/>
      <c r="R95" s="562"/>
      <c r="S95" s="562"/>
      <c r="T95" s="562"/>
    </row>
    <row r="96" spans="1:20" s="560" customFormat="1" ht="19.5" customHeight="1">
      <c r="A96" s="561"/>
      <c r="B96" s="562"/>
      <c r="C96" s="562"/>
      <c r="D96" s="562"/>
      <c r="E96" s="562"/>
      <c r="F96" s="562"/>
      <c r="G96" s="562"/>
      <c r="H96" s="562"/>
      <c r="I96" s="562"/>
      <c r="J96" s="562"/>
      <c r="K96" s="562"/>
      <c r="L96" s="562"/>
      <c r="M96" s="562"/>
      <c r="N96" s="562"/>
      <c r="O96" s="562"/>
      <c r="P96" s="562"/>
      <c r="Q96" s="562"/>
      <c r="R96" s="562"/>
      <c r="S96" s="562"/>
      <c r="T96" s="562"/>
    </row>
    <row r="97" spans="1:20" s="560" customFormat="1" ht="19.5" customHeight="1">
      <c r="A97" s="561"/>
      <c r="B97" s="562"/>
      <c r="C97" s="562"/>
      <c r="D97" s="562"/>
      <c r="E97" s="562"/>
      <c r="F97" s="562"/>
      <c r="G97" s="562"/>
      <c r="H97" s="562"/>
      <c r="I97" s="562"/>
      <c r="J97" s="562"/>
      <c r="K97" s="562"/>
      <c r="L97" s="562"/>
      <c r="M97" s="562"/>
      <c r="N97" s="562"/>
      <c r="O97" s="562"/>
      <c r="P97" s="562"/>
      <c r="Q97" s="562"/>
      <c r="R97" s="562"/>
      <c r="S97" s="562"/>
      <c r="T97" s="562"/>
    </row>
    <row r="98" spans="1:20" s="560" customFormat="1" ht="19.5" customHeight="1">
      <c r="A98" s="561"/>
      <c r="B98" s="562"/>
      <c r="C98" s="562"/>
      <c r="D98" s="562"/>
      <c r="E98" s="562"/>
      <c r="F98" s="562"/>
      <c r="G98" s="562"/>
      <c r="H98" s="562"/>
      <c r="I98" s="562"/>
      <c r="J98" s="562"/>
      <c r="K98" s="562"/>
      <c r="L98" s="562"/>
      <c r="M98" s="562"/>
      <c r="N98" s="562"/>
      <c r="O98" s="562"/>
      <c r="P98" s="562"/>
      <c r="Q98" s="562"/>
      <c r="R98" s="562"/>
      <c r="S98" s="562"/>
      <c r="T98" s="562"/>
    </row>
    <row r="99" spans="1:20" s="560" customFormat="1" ht="19.5" customHeight="1">
      <c r="A99" s="561"/>
      <c r="B99" s="562"/>
      <c r="C99" s="562"/>
      <c r="D99" s="562"/>
      <c r="E99" s="562"/>
      <c r="F99" s="562"/>
      <c r="G99" s="562"/>
      <c r="H99" s="562"/>
      <c r="I99" s="562"/>
      <c r="J99" s="562"/>
      <c r="K99" s="562"/>
      <c r="L99" s="562"/>
      <c r="M99" s="562"/>
      <c r="N99" s="562"/>
      <c r="O99" s="562"/>
      <c r="P99" s="562"/>
      <c r="Q99" s="562"/>
      <c r="R99" s="562"/>
      <c r="S99" s="562"/>
      <c r="T99" s="562"/>
    </row>
    <row r="100" spans="1:20" s="560" customFormat="1" ht="19.5" customHeight="1">
      <c r="A100" s="561"/>
      <c r="B100" s="562"/>
      <c r="C100" s="562"/>
      <c r="D100" s="562"/>
      <c r="E100" s="562"/>
      <c r="F100" s="562"/>
      <c r="G100" s="562"/>
      <c r="H100" s="562"/>
      <c r="I100" s="562"/>
      <c r="J100" s="562"/>
      <c r="K100" s="562"/>
      <c r="L100" s="562"/>
      <c r="M100" s="562"/>
      <c r="N100" s="562"/>
      <c r="O100" s="562"/>
      <c r="P100" s="562"/>
      <c r="Q100" s="562"/>
      <c r="R100" s="562"/>
      <c r="S100" s="562"/>
      <c r="T100" s="562"/>
    </row>
    <row r="101" spans="1:20" s="560" customFormat="1" ht="19.5" customHeight="1">
      <c r="A101" s="561"/>
      <c r="B101" s="562"/>
      <c r="C101" s="562"/>
      <c r="D101" s="562"/>
      <c r="E101" s="562"/>
      <c r="F101" s="562"/>
      <c r="G101" s="562"/>
      <c r="H101" s="562"/>
      <c r="I101" s="562"/>
      <c r="J101" s="562"/>
      <c r="K101" s="562"/>
      <c r="L101" s="562"/>
      <c r="M101" s="562"/>
      <c r="N101" s="562"/>
      <c r="O101" s="562"/>
      <c r="P101" s="562"/>
      <c r="Q101" s="562"/>
      <c r="R101" s="562"/>
      <c r="S101" s="562"/>
      <c r="T101" s="562"/>
    </row>
    <row r="102" spans="1:20" s="560" customFormat="1" ht="19.5" customHeight="1">
      <c r="A102" s="561"/>
      <c r="B102" s="562"/>
      <c r="C102" s="562"/>
      <c r="D102" s="562"/>
      <c r="E102" s="562"/>
      <c r="F102" s="562"/>
      <c r="G102" s="562"/>
      <c r="H102" s="562"/>
      <c r="I102" s="562"/>
      <c r="J102" s="562"/>
      <c r="K102" s="562"/>
      <c r="L102" s="562"/>
      <c r="M102" s="562"/>
      <c r="N102" s="562"/>
      <c r="O102" s="562"/>
      <c r="P102" s="562"/>
      <c r="Q102" s="562"/>
      <c r="R102" s="562"/>
      <c r="S102" s="562"/>
      <c r="T102" s="562"/>
    </row>
    <row r="103" spans="1:20" s="560" customFormat="1" ht="19.5" customHeight="1">
      <c r="A103" s="561"/>
      <c r="B103" s="562"/>
      <c r="C103" s="562"/>
      <c r="D103" s="562"/>
      <c r="E103" s="562"/>
      <c r="F103" s="562"/>
      <c r="G103" s="562"/>
      <c r="H103" s="562"/>
      <c r="I103" s="562"/>
      <c r="J103" s="562"/>
      <c r="K103" s="562"/>
      <c r="L103" s="562"/>
      <c r="M103" s="562"/>
      <c r="N103" s="562"/>
      <c r="O103" s="562"/>
      <c r="P103" s="562"/>
      <c r="Q103" s="562"/>
      <c r="R103" s="562"/>
      <c r="S103" s="562"/>
      <c r="T103" s="562"/>
    </row>
    <row r="104" spans="1:20" s="560" customFormat="1" ht="19.5" customHeight="1">
      <c r="A104" s="561"/>
      <c r="B104" s="562"/>
      <c r="C104" s="562"/>
      <c r="D104" s="562"/>
      <c r="E104" s="562"/>
      <c r="F104" s="562"/>
      <c r="G104" s="562"/>
      <c r="H104" s="562"/>
      <c r="I104" s="562"/>
      <c r="J104" s="562"/>
      <c r="K104" s="562"/>
      <c r="L104" s="562"/>
      <c r="M104" s="562"/>
      <c r="N104" s="562"/>
      <c r="O104" s="562"/>
      <c r="P104" s="562"/>
      <c r="Q104" s="562"/>
      <c r="R104" s="562"/>
      <c r="S104" s="562"/>
      <c r="T104" s="562"/>
    </row>
    <row r="105" spans="1:20" s="560" customFormat="1" ht="19.5" customHeight="1">
      <c r="A105" s="561"/>
      <c r="B105" s="562"/>
      <c r="C105" s="562"/>
      <c r="D105" s="562"/>
      <c r="E105" s="562"/>
      <c r="F105" s="562"/>
      <c r="G105" s="562"/>
      <c r="H105" s="562"/>
      <c r="I105" s="562"/>
      <c r="J105" s="562"/>
      <c r="K105" s="562"/>
      <c r="L105" s="562"/>
      <c r="M105" s="562"/>
      <c r="N105" s="562"/>
      <c r="O105" s="562"/>
      <c r="P105" s="562"/>
      <c r="Q105" s="562"/>
      <c r="R105" s="562"/>
      <c r="S105" s="562"/>
      <c r="T105" s="562"/>
    </row>
    <row r="106" spans="1:20" s="560" customFormat="1" ht="19.5" customHeight="1">
      <c r="A106" s="561"/>
      <c r="B106" s="562"/>
      <c r="C106" s="562"/>
      <c r="D106" s="562"/>
      <c r="E106" s="562"/>
      <c r="F106" s="562"/>
      <c r="G106" s="562"/>
      <c r="H106" s="562"/>
      <c r="I106" s="562"/>
      <c r="J106" s="562"/>
      <c r="K106" s="562"/>
      <c r="L106" s="562"/>
      <c r="M106" s="562"/>
      <c r="N106" s="562"/>
      <c r="O106" s="562"/>
      <c r="P106" s="562"/>
      <c r="Q106" s="562"/>
      <c r="R106" s="562"/>
      <c r="S106" s="562"/>
      <c r="T106" s="562"/>
    </row>
    <row r="107" spans="1:20" s="560" customFormat="1" ht="19.5" customHeight="1">
      <c r="A107" s="561"/>
      <c r="B107" s="562"/>
      <c r="C107" s="562"/>
      <c r="D107" s="562"/>
      <c r="E107" s="562"/>
      <c r="F107" s="562"/>
      <c r="G107" s="562"/>
      <c r="H107" s="562"/>
      <c r="I107" s="562"/>
      <c r="J107" s="562"/>
      <c r="K107" s="562"/>
      <c r="L107" s="562"/>
      <c r="M107" s="562"/>
      <c r="N107" s="562"/>
      <c r="O107" s="562"/>
      <c r="P107" s="562"/>
      <c r="Q107" s="562"/>
      <c r="R107" s="562"/>
      <c r="S107" s="562"/>
      <c r="T107" s="562"/>
    </row>
    <row r="108" spans="1:20" s="560" customFormat="1" ht="19.5" customHeight="1">
      <c r="A108" s="561"/>
      <c r="B108" s="562"/>
      <c r="C108" s="562"/>
      <c r="D108" s="562"/>
      <c r="E108" s="562"/>
      <c r="F108" s="562"/>
      <c r="G108" s="562"/>
      <c r="H108" s="562"/>
      <c r="I108" s="562"/>
      <c r="J108" s="562"/>
      <c r="K108" s="562"/>
      <c r="L108" s="562"/>
      <c r="M108" s="562"/>
      <c r="N108" s="562"/>
      <c r="O108" s="562"/>
      <c r="P108" s="562"/>
      <c r="Q108" s="562"/>
      <c r="R108" s="562"/>
      <c r="S108" s="562"/>
      <c r="T108" s="562"/>
    </row>
    <row r="109" spans="1:20" s="560" customFormat="1" ht="19.5" customHeight="1">
      <c r="A109" s="561"/>
      <c r="B109" s="562"/>
      <c r="C109" s="562"/>
      <c r="D109" s="562"/>
      <c r="E109" s="562"/>
      <c r="F109" s="562"/>
      <c r="G109" s="562"/>
      <c r="H109" s="562"/>
      <c r="I109" s="562"/>
      <c r="J109" s="562"/>
      <c r="K109" s="562"/>
      <c r="L109" s="562"/>
      <c r="M109" s="562"/>
      <c r="N109" s="562"/>
      <c r="O109" s="562"/>
      <c r="P109" s="562"/>
      <c r="Q109" s="562"/>
      <c r="R109" s="562"/>
      <c r="S109" s="562"/>
      <c r="T109" s="562"/>
    </row>
    <row r="110" spans="1:20" s="560" customFormat="1" ht="19.5" customHeight="1">
      <c r="A110" s="561"/>
      <c r="B110" s="562"/>
      <c r="C110" s="562"/>
      <c r="D110" s="562"/>
      <c r="E110" s="562"/>
      <c r="F110" s="562"/>
      <c r="G110" s="562"/>
      <c r="H110" s="562"/>
      <c r="I110" s="562"/>
      <c r="J110" s="562"/>
      <c r="K110" s="562"/>
      <c r="L110" s="562"/>
      <c r="M110" s="562"/>
      <c r="N110" s="562"/>
      <c r="O110" s="562"/>
      <c r="P110" s="562"/>
      <c r="Q110" s="562"/>
      <c r="R110" s="562"/>
      <c r="S110" s="562"/>
      <c r="T110" s="562"/>
    </row>
    <row r="111" spans="1:20" s="560" customFormat="1" ht="19.5" customHeight="1">
      <c r="A111" s="561"/>
      <c r="B111" s="562"/>
      <c r="C111" s="562"/>
      <c r="D111" s="562"/>
      <c r="E111" s="562"/>
      <c r="F111" s="562"/>
      <c r="G111" s="562"/>
      <c r="H111" s="562"/>
      <c r="I111" s="562"/>
      <c r="J111" s="562"/>
      <c r="K111" s="562"/>
      <c r="L111" s="562"/>
      <c r="M111" s="562"/>
      <c r="N111" s="562"/>
      <c r="O111" s="562"/>
      <c r="P111" s="562"/>
      <c r="Q111" s="562"/>
      <c r="R111" s="562"/>
      <c r="S111" s="562"/>
      <c r="T111" s="562"/>
    </row>
    <row r="112" spans="1:20" s="560" customFormat="1" ht="19.5" customHeight="1">
      <c r="A112" s="561"/>
      <c r="B112" s="562"/>
      <c r="C112" s="562"/>
      <c r="D112" s="562"/>
      <c r="E112" s="562"/>
      <c r="F112" s="562"/>
      <c r="G112" s="562"/>
      <c r="H112" s="562"/>
      <c r="I112" s="562"/>
      <c r="J112" s="562"/>
      <c r="K112" s="562"/>
      <c r="L112" s="562"/>
      <c r="M112" s="562"/>
      <c r="N112" s="562"/>
      <c r="O112" s="562"/>
      <c r="P112" s="562"/>
      <c r="Q112" s="562"/>
      <c r="R112" s="562"/>
      <c r="S112" s="562"/>
      <c r="T112" s="562"/>
    </row>
    <row r="113" spans="1:20" s="560" customFormat="1" ht="19.5" customHeight="1">
      <c r="A113" s="561"/>
      <c r="B113" s="562"/>
      <c r="C113" s="562"/>
      <c r="D113" s="562"/>
      <c r="E113" s="562"/>
      <c r="F113" s="562"/>
      <c r="G113" s="562"/>
      <c r="H113" s="562"/>
      <c r="I113" s="562"/>
      <c r="J113" s="562"/>
      <c r="K113" s="562"/>
      <c r="L113" s="562"/>
      <c r="M113" s="562"/>
      <c r="N113" s="562"/>
      <c r="O113" s="562"/>
      <c r="P113" s="562"/>
      <c r="Q113" s="562"/>
      <c r="R113" s="562"/>
      <c r="S113" s="562"/>
      <c r="T113" s="562"/>
    </row>
    <row r="114" spans="1:20" s="560" customFormat="1" ht="19.5" customHeight="1">
      <c r="A114" s="561"/>
      <c r="B114" s="562"/>
      <c r="C114" s="562"/>
      <c r="D114" s="562"/>
      <c r="E114" s="562"/>
      <c r="F114" s="562"/>
      <c r="G114" s="562"/>
      <c r="H114" s="562"/>
      <c r="I114" s="562"/>
      <c r="J114" s="562"/>
      <c r="K114" s="562"/>
      <c r="L114" s="562"/>
      <c r="M114" s="562"/>
      <c r="N114" s="562"/>
      <c r="O114" s="562"/>
      <c r="P114" s="562"/>
      <c r="Q114" s="562"/>
      <c r="R114" s="562"/>
      <c r="S114" s="562"/>
      <c r="T114" s="562"/>
    </row>
    <row r="115" ht="19.5" customHeight="1"/>
    <row r="116" ht="9.75" customHeight="1"/>
    <row r="117" ht="19.5" customHeight="1"/>
    <row r="118" ht="19.5" customHeight="1"/>
    <row r="119" ht="19.5" customHeight="1"/>
    <row r="120" ht="19.5" customHeight="1"/>
    <row r="121" spans="1:20" s="560" customFormat="1" ht="19.5" customHeight="1">
      <c r="A121" s="561"/>
      <c r="B121" s="562"/>
      <c r="C121" s="562"/>
      <c r="D121" s="562"/>
      <c r="E121" s="562"/>
      <c r="F121" s="562"/>
      <c r="G121" s="562"/>
      <c r="H121" s="562"/>
      <c r="I121" s="562"/>
      <c r="J121" s="562"/>
      <c r="K121" s="562"/>
      <c r="L121" s="562"/>
      <c r="M121" s="562"/>
      <c r="N121" s="562"/>
      <c r="O121" s="562"/>
      <c r="P121" s="562"/>
      <c r="Q121" s="562"/>
      <c r="R121" s="562"/>
      <c r="S121" s="562"/>
      <c r="T121" s="562"/>
    </row>
    <row r="122" spans="1:20" s="560" customFormat="1" ht="19.5" customHeight="1">
      <c r="A122" s="561"/>
      <c r="B122" s="562"/>
      <c r="C122" s="562"/>
      <c r="D122" s="562"/>
      <c r="E122" s="562"/>
      <c r="F122" s="562"/>
      <c r="G122" s="562"/>
      <c r="H122" s="562"/>
      <c r="I122" s="562"/>
      <c r="J122" s="562"/>
      <c r="K122" s="562"/>
      <c r="L122" s="562"/>
      <c r="M122" s="562"/>
      <c r="N122" s="562"/>
      <c r="O122" s="562"/>
      <c r="P122" s="562"/>
      <c r="Q122" s="562"/>
      <c r="R122" s="562"/>
      <c r="S122" s="562"/>
      <c r="T122" s="562"/>
    </row>
    <row r="123" spans="1:20" s="560" customFormat="1" ht="19.5" customHeight="1">
      <c r="A123" s="561"/>
      <c r="B123" s="562"/>
      <c r="C123" s="562"/>
      <c r="D123" s="562"/>
      <c r="E123" s="562"/>
      <c r="F123" s="562"/>
      <c r="G123" s="562"/>
      <c r="H123" s="562"/>
      <c r="I123" s="562"/>
      <c r="J123" s="562"/>
      <c r="K123" s="562"/>
      <c r="L123" s="562"/>
      <c r="M123" s="562"/>
      <c r="N123" s="562"/>
      <c r="O123" s="562"/>
      <c r="P123" s="562"/>
      <c r="Q123" s="562"/>
      <c r="R123" s="562"/>
      <c r="S123" s="562"/>
      <c r="T123" s="562"/>
    </row>
    <row r="124" spans="1:20" s="560" customFormat="1" ht="19.5" customHeight="1">
      <c r="A124" s="561"/>
      <c r="B124" s="562"/>
      <c r="C124" s="562"/>
      <c r="D124" s="562"/>
      <c r="E124" s="562"/>
      <c r="F124" s="562"/>
      <c r="G124" s="562"/>
      <c r="H124" s="562"/>
      <c r="I124" s="562"/>
      <c r="J124" s="562"/>
      <c r="K124" s="562"/>
      <c r="L124" s="562"/>
      <c r="M124" s="562"/>
      <c r="N124" s="562"/>
      <c r="O124" s="562"/>
      <c r="P124" s="562"/>
      <c r="Q124" s="562"/>
      <c r="R124" s="562"/>
      <c r="S124" s="562"/>
      <c r="T124" s="562"/>
    </row>
    <row r="125" spans="1:20" s="560" customFormat="1" ht="19.5" customHeight="1">
      <c r="A125" s="561"/>
      <c r="B125" s="562"/>
      <c r="C125" s="562"/>
      <c r="D125" s="562"/>
      <c r="E125" s="562"/>
      <c r="F125" s="562"/>
      <c r="G125" s="562"/>
      <c r="H125" s="562"/>
      <c r="I125" s="562"/>
      <c r="J125" s="562"/>
      <c r="K125" s="562"/>
      <c r="L125" s="562"/>
      <c r="M125" s="562"/>
      <c r="N125" s="562"/>
      <c r="O125" s="562"/>
      <c r="P125" s="562"/>
      <c r="Q125" s="562"/>
      <c r="R125" s="562"/>
      <c r="S125" s="562"/>
      <c r="T125" s="562"/>
    </row>
    <row r="126" spans="1:20" s="560" customFormat="1" ht="19.5" customHeight="1">
      <c r="A126" s="561"/>
      <c r="B126" s="562"/>
      <c r="C126" s="562"/>
      <c r="D126" s="562"/>
      <c r="E126" s="562"/>
      <c r="F126" s="562"/>
      <c r="G126" s="562"/>
      <c r="H126" s="562"/>
      <c r="I126" s="562"/>
      <c r="J126" s="562"/>
      <c r="K126" s="562"/>
      <c r="L126" s="562"/>
      <c r="M126" s="562"/>
      <c r="N126" s="562"/>
      <c r="O126" s="562"/>
      <c r="P126" s="562"/>
      <c r="Q126" s="562"/>
      <c r="R126" s="562"/>
      <c r="S126" s="562"/>
      <c r="T126" s="562"/>
    </row>
    <row r="127" spans="1:20" s="560" customFormat="1" ht="19.5" customHeight="1">
      <c r="A127" s="561"/>
      <c r="B127" s="562"/>
      <c r="C127" s="562"/>
      <c r="D127" s="562"/>
      <c r="E127" s="562"/>
      <c r="F127" s="562"/>
      <c r="G127" s="562"/>
      <c r="H127" s="562"/>
      <c r="I127" s="562"/>
      <c r="J127" s="562"/>
      <c r="K127" s="562"/>
      <c r="L127" s="562"/>
      <c r="M127" s="562"/>
      <c r="N127" s="562"/>
      <c r="O127" s="562"/>
      <c r="P127" s="562"/>
      <c r="Q127" s="562"/>
      <c r="R127" s="562"/>
      <c r="S127" s="562"/>
      <c r="T127" s="562"/>
    </row>
    <row r="128" spans="1:20" s="560" customFormat="1" ht="19.5" customHeight="1">
      <c r="A128" s="561"/>
      <c r="B128" s="562"/>
      <c r="C128" s="562"/>
      <c r="D128" s="562"/>
      <c r="E128" s="562"/>
      <c r="F128" s="562"/>
      <c r="G128" s="562"/>
      <c r="H128" s="562"/>
      <c r="I128" s="562"/>
      <c r="J128" s="562"/>
      <c r="K128" s="562"/>
      <c r="L128" s="562"/>
      <c r="M128" s="562"/>
      <c r="N128" s="562"/>
      <c r="O128" s="562"/>
      <c r="P128" s="562"/>
      <c r="Q128" s="562"/>
      <c r="R128" s="562"/>
      <c r="S128" s="562"/>
      <c r="T128" s="562"/>
    </row>
    <row r="129" spans="1:20" s="560" customFormat="1" ht="19.5" customHeight="1">
      <c r="A129" s="561"/>
      <c r="B129" s="562"/>
      <c r="C129" s="562"/>
      <c r="D129" s="562"/>
      <c r="E129" s="562"/>
      <c r="F129" s="562"/>
      <c r="G129" s="562"/>
      <c r="H129" s="562"/>
      <c r="I129" s="562"/>
      <c r="J129" s="562"/>
      <c r="K129" s="562"/>
      <c r="L129" s="562"/>
      <c r="M129" s="562"/>
      <c r="N129" s="562"/>
      <c r="O129" s="562"/>
      <c r="P129" s="562"/>
      <c r="Q129" s="562"/>
      <c r="R129" s="562"/>
      <c r="S129" s="562"/>
      <c r="T129" s="562"/>
    </row>
    <row r="130" spans="1:20" s="560" customFormat="1" ht="19.5" customHeight="1">
      <c r="A130" s="561"/>
      <c r="B130" s="562"/>
      <c r="C130" s="562"/>
      <c r="D130" s="562"/>
      <c r="E130" s="562"/>
      <c r="F130" s="562"/>
      <c r="G130" s="562"/>
      <c r="H130" s="562"/>
      <c r="I130" s="562"/>
      <c r="J130" s="562"/>
      <c r="K130" s="562"/>
      <c r="L130" s="562"/>
      <c r="M130" s="562"/>
      <c r="N130" s="562"/>
      <c r="O130" s="562"/>
      <c r="P130" s="562"/>
      <c r="Q130" s="562"/>
      <c r="R130" s="562"/>
      <c r="S130" s="562"/>
      <c r="T130" s="562"/>
    </row>
    <row r="131" spans="1:20" s="560" customFormat="1" ht="19.5" customHeight="1">
      <c r="A131" s="561"/>
      <c r="B131" s="562"/>
      <c r="C131" s="562"/>
      <c r="D131" s="562"/>
      <c r="E131" s="562"/>
      <c r="F131" s="562"/>
      <c r="G131" s="562"/>
      <c r="H131" s="562"/>
      <c r="I131" s="562"/>
      <c r="J131" s="562"/>
      <c r="K131" s="562"/>
      <c r="L131" s="562"/>
      <c r="M131" s="562"/>
      <c r="N131" s="562"/>
      <c r="O131" s="562"/>
      <c r="P131" s="562"/>
      <c r="Q131" s="562"/>
      <c r="R131" s="562"/>
      <c r="S131" s="562"/>
      <c r="T131" s="562"/>
    </row>
    <row r="132" spans="1:20" s="560" customFormat="1" ht="19.5" customHeight="1">
      <c r="A132" s="561"/>
      <c r="B132" s="562"/>
      <c r="C132" s="562"/>
      <c r="D132" s="562"/>
      <c r="E132" s="562"/>
      <c r="F132" s="562"/>
      <c r="G132" s="562"/>
      <c r="H132" s="562"/>
      <c r="I132" s="562"/>
      <c r="J132" s="562"/>
      <c r="K132" s="562"/>
      <c r="L132" s="562"/>
      <c r="M132" s="562"/>
      <c r="N132" s="562"/>
      <c r="O132" s="562"/>
      <c r="P132" s="562"/>
      <c r="Q132" s="562"/>
      <c r="R132" s="562"/>
      <c r="S132" s="562"/>
      <c r="T132" s="562"/>
    </row>
    <row r="133" spans="1:20" s="560" customFormat="1" ht="19.5" customHeight="1">
      <c r="A133" s="561"/>
      <c r="B133" s="562"/>
      <c r="C133" s="562"/>
      <c r="D133" s="562"/>
      <c r="E133" s="562"/>
      <c r="F133" s="562"/>
      <c r="G133" s="562"/>
      <c r="H133" s="562"/>
      <c r="I133" s="562"/>
      <c r="J133" s="562"/>
      <c r="K133" s="562"/>
      <c r="L133" s="562"/>
      <c r="M133" s="562"/>
      <c r="N133" s="562"/>
      <c r="O133" s="562"/>
      <c r="P133" s="562"/>
      <c r="Q133" s="562"/>
      <c r="R133" s="562"/>
      <c r="S133" s="562"/>
      <c r="T133" s="562"/>
    </row>
    <row r="134" spans="1:20" s="560" customFormat="1" ht="19.5" customHeight="1">
      <c r="A134" s="561"/>
      <c r="B134" s="562"/>
      <c r="C134" s="562"/>
      <c r="D134" s="562"/>
      <c r="E134" s="562"/>
      <c r="F134" s="562"/>
      <c r="G134" s="562"/>
      <c r="H134" s="562"/>
      <c r="I134" s="562"/>
      <c r="J134" s="562"/>
      <c r="K134" s="562"/>
      <c r="L134" s="562"/>
      <c r="M134" s="562"/>
      <c r="N134" s="562"/>
      <c r="O134" s="562"/>
      <c r="P134" s="562"/>
      <c r="Q134" s="562"/>
      <c r="R134" s="562"/>
      <c r="S134" s="562"/>
      <c r="T134" s="562"/>
    </row>
    <row r="135" spans="1:20" s="560" customFormat="1" ht="19.5" customHeight="1">
      <c r="A135" s="561"/>
      <c r="B135" s="562"/>
      <c r="C135" s="562"/>
      <c r="D135" s="562"/>
      <c r="E135" s="562"/>
      <c r="F135" s="562"/>
      <c r="G135" s="562"/>
      <c r="H135" s="562"/>
      <c r="I135" s="562"/>
      <c r="J135" s="562"/>
      <c r="K135" s="562"/>
      <c r="L135" s="562"/>
      <c r="M135" s="562"/>
      <c r="N135" s="562"/>
      <c r="O135" s="562"/>
      <c r="P135" s="562"/>
      <c r="Q135" s="562"/>
      <c r="R135" s="562"/>
      <c r="S135" s="562"/>
      <c r="T135" s="562"/>
    </row>
    <row r="136" spans="1:20" s="560" customFormat="1" ht="19.5" customHeight="1">
      <c r="A136" s="561"/>
      <c r="B136" s="562"/>
      <c r="C136" s="562"/>
      <c r="D136" s="562"/>
      <c r="E136" s="562"/>
      <c r="F136" s="562"/>
      <c r="G136" s="562"/>
      <c r="H136" s="562"/>
      <c r="I136" s="562"/>
      <c r="J136" s="562"/>
      <c r="K136" s="562"/>
      <c r="L136" s="562"/>
      <c r="M136" s="562"/>
      <c r="N136" s="562"/>
      <c r="O136" s="562"/>
      <c r="P136" s="562"/>
      <c r="Q136" s="562"/>
      <c r="R136" s="562"/>
      <c r="S136" s="562"/>
      <c r="T136" s="562"/>
    </row>
    <row r="137" spans="1:20" s="560" customFormat="1" ht="19.5" customHeight="1">
      <c r="A137" s="561"/>
      <c r="B137" s="562"/>
      <c r="C137" s="562"/>
      <c r="D137" s="562"/>
      <c r="E137" s="562"/>
      <c r="F137" s="562"/>
      <c r="G137" s="562"/>
      <c r="H137" s="562"/>
      <c r="I137" s="562"/>
      <c r="J137" s="562"/>
      <c r="K137" s="562"/>
      <c r="L137" s="562"/>
      <c r="M137" s="562"/>
      <c r="N137" s="562"/>
      <c r="O137" s="562"/>
      <c r="P137" s="562"/>
      <c r="Q137" s="562"/>
      <c r="R137" s="562"/>
      <c r="S137" s="562"/>
      <c r="T137" s="562"/>
    </row>
    <row r="138" spans="1:20" s="560" customFormat="1" ht="19.5" customHeight="1">
      <c r="A138" s="561"/>
      <c r="B138" s="562"/>
      <c r="C138" s="562"/>
      <c r="D138" s="562"/>
      <c r="E138" s="562"/>
      <c r="F138" s="562"/>
      <c r="G138" s="562"/>
      <c r="H138" s="562"/>
      <c r="I138" s="562"/>
      <c r="J138" s="562"/>
      <c r="K138" s="562"/>
      <c r="L138" s="562"/>
      <c r="M138" s="562"/>
      <c r="N138" s="562"/>
      <c r="O138" s="562"/>
      <c r="P138" s="562"/>
      <c r="Q138" s="562"/>
      <c r="R138" s="562"/>
      <c r="S138" s="562"/>
      <c r="T138" s="562"/>
    </row>
    <row r="139" spans="1:20" s="560" customFormat="1" ht="19.5" customHeight="1">
      <c r="A139" s="561"/>
      <c r="B139" s="562"/>
      <c r="C139" s="562"/>
      <c r="D139" s="562"/>
      <c r="E139" s="562"/>
      <c r="F139" s="562"/>
      <c r="G139" s="562"/>
      <c r="H139" s="562"/>
      <c r="I139" s="562"/>
      <c r="J139" s="562"/>
      <c r="K139" s="562"/>
      <c r="L139" s="562"/>
      <c r="M139" s="562"/>
      <c r="N139" s="562"/>
      <c r="O139" s="562"/>
      <c r="P139" s="562"/>
      <c r="Q139" s="562"/>
      <c r="R139" s="562"/>
      <c r="S139" s="562"/>
      <c r="T139" s="562"/>
    </row>
    <row r="140" spans="1:20" s="560" customFormat="1" ht="19.5" customHeight="1">
      <c r="A140" s="561"/>
      <c r="B140" s="562"/>
      <c r="C140" s="562"/>
      <c r="D140" s="562"/>
      <c r="E140" s="562"/>
      <c r="F140" s="562"/>
      <c r="G140" s="562"/>
      <c r="H140" s="562"/>
      <c r="I140" s="562"/>
      <c r="J140" s="562"/>
      <c r="K140" s="562"/>
      <c r="L140" s="562"/>
      <c r="M140" s="562"/>
      <c r="N140" s="562"/>
      <c r="O140" s="562"/>
      <c r="P140" s="562"/>
      <c r="Q140" s="562"/>
      <c r="R140" s="562"/>
      <c r="S140" s="562"/>
      <c r="T140" s="562"/>
    </row>
    <row r="141" spans="1:20" s="560" customFormat="1" ht="19.5" customHeight="1">
      <c r="A141" s="561"/>
      <c r="B141" s="562"/>
      <c r="C141" s="562"/>
      <c r="D141" s="562"/>
      <c r="E141" s="562"/>
      <c r="F141" s="562"/>
      <c r="G141" s="562"/>
      <c r="H141" s="562"/>
      <c r="I141" s="562"/>
      <c r="J141" s="562"/>
      <c r="K141" s="562"/>
      <c r="L141" s="562"/>
      <c r="M141" s="562"/>
      <c r="N141" s="562"/>
      <c r="O141" s="562"/>
      <c r="P141" s="562"/>
      <c r="Q141" s="562"/>
      <c r="R141" s="562"/>
      <c r="S141" s="562"/>
      <c r="T141" s="562"/>
    </row>
    <row r="142" spans="1:20" s="560" customFormat="1" ht="19.5" customHeight="1">
      <c r="A142" s="561"/>
      <c r="B142" s="562"/>
      <c r="C142" s="562"/>
      <c r="D142" s="562"/>
      <c r="E142" s="562"/>
      <c r="F142" s="562"/>
      <c r="G142" s="562"/>
      <c r="H142" s="562"/>
      <c r="I142" s="562"/>
      <c r="J142" s="562"/>
      <c r="K142" s="562"/>
      <c r="L142" s="562"/>
      <c r="M142" s="562"/>
      <c r="N142" s="562"/>
      <c r="O142" s="562"/>
      <c r="P142" s="562"/>
      <c r="Q142" s="562"/>
      <c r="R142" s="562"/>
      <c r="S142" s="562"/>
      <c r="T142" s="562"/>
    </row>
    <row r="143" spans="1:20" s="560" customFormat="1" ht="19.5" customHeight="1">
      <c r="A143" s="561"/>
      <c r="B143" s="562"/>
      <c r="C143" s="562"/>
      <c r="D143" s="562"/>
      <c r="E143" s="562"/>
      <c r="F143" s="562"/>
      <c r="G143" s="562"/>
      <c r="H143" s="562"/>
      <c r="I143" s="562"/>
      <c r="J143" s="562"/>
      <c r="K143" s="562"/>
      <c r="L143" s="562"/>
      <c r="M143" s="562"/>
      <c r="N143" s="562"/>
      <c r="O143" s="562"/>
      <c r="P143" s="562"/>
      <c r="Q143" s="562"/>
      <c r="R143" s="562"/>
      <c r="S143" s="562"/>
      <c r="T143" s="562"/>
    </row>
    <row r="144" spans="1:20" s="560" customFormat="1" ht="19.5" customHeight="1">
      <c r="A144" s="561"/>
      <c r="B144" s="562"/>
      <c r="C144" s="562"/>
      <c r="D144" s="562"/>
      <c r="E144" s="562"/>
      <c r="F144" s="562"/>
      <c r="G144" s="562"/>
      <c r="H144" s="562"/>
      <c r="I144" s="562"/>
      <c r="J144" s="562"/>
      <c r="K144" s="562"/>
      <c r="L144" s="562"/>
      <c r="M144" s="562"/>
      <c r="N144" s="562"/>
      <c r="O144" s="562"/>
      <c r="P144" s="562"/>
      <c r="Q144" s="562"/>
      <c r="R144" s="562"/>
      <c r="S144" s="562"/>
      <c r="T144" s="562"/>
    </row>
    <row r="145" spans="1:20" s="560" customFormat="1" ht="19.5" customHeight="1">
      <c r="A145" s="561"/>
      <c r="B145" s="562"/>
      <c r="C145" s="562"/>
      <c r="D145" s="562"/>
      <c r="E145" s="562"/>
      <c r="F145" s="562"/>
      <c r="G145" s="562"/>
      <c r="H145" s="562"/>
      <c r="I145" s="562"/>
      <c r="J145" s="562"/>
      <c r="K145" s="562"/>
      <c r="L145" s="562"/>
      <c r="M145" s="562"/>
      <c r="N145" s="562"/>
      <c r="O145" s="562"/>
      <c r="P145" s="562"/>
      <c r="Q145" s="562"/>
      <c r="R145" s="562"/>
      <c r="S145" s="562"/>
      <c r="T145" s="562"/>
    </row>
    <row r="146" spans="1:20" s="560" customFormat="1" ht="19.5" customHeight="1">
      <c r="A146" s="561"/>
      <c r="B146" s="562"/>
      <c r="C146" s="562"/>
      <c r="D146" s="562"/>
      <c r="E146" s="562"/>
      <c r="F146" s="562"/>
      <c r="G146" s="562"/>
      <c r="H146" s="562"/>
      <c r="I146" s="562"/>
      <c r="J146" s="562"/>
      <c r="K146" s="562"/>
      <c r="L146" s="562"/>
      <c r="M146" s="562"/>
      <c r="N146" s="562"/>
      <c r="O146" s="562"/>
      <c r="P146" s="562"/>
      <c r="Q146" s="562"/>
      <c r="R146" s="562"/>
      <c r="S146" s="562"/>
      <c r="T146" s="562"/>
    </row>
    <row r="147" spans="1:20" s="560" customFormat="1" ht="19.5" customHeight="1">
      <c r="A147" s="561"/>
      <c r="B147" s="562"/>
      <c r="C147" s="562"/>
      <c r="D147" s="562"/>
      <c r="E147" s="562"/>
      <c r="F147" s="562"/>
      <c r="G147" s="562"/>
      <c r="H147" s="562"/>
      <c r="I147" s="562"/>
      <c r="J147" s="562"/>
      <c r="K147" s="562"/>
      <c r="L147" s="562"/>
      <c r="M147" s="562"/>
      <c r="N147" s="562"/>
      <c r="O147" s="562"/>
      <c r="P147" s="562"/>
      <c r="Q147" s="562"/>
      <c r="R147" s="562"/>
      <c r="S147" s="562"/>
      <c r="T147" s="562"/>
    </row>
    <row r="148" spans="1:20" s="560" customFormat="1" ht="19.5" customHeight="1">
      <c r="A148" s="561"/>
      <c r="B148" s="562"/>
      <c r="C148" s="562"/>
      <c r="D148" s="562"/>
      <c r="E148" s="562"/>
      <c r="F148" s="562"/>
      <c r="G148" s="562"/>
      <c r="H148" s="562"/>
      <c r="I148" s="562"/>
      <c r="J148" s="562"/>
      <c r="K148" s="562"/>
      <c r="L148" s="562"/>
      <c r="M148" s="562"/>
      <c r="N148" s="562"/>
      <c r="O148" s="562"/>
      <c r="P148" s="562"/>
      <c r="Q148" s="562"/>
      <c r="R148" s="562"/>
      <c r="S148" s="562"/>
      <c r="T148" s="562"/>
    </row>
    <row r="149" spans="1:20" s="560" customFormat="1" ht="19.5" customHeight="1">
      <c r="A149" s="561"/>
      <c r="B149" s="562"/>
      <c r="C149" s="562"/>
      <c r="D149" s="562"/>
      <c r="E149" s="562"/>
      <c r="F149" s="562"/>
      <c r="G149" s="562"/>
      <c r="H149" s="562"/>
      <c r="I149" s="562"/>
      <c r="J149" s="562"/>
      <c r="K149" s="562"/>
      <c r="L149" s="562"/>
      <c r="M149" s="562"/>
      <c r="N149" s="562"/>
      <c r="O149" s="562"/>
      <c r="P149" s="562"/>
      <c r="Q149" s="562"/>
      <c r="R149" s="562"/>
      <c r="S149" s="562"/>
      <c r="T149" s="562"/>
    </row>
    <row r="150" spans="1:20" s="560" customFormat="1" ht="19.5" customHeight="1">
      <c r="A150" s="561"/>
      <c r="B150" s="562"/>
      <c r="C150" s="562"/>
      <c r="D150" s="562"/>
      <c r="E150" s="562"/>
      <c r="F150" s="562"/>
      <c r="G150" s="562"/>
      <c r="H150" s="562"/>
      <c r="I150" s="562"/>
      <c r="J150" s="562"/>
      <c r="K150" s="562"/>
      <c r="L150" s="562"/>
      <c r="M150" s="562"/>
      <c r="N150" s="562"/>
      <c r="O150" s="562"/>
      <c r="P150" s="562"/>
      <c r="Q150" s="562"/>
      <c r="R150" s="562"/>
      <c r="S150" s="562"/>
      <c r="T150" s="562"/>
    </row>
    <row r="151" spans="1:20" s="560" customFormat="1" ht="19.5" customHeight="1">
      <c r="A151" s="561"/>
      <c r="B151" s="562"/>
      <c r="C151" s="562"/>
      <c r="D151" s="562"/>
      <c r="E151" s="562"/>
      <c r="F151" s="562"/>
      <c r="G151" s="562"/>
      <c r="H151" s="562"/>
      <c r="I151" s="562"/>
      <c r="J151" s="562"/>
      <c r="K151" s="562"/>
      <c r="L151" s="562"/>
      <c r="M151" s="562"/>
      <c r="N151" s="562"/>
      <c r="O151" s="562"/>
      <c r="P151" s="562"/>
      <c r="Q151" s="562"/>
      <c r="R151" s="562"/>
      <c r="S151" s="562"/>
      <c r="T151" s="562"/>
    </row>
    <row r="152" spans="1:20" s="560" customFormat="1" ht="19.5" customHeight="1">
      <c r="A152" s="561"/>
      <c r="B152" s="562"/>
      <c r="C152" s="562"/>
      <c r="D152" s="562"/>
      <c r="E152" s="562"/>
      <c r="F152" s="562"/>
      <c r="G152" s="562"/>
      <c r="H152" s="562"/>
      <c r="I152" s="562"/>
      <c r="J152" s="562"/>
      <c r="K152" s="562"/>
      <c r="L152" s="562"/>
      <c r="M152" s="562"/>
      <c r="N152" s="562"/>
      <c r="O152" s="562"/>
      <c r="P152" s="562"/>
      <c r="Q152" s="562"/>
      <c r="R152" s="562"/>
      <c r="S152" s="562"/>
      <c r="T152" s="562"/>
    </row>
    <row r="153" spans="1:20" s="560" customFormat="1" ht="19.5" customHeight="1">
      <c r="A153" s="561"/>
      <c r="B153" s="562"/>
      <c r="C153" s="562"/>
      <c r="D153" s="562"/>
      <c r="E153" s="562"/>
      <c r="F153" s="562"/>
      <c r="G153" s="562"/>
      <c r="H153" s="562"/>
      <c r="I153" s="562"/>
      <c r="J153" s="562"/>
      <c r="K153" s="562"/>
      <c r="L153" s="562"/>
      <c r="M153" s="562"/>
      <c r="N153" s="562"/>
      <c r="O153" s="562"/>
      <c r="P153" s="562"/>
      <c r="Q153" s="562"/>
      <c r="R153" s="562"/>
      <c r="S153" s="562"/>
      <c r="T153" s="562"/>
    </row>
    <row r="154" spans="1:20" s="560" customFormat="1" ht="19.5" customHeight="1">
      <c r="A154" s="561"/>
      <c r="B154" s="562"/>
      <c r="C154" s="562"/>
      <c r="D154" s="562"/>
      <c r="E154" s="562"/>
      <c r="F154" s="562"/>
      <c r="G154" s="562"/>
      <c r="H154" s="562"/>
      <c r="I154" s="562"/>
      <c r="J154" s="562"/>
      <c r="K154" s="562"/>
      <c r="L154" s="562"/>
      <c r="M154" s="562"/>
      <c r="N154" s="562"/>
      <c r="O154" s="562"/>
      <c r="P154" s="562"/>
      <c r="Q154" s="562"/>
      <c r="R154" s="562"/>
      <c r="S154" s="562"/>
      <c r="T154" s="562"/>
    </row>
    <row r="155" spans="1:20" s="560" customFormat="1" ht="19.5" customHeight="1">
      <c r="A155" s="561"/>
      <c r="B155" s="562"/>
      <c r="C155" s="562"/>
      <c r="D155" s="562"/>
      <c r="E155" s="562"/>
      <c r="F155" s="562"/>
      <c r="G155" s="562"/>
      <c r="H155" s="562"/>
      <c r="I155" s="562"/>
      <c r="J155" s="562"/>
      <c r="K155" s="562"/>
      <c r="L155" s="562"/>
      <c r="M155" s="562"/>
      <c r="N155" s="562"/>
      <c r="O155" s="562"/>
      <c r="P155" s="562"/>
      <c r="Q155" s="562"/>
      <c r="R155" s="562"/>
      <c r="S155" s="562"/>
      <c r="T155" s="562"/>
    </row>
    <row r="156" spans="1:20" s="560" customFormat="1" ht="19.5" customHeight="1">
      <c r="A156" s="561"/>
      <c r="B156" s="562"/>
      <c r="C156" s="562"/>
      <c r="D156" s="562"/>
      <c r="E156" s="562"/>
      <c r="F156" s="562"/>
      <c r="G156" s="562"/>
      <c r="H156" s="562"/>
      <c r="I156" s="562"/>
      <c r="J156" s="562"/>
      <c r="K156" s="562"/>
      <c r="L156" s="562"/>
      <c r="M156" s="562"/>
      <c r="N156" s="562"/>
      <c r="O156" s="562"/>
      <c r="P156" s="562"/>
      <c r="Q156" s="562"/>
      <c r="R156" s="562"/>
      <c r="S156" s="562"/>
      <c r="T156" s="562"/>
    </row>
    <row r="157" spans="1:20" s="560" customFormat="1" ht="19.5" customHeight="1">
      <c r="A157" s="561"/>
      <c r="B157" s="562"/>
      <c r="C157" s="562"/>
      <c r="D157" s="562"/>
      <c r="E157" s="562"/>
      <c r="F157" s="562"/>
      <c r="G157" s="562"/>
      <c r="H157" s="562"/>
      <c r="I157" s="562"/>
      <c r="J157" s="562"/>
      <c r="K157" s="562"/>
      <c r="L157" s="562"/>
      <c r="M157" s="562"/>
      <c r="N157" s="562"/>
      <c r="O157" s="562"/>
      <c r="P157" s="562"/>
      <c r="Q157" s="562"/>
      <c r="R157" s="562"/>
      <c r="S157" s="562"/>
      <c r="T157" s="562"/>
    </row>
    <row r="158" ht="19.5" customHeight="1"/>
    <row r="159" ht="9.75" customHeight="1"/>
    <row r="160" ht="19.5" customHeight="1"/>
    <row r="161" ht="19.5" customHeight="1"/>
    <row r="162" ht="19.5" customHeight="1"/>
    <row r="163" spans="1:20" s="560" customFormat="1" ht="19.5" customHeight="1">
      <c r="A163" s="561"/>
      <c r="B163" s="562"/>
      <c r="C163" s="562"/>
      <c r="D163" s="562"/>
      <c r="E163" s="562"/>
      <c r="F163" s="562"/>
      <c r="G163" s="562"/>
      <c r="H163" s="562"/>
      <c r="I163" s="562"/>
      <c r="J163" s="562"/>
      <c r="K163" s="562"/>
      <c r="L163" s="562"/>
      <c r="M163" s="562"/>
      <c r="N163" s="562"/>
      <c r="O163" s="562"/>
      <c r="P163" s="562"/>
      <c r="Q163" s="562"/>
      <c r="R163" s="562"/>
      <c r="S163" s="562"/>
      <c r="T163" s="562"/>
    </row>
    <row r="164" spans="1:20" s="560" customFormat="1" ht="19.5" customHeight="1">
      <c r="A164" s="561"/>
      <c r="B164" s="562"/>
      <c r="C164" s="562"/>
      <c r="D164" s="562"/>
      <c r="E164" s="562"/>
      <c r="F164" s="562"/>
      <c r="G164" s="562"/>
      <c r="H164" s="562"/>
      <c r="I164" s="562"/>
      <c r="J164" s="562"/>
      <c r="K164" s="562"/>
      <c r="L164" s="562"/>
      <c r="M164" s="562"/>
      <c r="N164" s="562"/>
      <c r="O164" s="562"/>
      <c r="P164" s="562"/>
      <c r="Q164" s="562"/>
      <c r="R164" s="562"/>
      <c r="S164" s="562"/>
      <c r="T164" s="562"/>
    </row>
    <row r="165" spans="1:20" s="560" customFormat="1" ht="19.5" customHeight="1">
      <c r="A165" s="561"/>
      <c r="B165" s="562"/>
      <c r="C165" s="562"/>
      <c r="D165" s="562"/>
      <c r="E165" s="562"/>
      <c r="F165" s="562"/>
      <c r="G165" s="562"/>
      <c r="H165" s="562"/>
      <c r="I165" s="562"/>
      <c r="J165" s="562"/>
      <c r="K165" s="562"/>
      <c r="L165" s="562"/>
      <c r="M165" s="562"/>
      <c r="N165" s="562"/>
      <c r="O165" s="562"/>
      <c r="P165" s="562"/>
      <c r="Q165" s="562"/>
      <c r="R165" s="562"/>
      <c r="S165" s="562"/>
      <c r="T165" s="562"/>
    </row>
    <row r="166" spans="1:20" s="560" customFormat="1" ht="19.5" customHeight="1">
      <c r="A166" s="561"/>
      <c r="B166" s="562"/>
      <c r="C166" s="562"/>
      <c r="D166" s="562"/>
      <c r="E166" s="562"/>
      <c r="F166" s="562"/>
      <c r="G166" s="562"/>
      <c r="H166" s="562"/>
      <c r="I166" s="562"/>
      <c r="J166" s="562"/>
      <c r="K166" s="562"/>
      <c r="L166" s="562"/>
      <c r="M166" s="562"/>
      <c r="N166" s="562"/>
      <c r="O166" s="562"/>
      <c r="P166" s="562"/>
      <c r="Q166" s="562"/>
      <c r="R166" s="562"/>
      <c r="S166" s="562"/>
      <c r="T166" s="562"/>
    </row>
    <row r="167" spans="1:20" s="560" customFormat="1" ht="19.5" customHeight="1">
      <c r="A167" s="561"/>
      <c r="B167" s="562"/>
      <c r="C167" s="562"/>
      <c r="D167" s="562"/>
      <c r="E167" s="562"/>
      <c r="F167" s="562"/>
      <c r="G167" s="562"/>
      <c r="H167" s="562"/>
      <c r="I167" s="562"/>
      <c r="J167" s="562"/>
      <c r="K167" s="562"/>
      <c r="L167" s="562"/>
      <c r="M167" s="562"/>
      <c r="N167" s="562"/>
      <c r="O167" s="562"/>
      <c r="P167" s="562"/>
      <c r="Q167" s="562"/>
      <c r="R167" s="562"/>
      <c r="S167" s="562"/>
      <c r="T167" s="562"/>
    </row>
    <row r="168" spans="1:20" s="560" customFormat="1" ht="19.5" customHeight="1">
      <c r="A168" s="561"/>
      <c r="B168" s="562"/>
      <c r="C168" s="562"/>
      <c r="D168" s="562"/>
      <c r="E168" s="562"/>
      <c r="F168" s="562"/>
      <c r="G168" s="562"/>
      <c r="H168" s="562"/>
      <c r="I168" s="562"/>
      <c r="J168" s="562"/>
      <c r="K168" s="562"/>
      <c r="L168" s="562"/>
      <c r="M168" s="562"/>
      <c r="N168" s="562"/>
      <c r="O168" s="562"/>
      <c r="P168" s="562"/>
      <c r="Q168" s="562"/>
      <c r="R168" s="562"/>
      <c r="S168" s="562"/>
      <c r="T168" s="562"/>
    </row>
    <row r="169" spans="1:20" s="560" customFormat="1" ht="19.5" customHeight="1">
      <c r="A169" s="561"/>
      <c r="B169" s="562"/>
      <c r="C169" s="562"/>
      <c r="D169" s="562"/>
      <c r="E169" s="562"/>
      <c r="F169" s="562"/>
      <c r="G169" s="562"/>
      <c r="H169" s="562"/>
      <c r="I169" s="562"/>
      <c r="J169" s="562"/>
      <c r="K169" s="562"/>
      <c r="L169" s="562"/>
      <c r="M169" s="562"/>
      <c r="N169" s="562"/>
      <c r="O169" s="562"/>
      <c r="P169" s="562"/>
      <c r="Q169" s="562"/>
      <c r="R169" s="562"/>
      <c r="S169" s="562"/>
      <c r="T169" s="562"/>
    </row>
    <row r="170" spans="1:20" s="560" customFormat="1" ht="19.5" customHeight="1">
      <c r="A170" s="561"/>
      <c r="B170" s="562"/>
      <c r="C170" s="562"/>
      <c r="D170" s="562"/>
      <c r="E170" s="562"/>
      <c r="F170" s="562"/>
      <c r="G170" s="562"/>
      <c r="H170" s="562"/>
      <c r="I170" s="562"/>
      <c r="J170" s="562"/>
      <c r="K170" s="562"/>
      <c r="L170" s="562"/>
      <c r="M170" s="562"/>
      <c r="N170" s="562"/>
      <c r="O170" s="562"/>
      <c r="P170" s="562"/>
      <c r="Q170" s="562"/>
      <c r="R170" s="562"/>
      <c r="S170" s="562"/>
      <c r="T170" s="562"/>
    </row>
    <row r="171" spans="1:20" s="560" customFormat="1" ht="19.5" customHeight="1">
      <c r="A171" s="561"/>
      <c r="B171" s="562"/>
      <c r="C171" s="562"/>
      <c r="D171" s="562"/>
      <c r="E171" s="562"/>
      <c r="F171" s="562"/>
      <c r="G171" s="562"/>
      <c r="H171" s="562"/>
      <c r="I171" s="562"/>
      <c r="J171" s="562"/>
      <c r="K171" s="562"/>
      <c r="L171" s="562"/>
      <c r="M171" s="562"/>
      <c r="N171" s="562"/>
      <c r="O171" s="562"/>
      <c r="P171" s="562"/>
      <c r="Q171" s="562"/>
      <c r="R171" s="562"/>
      <c r="S171" s="562"/>
      <c r="T171" s="562"/>
    </row>
    <row r="172" spans="1:20" s="560" customFormat="1" ht="19.5" customHeight="1">
      <c r="A172" s="561"/>
      <c r="B172" s="562"/>
      <c r="C172" s="562"/>
      <c r="D172" s="562"/>
      <c r="E172" s="562"/>
      <c r="F172" s="562"/>
      <c r="G172" s="562"/>
      <c r="H172" s="562"/>
      <c r="I172" s="562"/>
      <c r="J172" s="562"/>
      <c r="K172" s="562"/>
      <c r="L172" s="562"/>
      <c r="M172" s="562"/>
      <c r="N172" s="562"/>
      <c r="O172" s="562"/>
      <c r="P172" s="562"/>
      <c r="Q172" s="562"/>
      <c r="R172" s="562"/>
      <c r="S172" s="562"/>
      <c r="T172" s="562"/>
    </row>
    <row r="173" spans="1:20" s="560" customFormat="1" ht="19.5" customHeight="1">
      <c r="A173" s="561"/>
      <c r="B173" s="562"/>
      <c r="C173" s="562"/>
      <c r="D173" s="562"/>
      <c r="E173" s="562"/>
      <c r="F173" s="562"/>
      <c r="G173" s="562"/>
      <c r="H173" s="562"/>
      <c r="I173" s="562"/>
      <c r="J173" s="562"/>
      <c r="K173" s="562"/>
      <c r="L173" s="562"/>
      <c r="M173" s="562"/>
      <c r="N173" s="562"/>
      <c r="O173" s="562"/>
      <c r="P173" s="562"/>
      <c r="Q173" s="562"/>
      <c r="R173" s="562"/>
      <c r="S173" s="562"/>
      <c r="T173" s="562"/>
    </row>
    <row r="174" spans="1:20" s="560" customFormat="1" ht="19.5" customHeight="1">
      <c r="A174" s="561"/>
      <c r="B174" s="562"/>
      <c r="C174" s="562"/>
      <c r="D174" s="562"/>
      <c r="E174" s="562"/>
      <c r="F174" s="562"/>
      <c r="G174" s="562"/>
      <c r="H174" s="562"/>
      <c r="I174" s="562"/>
      <c r="J174" s="562"/>
      <c r="K174" s="562"/>
      <c r="L174" s="562"/>
      <c r="M174" s="562"/>
      <c r="N174" s="562"/>
      <c r="O174" s="562"/>
      <c r="P174" s="562"/>
      <c r="Q174" s="562"/>
      <c r="R174" s="562"/>
      <c r="S174" s="562"/>
      <c r="T174" s="562"/>
    </row>
    <row r="175" spans="1:20" s="560" customFormat="1" ht="19.5" customHeight="1">
      <c r="A175" s="561"/>
      <c r="B175" s="562"/>
      <c r="C175" s="562"/>
      <c r="D175" s="562"/>
      <c r="E175" s="562"/>
      <c r="F175" s="562"/>
      <c r="G175" s="562"/>
      <c r="H175" s="562"/>
      <c r="I175" s="562"/>
      <c r="J175" s="562"/>
      <c r="K175" s="562"/>
      <c r="L175" s="562"/>
      <c r="M175" s="562"/>
      <c r="N175" s="562"/>
      <c r="O175" s="562"/>
      <c r="P175" s="562"/>
      <c r="Q175" s="562"/>
      <c r="R175" s="562"/>
      <c r="S175" s="562"/>
      <c r="T175" s="562"/>
    </row>
    <row r="176" spans="1:20" s="560" customFormat="1" ht="19.5" customHeight="1">
      <c r="A176" s="561"/>
      <c r="B176" s="562"/>
      <c r="C176" s="562"/>
      <c r="D176" s="562"/>
      <c r="E176" s="562"/>
      <c r="F176" s="562"/>
      <c r="G176" s="562"/>
      <c r="H176" s="562"/>
      <c r="I176" s="562"/>
      <c r="J176" s="562"/>
      <c r="K176" s="562"/>
      <c r="L176" s="562"/>
      <c r="M176" s="562"/>
      <c r="N176" s="562"/>
      <c r="O176" s="562"/>
      <c r="P176" s="562"/>
      <c r="Q176" s="562"/>
      <c r="R176" s="562"/>
      <c r="S176" s="562"/>
      <c r="T176" s="562"/>
    </row>
    <row r="177" spans="1:20" s="560" customFormat="1" ht="19.5" customHeight="1">
      <c r="A177" s="561"/>
      <c r="B177" s="562"/>
      <c r="C177" s="562"/>
      <c r="D177" s="562"/>
      <c r="E177" s="562"/>
      <c r="F177" s="562"/>
      <c r="G177" s="562"/>
      <c r="H177" s="562"/>
      <c r="I177" s="562"/>
      <c r="J177" s="562"/>
      <c r="K177" s="562"/>
      <c r="L177" s="562"/>
      <c r="M177" s="562"/>
      <c r="N177" s="562"/>
      <c r="O177" s="562"/>
      <c r="P177" s="562"/>
      <c r="Q177" s="562"/>
      <c r="R177" s="562"/>
      <c r="S177" s="562"/>
      <c r="T177" s="562"/>
    </row>
    <row r="178" spans="1:20" s="560" customFormat="1" ht="19.5" customHeight="1">
      <c r="A178" s="561"/>
      <c r="B178" s="562"/>
      <c r="C178" s="562"/>
      <c r="D178" s="562"/>
      <c r="E178" s="562"/>
      <c r="F178" s="562"/>
      <c r="G178" s="562"/>
      <c r="H178" s="562"/>
      <c r="I178" s="562"/>
      <c r="J178" s="562"/>
      <c r="K178" s="562"/>
      <c r="L178" s="562"/>
      <c r="M178" s="562"/>
      <c r="N178" s="562"/>
      <c r="O178" s="562"/>
      <c r="P178" s="562"/>
      <c r="Q178" s="562"/>
      <c r="R178" s="562"/>
      <c r="S178" s="562"/>
      <c r="T178" s="562"/>
    </row>
    <row r="179" spans="1:20" s="560" customFormat="1" ht="19.5" customHeight="1">
      <c r="A179" s="561"/>
      <c r="B179" s="562"/>
      <c r="C179" s="562"/>
      <c r="D179" s="562"/>
      <c r="E179" s="562"/>
      <c r="F179" s="562"/>
      <c r="G179" s="562"/>
      <c r="H179" s="562"/>
      <c r="I179" s="562"/>
      <c r="J179" s="562"/>
      <c r="K179" s="562"/>
      <c r="L179" s="562"/>
      <c r="M179" s="562"/>
      <c r="N179" s="562"/>
      <c r="O179" s="562"/>
      <c r="P179" s="562"/>
      <c r="Q179" s="562"/>
      <c r="R179" s="562"/>
      <c r="S179" s="562"/>
      <c r="T179" s="562"/>
    </row>
    <row r="180" spans="1:20" s="560" customFormat="1" ht="19.5" customHeight="1">
      <c r="A180" s="561"/>
      <c r="B180" s="562"/>
      <c r="C180" s="562"/>
      <c r="D180" s="562"/>
      <c r="E180" s="562"/>
      <c r="F180" s="562"/>
      <c r="G180" s="562"/>
      <c r="H180" s="562"/>
      <c r="I180" s="562"/>
      <c r="J180" s="562"/>
      <c r="K180" s="562"/>
      <c r="L180" s="562"/>
      <c r="M180" s="562"/>
      <c r="N180" s="562"/>
      <c r="O180" s="562"/>
      <c r="P180" s="562"/>
      <c r="Q180" s="562"/>
      <c r="R180" s="562"/>
      <c r="S180" s="562"/>
      <c r="T180" s="562"/>
    </row>
    <row r="181" spans="1:20" s="560" customFormat="1" ht="19.5" customHeight="1">
      <c r="A181" s="561"/>
      <c r="B181" s="562"/>
      <c r="C181" s="562"/>
      <c r="D181" s="562"/>
      <c r="E181" s="562"/>
      <c r="F181" s="562"/>
      <c r="G181" s="562"/>
      <c r="H181" s="562"/>
      <c r="I181" s="562"/>
      <c r="J181" s="562"/>
      <c r="K181" s="562"/>
      <c r="L181" s="562"/>
      <c r="M181" s="562"/>
      <c r="N181" s="562"/>
      <c r="O181" s="562"/>
      <c r="P181" s="562"/>
      <c r="Q181" s="562"/>
      <c r="R181" s="562"/>
      <c r="S181" s="562"/>
      <c r="T181" s="562"/>
    </row>
    <row r="182" spans="1:20" s="560" customFormat="1" ht="19.5" customHeight="1">
      <c r="A182" s="561"/>
      <c r="B182" s="562"/>
      <c r="C182" s="562"/>
      <c r="D182" s="562"/>
      <c r="E182" s="562"/>
      <c r="F182" s="562"/>
      <c r="G182" s="562"/>
      <c r="H182" s="562"/>
      <c r="I182" s="562"/>
      <c r="J182" s="562"/>
      <c r="K182" s="562"/>
      <c r="L182" s="562"/>
      <c r="M182" s="562"/>
      <c r="N182" s="562"/>
      <c r="O182" s="562"/>
      <c r="P182" s="562"/>
      <c r="Q182" s="562"/>
      <c r="R182" s="562"/>
      <c r="S182" s="562"/>
      <c r="T182" s="562"/>
    </row>
    <row r="183" spans="1:20" s="560" customFormat="1" ht="19.5" customHeight="1">
      <c r="A183" s="561"/>
      <c r="B183" s="562"/>
      <c r="C183" s="562"/>
      <c r="D183" s="562"/>
      <c r="E183" s="562"/>
      <c r="F183" s="562"/>
      <c r="G183" s="562"/>
      <c r="H183" s="562"/>
      <c r="I183" s="562"/>
      <c r="J183" s="562"/>
      <c r="K183" s="562"/>
      <c r="L183" s="562"/>
      <c r="M183" s="562"/>
      <c r="N183" s="562"/>
      <c r="O183" s="562"/>
      <c r="P183" s="562"/>
      <c r="Q183" s="562"/>
      <c r="R183" s="562"/>
      <c r="S183" s="562"/>
      <c r="T183" s="562"/>
    </row>
    <row r="184" spans="1:20" s="560" customFormat="1" ht="19.5" customHeight="1">
      <c r="A184" s="561"/>
      <c r="B184" s="562"/>
      <c r="C184" s="562"/>
      <c r="D184" s="562"/>
      <c r="E184" s="562"/>
      <c r="F184" s="562"/>
      <c r="G184" s="562"/>
      <c r="H184" s="562"/>
      <c r="I184" s="562"/>
      <c r="J184" s="562"/>
      <c r="K184" s="562"/>
      <c r="L184" s="562"/>
      <c r="M184" s="562"/>
      <c r="N184" s="562"/>
      <c r="O184" s="562"/>
      <c r="P184" s="562"/>
      <c r="Q184" s="562"/>
      <c r="R184" s="562"/>
      <c r="S184" s="562"/>
      <c r="T184" s="562"/>
    </row>
    <row r="185" spans="1:20" s="560" customFormat="1" ht="19.5" customHeight="1">
      <c r="A185" s="561"/>
      <c r="B185" s="562"/>
      <c r="C185" s="562"/>
      <c r="D185" s="562"/>
      <c r="E185" s="562"/>
      <c r="F185" s="562"/>
      <c r="G185" s="562"/>
      <c r="H185" s="562"/>
      <c r="I185" s="562"/>
      <c r="J185" s="562"/>
      <c r="K185" s="562"/>
      <c r="L185" s="562"/>
      <c r="M185" s="562"/>
      <c r="N185" s="562"/>
      <c r="O185" s="562"/>
      <c r="P185" s="562"/>
      <c r="Q185" s="562"/>
      <c r="R185" s="562"/>
      <c r="S185" s="562"/>
      <c r="T185" s="562"/>
    </row>
    <row r="186" spans="1:20" s="560" customFormat="1" ht="19.5" customHeight="1">
      <c r="A186" s="561"/>
      <c r="B186" s="562"/>
      <c r="C186" s="562"/>
      <c r="D186" s="562"/>
      <c r="E186" s="562"/>
      <c r="F186" s="562"/>
      <c r="G186" s="562"/>
      <c r="H186" s="562"/>
      <c r="I186" s="562"/>
      <c r="J186" s="562"/>
      <c r="K186" s="562"/>
      <c r="L186" s="562"/>
      <c r="M186" s="562"/>
      <c r="N186" s="562"/>
      <c r="O186" s="562"/>
      <c r="P186" s="562"/>
      <c r="Q186" s="562"/>
      <c r="R186" s="562"/>
      <c r="S186" s="562"/>
      <c r="T186" s="562"/>
    </row>
    <row r="187" spans="1:20" s="560" customFormat="1" ht="19.5" customHeight="1">
      <c r="A187" s="561"/>
      <c r="B187" s="562"/>
      <c r="C187" s="562"/>
      <c r="D187" s="562"/>
      <c r="E187" s="562"/>
      <c r="F187" s="562"/>
      <c r="G187" s="562"/>
      <c r="H187" s="562"/>
      <c r="I187" s="562"/>
      <c r="J187" s="562"/>
      <c r="K187" s="562"/>
      <c r="L187" s="562"/>
      <c r="M187" s="562"/>
      <c r="N187" s="562"/>
      <c r="O187" s="562"/>
      <c r="P187" s="562"/>
      <c r="Q187" s="562"/>
      <c r="R187" s="562"/>
      <c r="S187" s="562"/>
      <c r="T187" s="562"/>
    </row>
    <row r="188" spans="1:20" s="560" customFormat="1" ht="19.5" customHeight="1">
      <c r="A188" s="561"/>
      <c r="B188" s="562"/>
      <c r="C188" s="562"/>
      <c r="D188" s="562"/>
      <c r="E188" s="562"/>
      <c r="F188" s="562"/>
      <c r="G188" s="562"/>
      <c r="H188" s="562"/>
      <c r="I188" s="562"/>
      <c r="J188" s="562"/>
      <c r="K188" s="562"/>
      <c r="L188" s="562"/>
      <c r="M188" s="562"/>
      <c r="N188" s="562"/>
      <c r="O188" s="562"/>
      <c r="P188" s="562"/>
      <c r="Q188" s="562"/>
      <c r="R188" s="562"/>
      <c r="S188" s="562"/>
      <c r="T188" s="562"/>
    </row>
    <row r="189" spans="1:20" s="560" customFormat="1" ht="19.5" customHeight="1">
      <c r="A189" s="561"/>
      <c r="B189" s="562"/>
      <c r="C189" s="562"/>
      <c r="D189" s="562"/>
      <c r="E189" s="562"/>
      <c r="F189" s="562"/>
      <c r="G189" s="562"/>
      <c r="H189" s="562"/>
      <c r="I189" s="562"/>
      <c r="J189" s="562"/>
      <c r="K189" s="562"/>
      <c r="L189" s="562"/>
      <c r="M189" s="562"/>
      <c r="N189" s="562"/>
      <c r="O189" s="562"/>
      <c r="P189" s="562"/>
      <c r="Q189" s="562"/>
      <c r="R189" s="562"/>
      <c r="S189" s="562"/>
      <c r="T189" s="562"/>
    </row>
    <row r="190" spans="1:20" s="560" customFormat="1" ht="19.5" customHeight="1">
      <c r="A190" s="561"/>
      <c r="B190" s="562"/>
      <c r="C190" s="562"/>
      <c r="D190" s="562"/>
      <c r="E190" s="562"/>
      <c r="F190" s="562"/>
      <c r="G190" s="562"/>
      <c r="H190" s="562"/>
      <c r="I190" s="562"/>
      <c r="J190" s="562"/>
      <c r="K190" s="562"/>
      <c r="L190" s="562"/>
      <c r="M190" s="562"/>
      <c r="N190" s="562"/>
      <c r="O190" s="562"/>
      <c r="P190" s="562"/>
      <c r="Q190" s="562"/>
      <c r="R190" s="562"/>
      <c r="S190" s="562"/>
      <c r="T190" s="562"/>
    </row>
    <row r="191" spans="1:20" s="560" customFormat="1" ht="19.5" customHeight="1">
      <c r="A191" s="561"/>
      <c r="B191" s="562"/>
      <c r="C191" s="562"/>
      <c r="D191" s="562"/>
      <c r="E191" s="562"/>
      <c r="F191" s="562"/>
      <c r="G191" s="562"/>
      <c r="H191" s="562"/>
      <c r="I191" s="562"/>
      <c r="J191" s="562"/>
      <c r="K191" s="562"/>
      <c r="L191" s="562"/>
      <c r="M191" s="562"/>
      <c r="N191" s="562"/>
      <c r="O191" s="562"/>
      <c r="P191" s="562"/>
      <c r="Q191" s="562"/>
      <c r="R191" s="562"/>
      <c r="S191" s="562"/>
      <c r="T191" s="562"/>
    </row>
    <row r="192" spans="1:20" s="560" customFormat="1" ht="19.5" customHeight="1">
      <c r="A192" s="561"/>
      <c r="B192" s="562"/>
      <c r="C192" s="562"/>
      <c r="D192" s="562"/>
      <c r="E192" s="562"/>
      <c r="F192" s="562"/>
      <c r="G192" s="562"/>
      <c r="H192" s="562"/>
      <c r="I192" s="562"/>
      <c r="J192" s="562"/>
      <c r="K192" s="562"/>
      <c r="L192" s="562"/>
      <c r="M192" s="562"/>
      <c r="N192" s="562"/>
      <c r="O192" s="562"/>
      <c r="P192" s="562"/>
      <c r="Q192" s="562"/>
      <c r="R192" s="562"/>
      <c r="S192" s="562"/>
      <c r="T192" s="562"/>
    </row>
    <row r="193" spans="1:20" s="560" customFormat="1" ht="19.5" customHeight="1">
      <c r="A193" s="561"/>
      <c r="B193" s="562"/>
      <c r="C193" s="562"/>
      <c r="D193" s="562"/>
      <c r="E193" s="562"/>
      <c r="F193" s="562"/>
      <c r="G193" s="562"/>
      <c r="H193" s="562"/>
      <c r="I193" s="562"/>
      <c r="J193" s="562"/>
      <c r="K193" s="562"/>
      <c r="L193" s="562"/>
      <c r="M193" s="562"/>
      <c r="N193" s="562"/>
      <c r="O193" s="562"/>
      <c r="P193" s="562"/>
      <c r="Q193" s="562"/>
      <c r="R193" s="562"/>
      <c r="S193" s="562"/>
      <c r="T193" s="562"/>
    </row>
    <row r="194" spans="1:20" s="560" customFormat="1" ht="19.5" customHeight="1">
      <c r="A194" s="561"/>
      <c r="B194" s="562"/>
      <c r="C194" s="562"/>
      <c r="D194" s="562"/>
      <c r="E194" s="562"/>
      <c r="F194" s="562"/>
      <c r="G194" s="562"/>
      <c r="H194" s="562"/>
      <c r="I194" s="562"/>
      <c r="J194" s="562"/>
      <c r="K194" s="562"/>
      <c r="L194" s="562"/>
      <c r="M194" s="562"/>
      <c r="N194" s="562"/>
      <c r="O194" s="562"/>
      <c r="P194" s="562"/>
      <c r="Q194" s="562"/>
      <c r="R194" s="562"/>
      <c r="S194" s="562"/>
      <c r="T194" s="562"/>
    </row>
    <row r="195" spans="1:20" s="560" customFormat="1" ht="19.5" customHeight="1">
      <c r="A195" s="561"/>
      <c r="B195" s="562"/>
      <c r="C195" s="562"/>
      <c r="D195" s="562"/>
      <c r="E195" s="562"/>
      <c r="F195" s="562"/>
      <c r="G195" s="562"/>
      <c r="H195" s="562"/>
      <c r="I195" s="562"/>
      <c r="J195" s="562"/>
      <c r="K195" s="562"/>
      <c r="L195" s="562"/>
      <c r="M195" s="562"/>
      <c r="N195" s="562"/>
      <c r="O195" s="562"/>
      <c r="P195" s="562"/>
      <c r="Q195" s="562"/>
      <c r="R195" s="562"/>
      <c r="S195" s="562"/>
      <c r="T195" s="562"/>
    </row>
    <row r="196" spans="1:20" s="560" customFormat="1" ht="19.5" customHeight="1">
      <c r="A196" s="561"/>
      <c r="B196" s="562"/>
      <c r="C196" s="562"/>
      <c r="D196" s="562"/>
      <c r="E196" s="562"/>
      <c r="F196" s="562"/>
      <c r="G196" s="562"/>
      <c r="H196" s="562"/>
      <c r="I196" s="562"/>
      <c r="J196" s="562"/>
      <c r="K196" s="562"/>
      <c r="L196" s="562"/>
      <c r="M196" s="562"/>
      <c r="N196" s="562"/>
      <c r="O196" s="562"/>
      <c r="P196" s="562"/>
      <c r="Q196" s="562"/>
      <c r="R196" s="562"/>
      <c r="S196" s="562"/>
      <c r="T196" s="562"/>
    </row>
    <row r="197" spans="1:20" s="560" customFormat="1" ht="19.5" customHeight="1">
      <c r="A197" s="561"/>
      <c r="B197" s="562"/>
      <c r="C197" s="562"/>
      <c r="D197" s="562"/>
      <c r="E197" s="562"/>
      <c r="F197" s="562"/>
      <c r="G197" s="562"/>
      <c r="H197" s="562"/>
      <c r="I197" s="562"/>
      <c r="J197" s="562"/>
      <c r="K197" s="562"/>
      <c r="L197" s="562"/>
      <c r="M197" s="562"/>
      <c r="N197" s="562"/>
      <c r="O197" s="562"/>
      <c r="P197" s="562"/>
      <c r="Q197" s="562"/>
      <c r="R197" s="562"/>
      <c r="S197" s="562"/>
      <c r="T197" s="562"/>
    </row>
    <row r="198" spans="1:20" s="560" customFormat="1" ht="19.5" customHeight="1">
      <c r="A198" s="561"/>
      <c r="B198" s="562"/>
      <c r="C198" s="562"/>
      <c r="D198" s="562"/>
      <c r="E198" s="562"/>
      <c r="F198" s="562"/>
      <c r="G198" s="562"/>
      <c r="H198" s="562"/>
      <c r="I198" s="562"/>
      <c r="J198" s="562"/>
      <c r="K198" s="562"/>
      <c r="L198" s="562"/>
      <c r="M198" s="562"/>
      <c r="N198" s="562"/>
      <c r="O198" s="562"/>
      <c r="P198" s="562"/>
      <c r="Q198" s="562"/>
      <c r="R198" s="562"/>
      <c r="S198" s="562"/>
      <c r="T198" s="562"/>
    </row>
    <row r="199" spans="1:20" s="560" customFormat="1" ht="19.5" customHeight="1">
      <c r="A199" s="561"/>
      <c r="B199" s="562"/>
      <c r="C199" s="562"/>
      <c r="D199" s="562"/>
      <c r="E199" s="562"/>
      <c r="F199" s="562"/>
      <c r="G199" s="562"/>
      <c r="H199" s="562"/>
      <c r="I199" s="562"/>
      <c r="J199" s="562"/>
      <c r="K199" s="562"/>
      <c r="L199" s="562"/>
      <c r="M199" s="562"/>
      <c r="N199" s="562"/>
      <c r="O199" s="562"/>
      <c r="P199" s="562"/>
      <c r="Q199" s="562"/>
      <c r="R199" s="562"/>
      <c r="S199" s="562"/>
      <c r="T199" s="562"/>
    </row>
    <row r="200" ht="19.5" customHeight="1"/>
    <row r="201" ht="9.75" customHeight="1"/>
    <row r="202" ht="19.5" customHeight="1"/>
    <row r="203" ht="19.5" customHeight="1"/>
    <row r="204" ht="19.5" customHeight="1"/>
    <row r="205" spans="1:20" s="560" customFormat="1" ht="19.5" customHeight="1">
      <c r="A205" s="561"/>
      <c r="B205" s="562"/>
      <c r="C205" s="562"/>
      <c r="D205" s="562"/>
      <c r="E205" s="562"/>
      <c r="F205" s="562"/>
      <c r="G205" s="562"/>
      <c r="H205" s="562"/>
      <c r="I205" s="562"/>
      <c r="J205" s="562"/>
      <c r="K205" s="562"/>
      <c r="L205" s="562"/>
      <c r="M205" s="562"/>
      <c r="N205" s="562"/>
      <c r="O205" s="562"/>
      <c r="P205" s="562"/>
      <c r="Q205" s="562"/>
      <c r="R205" s="562"/>
      <c r="S205" s="562"/>
      <c r="T205" s="562"/>
    </row>
    <row r="206" spans="1:20" s="560" customFormat="1" ht="19.5" customHeight="1">
      <c r="A206" s="561"/>
      <c r="B206" s="562"/>
      <c r="C206" s="562"/>
      <c r="D206" s="562"/>
      <c r="E206" s="562"/>
      <c r="F206" s="562"/>
      <c r="G206" s="562"/>
      <c r="H206" s="562"/>
      <c r="I206" s="562"/>
      <c r="J206" s="562"/>
      <c r="K206" s="562"/>
      <c r="L206" s="562"/>
      <c r="M206" s="562"/>
      <c r="N206" s="562"/>
      <c r="O206" s="562"/>
      <c r="P206" s="562"/>
      <c r="Q206" s="562"/>
      <c r="R206" s="562"/>
      <c r="S206" s="562"/>
      <c r="T206" s="562"/>
    </row>
    <row r="207" spans="1:20" s="560" customFormat="1" ht="19.5" customHeight="1">
      <c r="A207" s="561"/>
      <c r="B207" s="562"/>
      <c r="C207" s="562"/>
      <c r="D207" s="562"/>
      <c r="E207" s="562"/>
      <c r="F207" s="562"/>
      <c r="G207" s="562"/>
      <c r="H207" s="562"/>
      <c r="I207" s="562"/>
      <c r="J207" s="562"/>
      <c r="K207" s="562"/>
      <c r="L207" s="562"/>
      <c r="M207" s="562"/>
      <c r="N207" s="562"/>
      <c r="O207" s="562"/>
      <c r="P207" s="562"/>
      <c r="Q207" s="562"/>
      <c r="R207" s="562"/>
      <c r="S207" s="562"/>
      <c r="T207" s="562"/>
    </row>
    <row r="208" spans="1:20" s="560" customFormat="1" ht="19.5" customHeight="1">
      <c r="A208" s="561"/>
      <c r="B208" s="562"/>
      <c r="C208" s="562"/>
      <c r="D208" s="562"/>
      <c r="E208" s="562"/>
      <c r="F208" s="562"/>
      <c r="G208" s="562"/>
      <c r="H208" s="562"/>
      <c r="I208" s="562"/>
      <c r="J208" s="562"/>
      <c r="K208" s="562"/>
      <c r="L208" s="562"/>
      <c r="M208" s="562"/>
      <c r="N208" s="562"/>
      <c r="O208" s="562"/>
      <c r="P208" s="562"/>
      <c r="Q208" s="562"/>
      <c r="R208" s="562"/>
      <c r="S208" s="562"/>
      <c r="T208" s="562"/>
    </row>
    <row r="209" spans="1:20" s="560" customFormat="1" ht="19.5" customHeight="1">
      <c r="A209" s="561"/>
      <c r="B209" s="562"/>
      <c r="C209" s="562"/>
      <c r="D209" s="562"/>
      <c r="E209" s="562"/>
      <c r="F209" s="562"/>
      <c r="G209" s="562"/>
      <c r="H209" s="562"/>
      <c r="I209" s="562"/>
      <c r="J209" s="562"/>
      <c r="K209" s="562"/>
      <c r="L209" s="562"/>
      <c r="M209" s="562"/>
      <c r="N209" s="562"/>
      <c r="O209" s="562"/>
      <c r="P209" s="562"/>
      <c r="Q209" s="562"/>
      <c r="R209" s="562"/>
      <c r="S209" s="562"/>
      <c r="T209" s="562"/>
    </row>
    <row r="210" spans="1:20" s="560" customFormat="1" ht="19.5" customHeight="1">
      <c r="A210" s="561"/>
      <c r="B210" s="562"/>
      <c r="C210" s="562"/>
      <c r="D210" s="562"/>
      <c r="E210" s="562"/>
      <c r="F210" s="562"/>
      <c r="G210" s="562"/>
      <c r="H210" s="562"/>
      <c r="I210" s="562"/>
      <c r="J210" s="562"/>
      <c r="K210" s="562"/>
      <c r="L210" s="562"/>
      <c r="M210" s="562"/>
      <c r="N210" s="562"/>
      <c r="O210" s="562"/>
      <c r="P210" s="562"/>
      <c r="Q210" s="562"/>
      <c r="R210" s="562"/>
      <c r="S210" s="562"/>
      <c r="T210" s="562"/>
    </row>
    <row r="211" spans="1:20" s="560" customFormat="1" ht="19.5" customHeight="1">
      <c r="A211" s="561"/>
      <c r="B211" s="562"/>
      <c r="C211" s="562"/>
      <c r="D211" s="562"/>
      <c r="E211" s="562"/>
      <c r="F211" s="562"/>
      <c r="G211" s="562"/>
      <c r="H211" s="562"/>
      <c r="I211" s="562"/>
      <c r="J211" s="562"/>
      <c r="K211" s="562"/>
      <c r="L211" s="562"/>
      <c r="M211" s="562"/>
      <c r="N211" s="562"/>
      <c r="O211" s="562"/>
      <c r="P211" s="562"/>
      <c r="Q211" s="562"/>
      <c r="R211" s="562"/>
      <c r="S211" s="562"/>
      <c r="T211" s="562"/>
    </row>
    <row r="212" spans="1:20" s="560" customFormat="1" ht="19.5" customHeight="1">
      <c r="A212" s="561"/>
      <c r="B212" s="562"/>
      <c r="C212" s="562"/>
      <c r="D212" s="562"/>
      <c r="E212" s="562"/>
      <c r="F212" s="562"/>
      <c r="G212" s="562"/>
      <c r="H212" s="562"/>
      <c r="I212" s="562"/>
      <c r="J212" s="562"/>
      <c r="K212" s="562"/>
      <c r="L212" s="562"/>
      <c r="M212" s="562"/>
      <c r="N212" s="562"/>
      <c r="O212" s="562"/>
      <c r="P212" s="562"/>
      <c r="Q212" s="562"/>
      <c r="R212" s="562"/>
      <c r="S212" s="562"/>
      <c r="T212" s="562"/>
    </row>
    <row r="213" spans="1:20" s="560" customFormat="1" ht="19.5" customHeight="1">
      <c r="A213" s="561"/>
      <c r="B213" s="562"/>
      <c r="C213" s="562"/>
      <c r="D213" s="562"/>
      <c r="E213" s="562"/>
      <c r="F213" s="562"/>
      <c r="G213" s="562"/>
      <c r="H213" s="562"/>
      <c r="I213" s="562"/>
      <c r="J213" s="562"/>
      <c r="K213" s="562"/>
      <c r="L213" s="562"/>
      <c r="M213" s="562"/>
      <c r="N213" s="562"/>
      <c r="O213" s="562"/>
      <c r="P213" s="562"/>
      <c r="Q213" s="562"/>
      <c r="R213" s="562"/>
      <c r="S213" s="562"/>
      <c r="T213" s="562"/>
    </row>
    <row r="214" spans="1:20" s="560" customFormat="1" ht="19.5" customHeight="1">
      <c r="A214" s="561"/>
      <c r="B214" s="562"/>
      <c r="C214" s="562"/>
      <c r="D214" s="562"/>
      <c r="E214" s="562"/>
      <c r="F214" s="562"/>
      <c r="G214" s="562"/>
      <c r="H214" s="562"/>
      <c r="I214" s="562"/>
      <c r="J214" s="562"/>
      <c r="K214" s="562"/>
      <c r="L214" s="562"/>
      <c r="M214" s="562"/>
      <c r="N214" s="562"/>
      <c r="O214" s="562"/>
      <c r="P214" s="562"/>
      <c r="Q214" s="562"/>
      <c r="R214" s="562"/>
      <c r="S214" s="562"/>
      <c r="T214" s="562"/>
    </row>
    <row r="215" spans="1:20" s="560" customFormat="1" ht="19.5" customHeight="1">
      <c r="A215" s="561"/>
      <c r="B215" s="562"/>
      <c r="C215" s="562"/>
      <c r="D215" s="562"/>
      <c r="E215" s="562"/>
      <c r="F215" s="562"/>
      <c r="G215" s="562"/>
      <c r="H215" s="562"/>
      <c r="I215" s="562"/>
      <c r="J215" s="562"/>
      <c r="K215" s="562"/>
      <c r="L215" s="562"/>
      <c r="M215" s="562"/>
      <c r="N215" s="562"/>
      <c r="O215" s="562"/>
      <c r="P215" s="562"/>
      <c r="Q215" s="562"/>
      <c r="R215" s="562"/>
      <c r="S215" s="562"/>
      <c r="T215" s="562"/>
    </row>
    <row r="216" spans="1:20" s="560" customFormat="1" ht="19.5" customHeight="1">
      <c r="A216" s="561"/>
      <c r="B216" s="562"/>
      <c r="C216" s="562"/>
      <c r="D216" s="562"/>
      <c r="E216" s="562"/>
      <c r="F216" s="562"/>
      <c r="G216" s="562"/>
      <c r="H216" s="562"/>
      <c r="I216" s="562"/>
      <c r="J216" s="562"/>
      <c r="K216" s="562"/>
      <c r="L216" s="562"/>
      <c r="M216" s="562"/>
      <c r="N216" s="562"/>
      <c r="O216" s="562"/>
      <c r="P216" s="562"/>
      <c r="Q216" s="562"/>
      <c r="R216" s="562"/>
      <c r="S216" s="562"/>
      <c r="T216" s="562"/>
    </row>
    <row r="217" spans="1:20" s="560" customFormat="1" ht="19.5" customHeight="1">
      <c r="A217" s="561"/>
      <c r="B217" s="562"/>
      <c r="C217" s="562"/>
      <c r="D217" s="562"/>
      <c r="E217" s="562"/>
      <c r="F217" s="562"/>
      <c r="G217" s="562"/>
      <c r="H217" s="562"/>
      <c r="I217" s="562"/>
      <c r="J217" s="562"/>
      <c r="K217" s="562"/>
      <c r="L217" s="562"/>
      <c r="M217" s="562"/>
      <c r="N217" s="562"/>
      <c r="O217" s="562"/>
      <c r="P217" s="562"/>
      <c r="Q217" s="562"/>
      <c r="R217" s="562"/>
      <c r="S217" s="562"/>
      <c r="T217" s="562"/>
    </row>
    <row r="218" spans="1:20" s="560" customFormat="1" ht="19.5" customHeight="1">
      <c r="A218" s="561"/>
      <c r="B218" s="562"/>
      <c r="C218" s="562"/>
      <c r="D218" s="562"/>
      <c r="E218" s="562"/>
      <c r="F218" s="562"/>
      <c r="G218" s="562"/>
      <c r="H218" s="562"/>
      <c r="I218" s="562"/>
      <c r="J218" s="562"/>
      <c r="K218" s="562"/>
      <c r="L218" s="562"/>
      <c r="M218" s="562"/>
      <c r="N218" s="562"/>
      <c r="O218" s="562"/>
      <c r="P218" s="562"/>
      <c r="Q218" s="562"/>
      <c r="R218" s="562"/>
      <c r="S218" s="562"/>
      <c r="T218" s="562"/>
    </row>
    <row r="219" spans="1:20" s="560" customFormat="1" ht="19.5" customHeight="1">
      <c r="A219" s="561"/>
      <c r="B219" s="562"/>
      <c r="C219" s="562"/>
      <c r="D219" s="562"/>
      <c r="E219" s="562"/>
      <c r="F219" s="562"/>
      <c r="G219" s="562"/>
      <c r="H219" s="562"/>
      <c r="I219" s="562"/>
      <c r="J219" s="562"/>
      <c r="K219" s="562"/>
      <c r="L219" s="562"/>
      <c r="M219" s="562"/>
      <c r="N219" s="562"/>
      <c r="O219" s="562"/>
      <c r="P219" s="562"/>
      <c r="Q219" s="562"/>
      <c r="R219" s="562"/>
      <c r="S219" s="562"/>
      <c r="T219" s="562"/>
    </row>
    <row r="220" spans="1:20" s="560" customFormat="1" ht="19.5" customHeight="1">
      <c r="A220" s="561"/>
      <c r="B220" s="562"/>
      <c r="C220" s="562"/>
      <c r="D220" s="562"/>
      <c r="E220" s="562"/>
      <c r="F220" s="562"/>
      <c r="G220" s="562"/>
      <c r="H220" s="562"/>
      <c r="I220" s="562"/>
      <c r="J220" s="562"/>
      <c r="K220" s="562"/>
      <c r="L220" s="562"/>
      <c r="M220" s="562"/>
      <c r="N220" s="562"/>
      <c r="O220" s="562"/>
      <c r="P220" s="562"/>
      <c r="Q220" s="562"/>
      <c r="R220" s="562"/>
      <c r="S220" s="562"/>
      <c r="T220" s="562"/>
    </row>
    <row r="221" spans="1:20" s="560" customFormat="1" ht="19.5" customHeight="1">
      <c r="A221" s="561"/>
      <c r="B221" s="562"/>
      <c r="C221" s="562"/>
      <c r="D221" s="562"/>
      <c r="E221" s="562"/>
      <c r="F221" s="562"/>
      <c r="G221" s="562"/>
      <c r="H221" s="562"/>
      <c r="I221" s="562"/>
      <c r="J221" s="562"/>
      <c r="K221" s="562"/>
      <c r="L221" s="562"/>
      <c r="M221" s="562"/>
      <c r="N221" s="562"/>
      <c r="O221" s="562"/>
      <c r="P221" s="562"/>
      <c r="Q221" s="562"/>
      <c r="R221" s="562"/>
      <c r="S221" s="562"/>
      <c r="T221" s="562"/>
    </row>
    <row r="222" spans="1:20" s="560" customFormat="1" ht="19.5" customHeight="1">
      <c r="A222" s="561"/>
      <c r="B222" s="562"/>
      <c r="C222" s="562"/>
      <c r="D222" s="562"/>
      <c r="E222" s="562"/>
      <c r="F222" s="562"/>
      <c r="G222" s="562"/>
      <c r="H222" s="562"/>
      <c r="I222" s="562"/>
      <c r="J222" s="562"/>
      <c r="K222" s="562"/>
      <c r="L222" s="562"/>
      <c r="M222" s="562"/>
      <c r="N222" s="562"/>
      <c r="O222" s="562"/>
      <c r="P222" s="562"/>
      <c r="Q222" s="562"/>
      <c r="R222" s="562"/>
      <c r="S222" s="562"/>
      <c r="T222" s="562"/>
    </row>
    <row r="223" spans="1:20" s="560" customFormat="1" ht="19.5" customHeight="1">
      <c r="A223" s="561"/>
      <c r="B223" s="562"/>
      <c r="C223" s="562"/>
      <c r="D223" s="562"/>
      <c r="E223" s="562"/>
      <c r="F223" s="562"/>
      <c r="G223" s="562"/>
      <c r="H223" s="562"/>
      <c r="I223" s="562"/>
      <c r="J223" s="562"/>
      <c r="K223" s="562"/>
      <c r="L223" s="562"/>
      <c r="M223" s="562"/>
      <c r="N223" s="562"/>
      <c r="O223" s="562"/>
      <c r="P223" s="562"/>
      <c r="Q223" s="562"/>
      <c r="R223" s="562"/>
      <c r="S223" s="562"/>
      <c r="T223" s="562"/>
    </row>
    <row r="224" spans="1:20" s="560" customFormat="1" ht="19.5" customHeight="1">
      <c r="A224" s="561"/>
      <c r="B224" s="562"/>
      <c r="C224" s="562"/>
      <c r="D224" s="562"/>
      <c r="E224" s="562"/>
      <c r="F224" s="562"/>
      <c r="G224" s="562"/>
      <c r="H224" s="562"/>
      <c r="I224" s="562"/>
      <c r="J224" s="562"/>
      <c r="K224" s="562"/>
      <c r="L224" s="562"/>
      <c r="M224" s="562"/>
      <c r="N224" s="562"/>
      <c r="O224" s="562"/>
      <c r="P224" s="562"/>
      <c r="Q224" s="562"/>
      <c r="R224" s="562"/>
      <c r="S224" s="562"/>
      <c r="T224" s="562"/>
    </row>
    <row r="225" spans="1:20" s="560" customFormat="1" ht="19.5" customHeight="1">
      <c r="A225" s="561"/>
      <c r="B225" s="562"/>
      <c r="C225" s="562"/>
      <c r="D225" s="562"/>
      <c r="E225" s="562"/>
      <c r="F225" s="562"/>
      <c r="G225" s="562"/>
      <c r="H225" s="562"/>
      <c r="I225" s="562"/>
      <c r="J225" s="562"/>
      <c r="K225" s="562"/>
      <c r="L225" s="562"/>
      <c r="M225" s="562"/>
      <c r="N225" s="562"/>
      <c r="O225" s="562"/>
      <c r="P225" s="562"/>
      <c r="Q225" s="562"/>
      <c r="R225" s="562"/>
      <c r="S225" s="562"/>
      <c r="T225" s="562"/>
    </row>
    <row r="226" spans="1:20" s="560" customFormat="1" ht="19.5" customHeight="1">
      <c r="A226" s="561"/>
      <c r="B226" s="562"/>
      <c r="C226" s="562"/>
      <c r="D226" s="562"/>
      <c r="E226" s="562"/>
      <c r="F226" s="562"/>
      <c r="G226" s="562"/>
      <c r="H226" s="562"/>
      <c r="I226" s="562"/>
      <c r="J226" s="562"/>
      <c r="K226" s="562"/>
      <c r="L226" s="562"/>
      <c r="M226" s="562"/>
      <c r="N226" s="562"/>
      <c r="O226" s="562"/>
      <c r="P226" s="562"/>
      <c r="Q226" s="562"/>
      <c r="R226" s="562"/>
      <c r="S226" s="562"/>
      <c r="T226" s="562"/>
    </row>
    <row r="227" spans="1:20" s="560" customFormat="1" ht="19.5" customHeight="1">
      <c r="A227" s="561"/>
      <c r="B227" s="562"/>
      <c r="C227" s="562"/>
      <c r="D227" s="562"/>
      <c r="E227" s="562"/>
      <c r="F227" s="562"/>
      <c r="G227" s="562"/>
      <c r="H227" s="562"/>
      <c r="I227" s="562"/>
      <c r="J227" s="562"/>
      <c r="K227" s="562"/>
      <c r="L227" s="562"/>
      <c r="M227" s="562"/>
      <c r="N227" s="562"/>
      <c r="O227" s="562"/>
      <c r="P227" s="562"/>
      <c r="Q227" s="562"/>
      <c r="R227" s="562"/>
      <c r="S227" s="562"/>
      <c r="T227" s="562"/>
    </row>
    <row r="228" spans="1:20" s="560" customFormat="1" ht="19.5" customHeight="1">
      <c r="A228" s="561"/>
      <c r="B228" s="562"/>
      <c r="C228" s="562"/>
      <c r="D228" s="562"/>
      <c r="E228" s="562"/>
      <c r="F228" s="562"/>
      <c r="G228" s="562"/>
      <c r="H228" s="562"/>
      <c r="I228" s="562"/>
      <c r="J228" s="562"/>
      <c r="K228" s="562"/>
      <c r="L228" s="562"/>
      <c r="M228" s="562"/>
      <c r="N228" s="562"/>
      <c r="O228" s="562"/>
      <c r="P228" s="562"/>
      <c r="Q228" s="562"/>
      <c r="R228" s="562"/>
      <c r="S228" s="562"/>
      <c r="T228" s="562"/>
    </row>
    <row r="229" spans="1:20" s="560" customFormat="1" ht="19.5" customHeight="1">
      <c r="A229" s="561"/>
      <c r="B229" s="562"/>
      <c r="C229" s="562"/>
      <c r="D229" s="562"/>
      <c r="E229" s="562"/>
      <c r="F229" s="562"/>
      <c r="G229" s="562"/>
      <c r="H229" s="562"/>
      <c r="I229" s="562"/>
      <c r="J229" s="562"/>
      <c r="K229" s="562"/>
      <c r="L229" s="562"/>
      <c r="M229" s="562"/>
      <c r="N229" s="562"/>
      <c r="O229" s="562"/>
      <c r="P229" s="562"/>
      <c r="Q229" s="562"/>
      <c r="R229" s="562"/>
      <c r="S229" s="562"/>
      <c r="T229" s="562"/>
    </row>
    <row r="230" spans="1:20" s="560" customFormat="1" ht="19.5" customHeight="1">
      <c r="A230" s="561"/>
      <c r="B230" s="562"/>
      <c r="C230" s="562"/>
      <c r="D230" s="562"/>
      <c r="E230" s="562"/>
      <c r="F230" s="562"/>
      <c r="G230" s="562"/>
      <c r="H230" s="562"/>
      <c r="I230" s="562"/>
      <c r="J230" s="562"/>
      <c r="K230" s="562"/>
      <c r="L230" s="562"/>
      <c r="M230" s="562"/>
      <c r="N230" s="562"/>
      <c r="O230" s="562"/>
      <c r="P230" s="562"/>
      <c r="Q230" s="562"/>
      <c r="R230" s="562"/>
      <c r="S230" s="562"/>
      <c r="T230" s="562"/>
    </row>
    <row r="231" spans="1:20" s="560" customFormat="1" ht="19.5" customHeight="1">
      <c r="A231" s="561"/>
      <c r="B231" s="562"/>
      <c r="C231" s="562"/>
      <c r="D231" s="562"/>
      <c r="E231" s="562"/>
      <c r="F231" s="562"/>
      <c r="G231" s="562"/>
      <c r="H231" s="562"/>
      <c r="I231" s="562"/>
      <c r="J231" s="562"/>
      <c r="K231" s="562"/>
      <c r="L231" s="562"/>
      <c r="M231" s="562"/>
      <c r="N231" s="562"/>
      <c r="O231" s="562"/>
      <c r="P231" s="562"/>
      <c r="Q231" s="562"/>
      <c r="R231" s="562"/>
      <c r="S231" s="562"/>
      <c r="T231" s="562"/>
    </row>
    <row r="232" spans="1:20" s="560" customFormat="1" ht="19.5" customHeight="1">
      <c r="A232" s="561"/>
      <c r="B232" s="562"/>
      <c r="C232" s="562"/>
      <c r="D232" s="562"/>
      <c r="E232" s="562"/>
      <c r="F232" s="562"/>
      <c r="G232" s="562"/>
      <c r="H232" s="562"/>
      <c r="I232" s="562"/>
      <c r="J232" s="562"/>
      <c r="K232" s="562"/>
      <c r="L232" s="562"/>
      <c r="M232" s="562"/>
      <c r="N232" s="562"/>
      <c r="O232" s="562"/>
      <c r="P232" s="562"/>
      <c r="Q232" s="562"/>
      <c r="R232" s="562"/>
      <c r="S232" s="562"/>
      <c r="T232" s="562"/>
    </row>
    <row r="233" spans="1:20" s="560" customFormat="1" ht="19.5" customHeight="1">
      <c r="A233" s="561"/>
      <c r="B233" s="562"/>
      <c r="C233" s="562"/>
      <c r="D233" s="562"/>
      <c r="E233" s="562"/>
      <c r="F233" s="562"/>
      <c r="G233" s="562"/>
      <c r="H233" s="562"/>
      <c r="I233" s="562"/>
      <c r="J233" s="562"/>
      <c r="K233" s="562"/>
      <c r="L233" s="562"/>
      <c r="M233" s="562"/>
      <c r="N233" s="562"/>
      <c r="O233" s="562"/>
      <c r="P233" s="562"/>
      <c r="Q233" s="562"/>
      <c r="R233" s="562"/>
      <c r="S233" s="562"/>
      <c r="T233" s="562"/>
    </row>
    <row r="234" spans="1:20" s="560" customFormat="1" ht="19.5" customHeight="1">
      <c r="A234" s="561"/>
      <c r="B234" s="562"/>
      <c r="C234" s="562"/>
      <c r="D234" s="562"/>
      <c r="E234" s="562"/>
      <c r="F234" s="562"/>
      <c r="G234" s="562"/>
      <c r="H234" s="562"/>
      <c r="I234" s="562"/>
      <c r="J234" s="562"/>
      <c r="K234" s="562"/>
      <c r="L234" s="562"/>
      <c r="M234" s="562"/>
      <c r="N234" s="562"/>
      <c r="O234" s="562"/>
      <c r="P234" s="562"/>
      <c r="Q234" s="562"/>
      <c r="R234" s="562"/>
      <c r="S234" s="562"/>
      <c r="T234" s="562"/>
    </row>
    <row r="235" spans="1:20" s="560" customFormat="1" ht="19.5" customHeight="1">
      <c r="A235" s="561"/>
      <c r="B235" s="562"/>
      <c r="C235" s="562"/>
      <c r="D235" s="562"/>
      <c r="E235" s="562"/>
      <c r="F235" s="562"/>
      <c r="G235" s="562"/>
      <c r="H235" s="562"/>
      <c r="I235" s="562"/>
      <c r="J235" s="562"/>
      <c r="K235" s="562"/>
      <c r="L235" s="562"/>
      <c r="M235" s="562"/>
      <c r="N235" s="562"/>
      <c r="O235" s="562"/>
      <c r="P235" s="562"/>
      <c r="Q235" s="562"/>
      <c r="R235" s="562"/>
      <c r="S235" s="562"/>
      <c r="T235" s="562"/>
    </row>
    <row r="236" spans="1:20" s="560" customFormat="1" ht="19.5" customHeight="1">
      <c r="A236" s="561"/>
      <c r="B236" s="562"/>
      <c r="C236" s="562"/>
      <c r="D236" s="562"/>
      <c r="E236" s="562"/>
      <c r="F236" s="562"/>
      <c r="G236" s="562"/>
      <c r="H236" s="562"/>
      <c r="I236" s="562"/>
      <c r="J236" s="562"/>
      <c r="K236" s="562"/>
      <c r="L236" s="562"/>
      <c r="M236" s="562"/>
      <c r="N236" s="562"/>
      <c r="O236" s="562"/>
      <c r="P236" s="562"/>
      <c r="Q236" s="562"/>
      <c r="R236" s="562"/>
      <c r="S236" s="562"/>
      <c r="T236" s="562"/>
    </row>
    <row r="237" spans="1:20" s="560" customFormat="1" ht="19.5" customHeight="1">
      <c r="A237" s="561"/>
      <c r="B237" s="562"/>
      <c r="C237" s="562"/>
      <c r="D237" s="562"/>
      <c r="E237" s="562"/>
      <c r="F237" s="562"/>
      <c r="G237" s="562"/>
      <c r="H237" s="562"/>
      <c r="I237" s="562"/>
      <c r="J237" s="562"/>
      <c r="K237" s="562"/>
      <c r="L237" s="562"/>
      <c r="M237" s="562"/>
      <c r="N237" s="562"/>
      <c r="O237" s="562"/>
      <c r="P237" s="562"/>
      <c r="Q237" s="562"/>
      <c r="R237" s="562"/>
      <c r="S237" s="562"/>
      <c r="T237" s="562"/>
    </row>
    <row r="238" spans="1:20" s="560" customFormat="1" ht="19.5" customHeight="1">
      <c r="A238" s="561"/>
      <c r="B238" s="562"/>
      <c r="C238" s="562"/>
      <c r="D238" s="562"/>
      <c r="E238" s="562"/>
      <c r="F238" s="562"/>
      <c r="G238" s="562"/>
      <c r="H238" s="562"/>
      <c r="I238" s="562"/>
      <c r="J238" s="562"/>
      <c r="K238" s="562"/>
      <c r="L238" s="562"/>
      <c r="M238" s="562"/>
      <c r="N238" s="562"/>
      <c r="O238" s="562"/>
      <c r="P238" s="562"/>
      <c r="Q238" s="562"/>
      <c r="R238" s="562"/>
      <c r="S238" s="562"/>
      <c r="T238" s="562"/>
    </row>
    <row r="239" spans="1:20" s="560" customFormat="1" ht="19.5" customHeight="1">
      <c r="A239" s="561"/>
      <c r="B239" s="562"/>
      <c r="C239" s="562"/>
      <c r="D239" s="562"/>
      <c r="E239" s="562"/>
      <c r="F239" s="562"/>
      <c r="G239" s="562"/>
      <c r="H239" s="562"/>
      <c r="I239" s="562"/>
      <c r="J239" s="562"/>
      <c r="K239" s="562"/>
      <c r="L239" s="562"/>
      <c r="M239" s="562"/>
      <c r="N239" s="562"/>
      <c r="O239" s="562"/>
      <c r="P239" s="562"/>
      <c r="Q239" s="562"/>
      <c r="R239" s="562"/>
      <c r="S239" s="562"/>
      <c r="T239" s="562"/>
    </row>
    <row r="240" spans="1:20" s="560" customFormat="1" ht="19.5" customHeight="1">
      <c r="A240" s="561"/>
      <c r="B240" s="562"/>
      <c r="C240" s="562"/>
      <c r="D240" s="562"/>
      <c r="E240" s="562"/>
      <c r="F240" s="562"/>
      <c r="G240" s="562"/>
      <c r="H240" s="562"/>
      <c r="I240" s="562"/>
      <c r="J240" s="562"/>
      <c r="K240" s="562"/>
      <c r="L240" s="562"/>
      <c r="M240" s="562"/>
      <c r="N240" s="562"/>
      <c r="O240" s="562"/>
      <c r="P240" s="562"/>
      <c r="Q240" s="562"/>
      <c r="R240" s="562"/>
      <c r="S240" s="562"/>
      <c r="T240" s="562"/>
    </row>
    <row r="241" spans="1:20" s="560" customFormat="1" ht="19.5" customHeight="1">
      <c r="A241" s="561"/>
      <c r="B241" s="562"/>
      <c r="C241" s="562"/>
      <c r="D241" s="562"/>
      <c r="E241" s="562"/>
      <c r="F241" s="562"/>
      <c r="G241" s="562"/>
      <c r="H241" s="562"/>
      <c r="I241" s="562"/>
      <c r="J241" s="562"/>
      <c r="K241" s="562"/>
      <c r="L241" s="562"/>
      <c r="M241" s="562"/>
      <c r="N241" s="562"/>
      <c r="O241" s="562"/>
      <c r="P241" s="562"/>
      <c r="Q241" s="562"/>
      <c r="R241" s="562"/>
      <c r="S241" s="562"/>
      <c r="T241" s="562"/>
    </row>
    <row r="242" ht="19.5" customHeight="1"/>
    <row r="243" ht="9.75" customHeight="1"/>
    <row r="244" ht="19.5" customHeight="1"/>
    <row r="245" ht="19.5" customHeight="1"/>
    <row r="246" ht="19.5" customHeight="1"/>
    <row r="247" ht="19.5" customHeight="1"/>
    <row r="248" spans="1:20" s="560" customFormat="1" ht="19.5" customHeight="1">
      <c r="A248" s="561"/>
      <c r="B248" s="562"/>
      <c r="C248" s="562"/>
      <c r="D248" s="562"/>
      <c r="E248" s="562"/>
      <c r="F248" s="562"/>
      <c r="G248" s="562"/>
      <c r="H248" s="562"/>
      <c r="I248" s="562"/>
      <c r="J248" s="562"/>
      <c r="K248" s="562"/>
      <c r="L248" s="562"/>
      <c r="M248" s="562"/>
      <c r="N248" s="562"/>
      <c r="O248" s="562"/>
      <c r="P248" s="562"/>
      <c r="Q248" s="562"/>
      <c r="R248" s="562"/>
      <c r="S248" s="562"/>
      <c r="T248" s="562"/>
    </row>
    <row r="249" spans="1:20" s="560" customFormat="1" ht="19.5" customHeight="1">
      <c r="A249" s="561"/>
      <c r="B249" s="562"/>
      <c r="C249" s="562"/>
      <c r="D249" s="562"/>
      <c r="E249" s="562"/>
      <c r="F249" s="562"/>
      <c r="G249" s="562"/>
      <c r="H249" s="562"/>
      <c r="I249" s="562"/>
      <c r="J249" s="562"/>
      <c r="K249" s="562"/>
      <c r="L249" s="562"/>
      <c r="M249" s="562"/>
      <c r="N249" s="562"/>
      <c r="O249" s="562"/>
      <c r="P249" s="562"/>
      <c r="Q249" s="562"/>
      <c r="R249" s="562"/>
      <c r="S249" s="562"/>
      <c r="T249" s="562"/>
    </row>
    <row r="250" spans="1:20" s="560" customFormat="1" ht="19.5" customHeight="1">
      <c r="A250" s="561"/>
      <c r="B250" s="562"/>
      <c r="C250" s="562"/>
      <c r="D250" s="562"/>
      <c r="E250" s="562"/>
      <c r="F250" s="562"/>
      <c r="G250" s="562"/>
      <c r="H250" s="562"/>
      <c r="I250" s="562"/>
      <c r="J250" s="562"/>
      <c r="K250" s="562"/>
      <c r="L250" s="562"/>
      <c r="M250" s="562"/>
      <c r="N250" s="562"/>
      <c r="O250" s="562"/>
      <c r="P250" s="562"/>
      <c r="Q250" s="562"/>
      <c r="R250" s="562"/>
      <c r="S250" s="562"/>
      <c r="T250" s="562"/>
    </row>
    <row r="251" spans="1:20" s="560" customFormat="1" ht="19.5" customHeight="1">
      <c r="A251" s="561"/>
      <c r="B251" s="562"/>
      <c r="C251" s="562"/>
      <c r="D251" s="562"/>
      <c r="E251" s="562"/>
      <c r="F251" s="562"/>
      <c r="G251" s="562"/>
      <c r="H251" s="562"/>
      <c r="I251" s="562"/>
      <c r="J251" s="562"/>
      <c r="K251" s="562"/>
      <c r="L251" s="562"/>
      <c r="M251" s="562"/>
      <c r="N251" s="562"/>
      <c r="O251" s="562"/>
      <c r="P251" s="562"/>
      <c r="Q251" s="562"/>
      <c r="R251" s="562"/>
      <c r="S251" s="562"/>
      <c r="T251" s="562"/>
    </row>
    <row r="252" spans="1:20" s="560" customFormat="1" ht="19.5" customHeight="1">
      <c r="A252" s="561"/>
      <c r="B252" s="562"/>
      <c r="C252" s="562"/>
      <c r="D252" s="562"/>
      <c r="E252" s="562"/>
      <c r="F252" s="562"/>
      <c r="G252" s="562"/>
      <c r="H252" s="562"/>
      <c r="I252" s="562"/>
      <c r="J252" s="562"/>
      <c r="K252" s="562"/>
      <c r="L252" s="562"/>
      <c r="M252" s="562"/>
      <c r="N252" s="562"/>
      <c r="O252" s="562"/>
      <c r="P252" s="562"/>
      <c r="Q252" s="562"/>
      <c r="R252" s="562"/>
      <c r="S252" s="562"/>
      <c r="T252" s="562"/>
    </row>
    <row r="253" spans="1:20" s="560" customFormat="1" ht="19.5" customHeight="1">
      <c r="A253" s="561"/>
      <c r="B253" s="562"/>
      <c r="C253" s="562"/>
      <c r="D253" s="562"/>
      <c r="E253" s="562"/>
      <c r="F253" s="562"/>
      <c r="G253" s="562"/>
      <c r="H253" s="562"/>
      <c r="I253" s="562"/>
      <c r="J253" s="562"/>
      <c r="K253" s="562"/>
      <c r="L253" s="562"/>
      <c r="M253" s="562"/>
      <c r="N253" s="562"/>
      <c r="O253" s="562"/>
      <c r="P253" s="562"/>
      <c r="Q253" s="562"/>
      <c r="R253" s="562"/>
      <c r="S253" s="562"/>
      <c r="T253" s="562"/>
    </row>
    <row r="254" spans="1:20" s="560" customFormat="1" ht="19.5" customHeight="1">
      <c r="A254" s="561"/>
      <c r="B254" s="562"/>
      <c r="C254" s="562"/>
      <c r="D254" s="562"/>
      <c r="E254" s="562"/>
      <c r="F254" s="562"/>
      <c r="G254" s="562"/>
      <c r="H254" s="562"/>
      <c r="I254" s="562"/>
      <c r="J254" s="562"/>
      <c r="K254" s="562"/>
      <c r="L254" s="562"/>
      <c r="M254" s="562"/>
      <c r="N254" s="562"/>
      <c r="O254" s="562"/>
      <c r="P254" s="562"/>
      <c r="Q254" s="562"/>
      <c r="R254" s="562"/>
      <c r="S254" s="562"/>
      <c r="T254" s="562"/>
    </row>
    <row r="255" spans="1:20" s="560" customFormat="1" ht="19.5" customHeight="1">
      <c r="A255" s="561"/>
      <c r="B255" s="562"/>
      <c r="C255" s="562"/>
      <c r="D255" s="562"/>
      <c r="E255" s="562"/>
      <c r="F255" s="562"/>
      <c r="G255" s="562"/>
      <c r="H255" s="562"/>
      <c r="I255" s="562"/>
      <c r="J255" s="562"/>
      <c r="K255" s="562"/>
      <c r="L255" s="562"/>
      <c r="M255" s="562"/>
      <c r="N255" s="562"/>
      <c r="O255" s="562"/>
      <c r="P255" s="562"/>
      <c r="Q255" s="562"/>
      <c r="R255" s="562"/>
      <c r="S255" s="562"/>
      <c r="T255" s="562"/>
    </row>
    <row r="256" spans="1:20" s="560" customFormat="1" ht="19.5" customHeight="1">
      <c r="A256" s="561"/>
      <c r="B256" s="562"/>
      <c r="C256" s="562"/>
      <c r="D256" s="562"/>
      <c r="E256" s="562"/>
      <c r="F256" s="562"/>
      <c r="G256" s="562"/>
      <c r="H256" s="562"/>
      <c r="I256" s="562"/>
      <c r="J256" s="562"/>
      <c r="K256" s="562"/>
      <c r="L256" s="562"/>
      <c r="M256" s="562"/>
      <c r="N256" s="562"/>
      <c r="O256" s="562"/>
      <c r="P256" s="562"/>
      <c r="Q256" s="562"/>
      <c r="R256" s="562"/>
      <c r="S256" s="562"/>
      <c r="T256" s="562"/>
    </row>
    <row r="257" spans="1:20" s="560" customFormat="1" ht="19.5" customHeight="1">
      <c r="A257" s="561"/>
      <c r="B257" s="562"/>
      <c r="C257" s="562"/>
      <c r="D257" s="562"/>
      <c r="E257" s="562"/>
      <c r="F257" s="562"/>
      <c r="G257" s="562"/>
      <c r="H257" s="562"/>
      <c r="I257" s="562"/>
      <c r="J257" s="562"/>
      <c r="K257" s="562"/>
      <c r="L257" s="562"/>
      <c r="M257" s="562"/>
      <c r="N257" s="562"/>
      <c r="O257" s="562"/>
      <c r="P257" s="562"/>
      <c r="Q257" s="562"/>
      <c r="R257" s="562"/>
      <c r="S257" s="562"/>
      <c r="T257" s="562"/>
    </row>
    <row r="258" spans="1:20" s="560" customFormat="1" ht="19.5" customHeight="1">
      <c r="A258" s="561"/>
      <c r="B258" s="562"/>
      <c r="C258" s="562"/>
      <c r="D258" s="562"/>
      <c r="E258" s="562"/>
      <c r="F258" s="562"/>
      <c r="G258" s="562"/>
      <c r="H258" s="562"/>
      <c r="I258" s="562"/>
      <c r="J258" s="562"/>
      <c r="K258" s="562"/>
      <c r="L258" s="562"/>
      <c r="M258" s="562"/>
      <c r="N258" s="562"/>
      <c r="O258" s="562"/>
      <c r="P258" s="562"/>
      <c r="Q258" s="562"/>
      <c r="R258" s="562"/>
      <c r="S258" s="562"/>
      <c r="T258" s="562"/>
    </row>
    <row r="259" spans="1:20" s="560" customFormat="1" ht="19.5" customHeight="1">
      <c r="A259" s="561"/>
      <c r="B259" s="562"/>
      <c r="C259" s="562"/>
      <c r="D259" s="562"/>
      <c r="E259" s="562"/>
      <c r="F259" s="562"/>
      <c r="G259" s="562"/>
      <c r="H259" s="562"/>
      <c r="I259" s="562"/>
      <c r="J259" s="562"/>
      <c r="K259" s="562"/>
      <c r="L259" s="562"/>
      <c r="M259" s="562"/>
      <c r="N259" s="562"/>
      <c r="O259" s="562"/>
      <c r="P259" s="562"/>
      <c r="Q259" s="562"/>
      <c r="R259" s="562"/>
      <c r="S259" s="562"/>
      <c r="T259" s="562"/>
    </row>
    <row r="260" spans="1:20" s="560" customFormat="1" ht="19.5" customHeight="1">
      <c r="A260" s="561"/>
      <c r="B260" s="562"/>
      <c r="C260" s="562"/>
      <c r="D260" s="562"/>
      <c r="E260" s="562"/>
      <c r="F260" s="562"/>
      <c r="G260" s="562"/>
      <c r="H260" s="562"/>
      <c r="I260" s="562"/>
      <c r="J260" s="562"/>
      <c r="K260" s="562"/>
      <c r="L260" s="562"/>
      <c r="M260" s="562"/>
      <c r="N260" s="562"/>
      <c r="O260" s="562"/>
      <c r="P260" s="562"/>
      <c r="Q260" s="562"/>
      <c r="R260" s="562"/>
      <c r="S260" s="562"/>
      <c r="T260" s="562"/>
    </row>
    <row r="261" spans="1:20" s="560" customFormat="1" ht="19.5" customHeight="1">
      <c r="A261" s="561"/>
      <c r="B261" s="562"/>
      <c r="C261" s="562"/>
      <c r="D261" s="562"/>
      <c r="E261" s="562"/>
      <c r="F261" s="562"/>
      <c r="G261" s="562"/>
      <c r="H261" s="562"/>
      <c r="I261" s="562"/>
      <c r="J261" s="562"/>
      <c r="K261" s="562"/>
      <c r="L261" s="562"/>
      <c r="M261" s="562"/>
      <c r="N261" s="562"/>
      <c r="O261" s="562"/>
      <c r="P261" s="562"/>
      <c r="Q261" s="562"/>
      <c r="R261" s="562"/>
      <c r="S261" s="562"/>
      <c r="T261" s="562"/>
    </row>
    <row r="262" spans="1:20" s="560" customFormat="1" ht="19.5" customHeight="1">
      <c r="A262" s="561"/>
      <c r="B262" s="562"/>
      <c r="C262" s="562"/>
      <c r="D262" s="562"/>
      <c r="E262" s="562"/>
      <c r="F262" s="562"/>
      <c r="G262" s="562"/>
      <c r="H262" s="562"/>
      <c r="I262" s="562"/>
      <c r="J262" s="562"/>
      <c r="K262" s="562"/>
      <c r="L262" s="562"/>
      <c r="M262" s="562"/>
      <c r="N262" s="562"/>
      <c r="O262" s="562"/>
      <c r="P262" s="562"/>
      <c r="Q262" s="562"/>
      <c r="R262" s="562"/>
      <c r="S262" s="562"/>
      <c r="T262" s="562"/>
    </row>
    <row r="263" spans="1:20" s="560" customFormat="1" ht="19.5" customHeight="1">
      <c r="A263" s="561"/>
      <c r="B263" s="562"/>
      <c r="C263" s="562"/>
      <c r="D263" s="562"/>
      <c r="E263" s="562"/>
      <c r="F263" s="562"/>
      <c r="G263" s="562"/>
      <c r="H263" s="562"/>
      <c r="I263" s="562"/>
      <c r="J263" s="562"/>
      <c r="K263" s="562"/>
      <c r="L263" s="562"/>
      <c r="M263" s="562"/>
      <c r="N263" s="562"/>
      <c r="O263" s="562"/>
      <c r="P263" s="562"/>
      <c r="Q263" s="562"/>
      <c r="R263" s="562"/>
      <c r="S263" s="562"/>
      <c r="T263" s="562"/>
    </row>
    <row r="264" spans="1:20" s="560" customFormat="1" ht="19.5" customHeight="1">
      <c r="A264" s="561"/>
      <c r="B264" s="562"/>
      <c r="C264" s="562"/>
      <c r="D264" s="562"/>
      <c r="E264" s="562"/>
      <c r="F264" s="562"/>
      <c r="G264" s="562"/>
      <c r="H264" s="562"/>
      <c r="I264" s="562"/>
      <c r="J264" s="562"/>
      <c r="K264" s="562"/>
      <c r="L264" s="562"/>
      <c r="M264" s="562"/>
      <c r="N264" s="562"/>
      <c r="O264" s="562"/>
      <c r="P264" s="562"/>
      <c r="Q264" s="562"/>
      <c r="R264" s="562"/>
      <c r="S264" s="562"/>
      <c r="T264" s="562"/>
    </row>
    <row r="265" spans="1:20" s="560" customFormat="1" ht="19.5" customHeight="1">
      <c r="A265" s="561"/>
      <c r="B265" s="562"/>
      <c r="C265" s="562"/>
      <c r="D265" s="562"/>
      <c r="E265" s="562"/>
      <c r="F265" s="562"/>
      <c r="G265" s="562"/>
      <c r="H265" s="562"/>
      <c r="I265" s="562"/>
      <c r="J265" s="562"/>
      <c r="K265" s="562"/>
      <c r="L265" s="562"/>
      <c r="M265" s="562"/>
      <c r="N265" s="562"/>
      <c r="O265" s="562"/>
      <c r="P265" s="562"/>
      <c r="Q265" s="562"/>
      <c r="R265" s="562"/>
      <c r="S265" s="562"/>
      <c r="T265" s="562"/>
    </row>
    <row r="266" spans="1:20" s="560" customFormat="1" ht="19.5" customHeight="1">
      <c r="A266" s="561"/>
      <c r="B266" s="562"/>
      <c r="C266" s="562"/>
      <c r="D266" s="562"/>
      <c r="E266" s="562"/>
      <c r="F266" s="562"/>
      <c r="G266" s="562"/>
      <c r="H266" s="562"/>
      <c r="I266" s="562"/>
      <c r="J266" s="562"/>
      <c r="K266" s="562"/>
      <c r="L266" s="562"/>
      <c r="M266" s="562"/>
      <c r="N266" s="562"/>
      <c r="O266" s="562"/>
      <c r="P266" s="562"/>
      <c r="Q266" s="562"/>
      <c r="R266" s="562"/>
      <c r="S266" s="562"/>
      <c r="T266" s="562"/>
    </row>
    <row r="267" spans="1:20" s="560" customFormat="1" ht="19.5" customHeight="1">
      <c r="A267" s="561"/>
      <c r="B267" s="562"/>
      <c r="C267" s="562"/>
      <c r="D267" s="562"/>
      <c r="E267" s="562"/>
      <c r="F267" s="562"/>
      <c r="G267" s="562"/>
      <c r="H267" s="562"/>
      <c r="I267" s="562"/>
      <c r="J267" s="562"/>
      <c r="K267" s="562"/>
      <c r="L267" s="562"/>
      <c r="M267" s="562"/>
      <c r="N267" s="562"/>
      <c r="O267" s="562"/>
      <c r="P267" s="562"/>
      <c r="Q267" s="562"/>
      <c r="R267" s="562"/>
      <c r="S267" s="562"/>
      <c r="T267" s="562"/>
    </row>
    <row r="268" spans="1:20" s="560" customFormat="1" ht="19.5" customHeight="1">
      <c r="A268" s="561"/>
      <c r="B268" s="562"/>
      <c r="C268" s="562"/>
      <c r="D268" s="562"/>
      <c r="E268" s="562"/>
      <c r="F268" s="562"/>
      <c r="G268" s="562"/>
      <c r="H268" s="562"/>
      <c r="I268" s="562"/>
      <c r="J268" s="562"/>
      <c r="K268" s="562"/>
      <c r="L268" s="562"/>
      <c r="M268" s="562"/>
      <c r="N268" s="562"/>
      <c r="O268" s="562"/>
      <c r="P268" s="562"/>
      <c r="Q268" s="562"/>
      <c r="R268" s="562"/>
      <c r="S268" s="562"/>
      <c r="T268" s="562"/>
    </row>
    <row r="269" spans="1:20" s="560" customFormat="1" ht="19.5" customHeight="1">
      <c r="A269" s="561"/>
      <c r="B269" s="562"/>
      <c r="C269" s="562"/>
      <c r="D269" s="562"/>
      <c r="E269" s="562"/>
      <c r="F269" s="562"/>
      <c r="G269" s="562"/>
      <c r="H269" s="562"/>
      <c r="I269" s="562"/>
      <c r="J269" s="562"/>
      <c r="K269" s="562"/>
      <c r="L269" s="562"/>
      <c r="M269" s="562"/>
      <c r="N269" s="562"/>
      <c r="O269" s="562"/>
      <c r="P269" s="562"/>
      <c r="Q269" s="562"/>
      <c r="R269" s="562"/>
      <c r="S269" s="562"/>
      <c r="T269" s="562"/>
    </row>
    <row r="270" spans="1:20" s="560" customFormat="1" ht="19.5" customHeight="1">
      <c r="A270" s="561"/>
      <c r="B270" s="562"/>
      <c r="C270" s="562"/>
      <c r="D270" s="562"/>
      <c r="E270" s="562"/>
      <c r="F270" s="562"/>
      <c r="G270" s="562"/>
      <c r="H270" s="562"/>
      <c r="I270" s="562"/>
      <c r="J270" s="562"/>
      <c r="K270" s="562"/>
      <c r="L270" s="562"/>
      <c r="M270" s="562"/>
      <c r="N270" s="562"/>
      <c r="O270" s="562"/>
      <c r="P270" s="562"/>
      <c r="Q270" s="562"/>
      <c r="R270" s="562"/>
      <c r="S270" s="562"/>
      <c r="T270" s="562"/>
    </row>
    <row r="271" spans="1:20" s="560" customFormat="1" ht="19.5" customHeight="1">
      <c r="A271" s="561"/>
      <c r="B271" s="562"/>
      <c r="C271" s="562"/>
      <c r="D271" s="562"/>
      <c r="E271" s="562"/>
      <c r="F271" s="562"/>
      <c r="G271" s="562"/>
      <c r="H271" s="562"/>
      <c r="I271" s="562"/>
      <c r="J271" s="562"/>
      <c r="K271" s="562"/>
      <c r="L271" s="562"/>
      <c r="M271" s="562"/>
      <c r="N271" s="562"/>
      <c r="O271" s="562"/>
      <c r="P271" s="562"/>
      <c r="Q271" s="562"/>
      <c r="R271" s="562"/>
      <c r="S271" s="562"/>
      <c r="T271" s="562"/>
    </row>
    <row r="272" spans="1:20" s="560" customFormat="1" ht="19.5" customHeight="1">
      <c r="A272" s="561"/>
      <c r="B272" s="562"/>
      <c r="C272" s="562"/>
      <c r="D272" s="562"/>
      <c r="E272" s="562"/>
      <c r="F272" s="562"/>
      <c r="G272" s="562"/>
      <c r="H272" s="562"/>
      <c r="I272" s="562"/>
      <c r="J272" s="562"/>
      <c r="K272" s="562"/>
      <c r="L272" s="562"/>
      <c r="M272" s="562"/>
      <c r="N272" s="562"/>
      <c r="O272" s="562"/>
      <c r="P272" s="562"/>
      <c r="Q272" s="562"/>
      <c r="R272" s="562"/>
      <c r="S272" s="562"/>
      <c r="T272" s="562"/>
    </row>
    <row r="273" spans="1:20" s="560" customFormat="1" ht="19.5" customHeight="1">
      <c r="A273" s="561"/>
      <c r="B273" s="562"/>
      <c r="C273" s="562"/>
      <c r="D273" s="562"/>
      <c r="E273" s="562"/>
      <c r="F273" s="562"/>
      <c r="G273" s="562"/>
      <c r="H273" s="562"/>
      <c r="I273" s="562"/>
      <c r="J273" s="562"/>
      <c r="K273" s="562"/>
      <c r="L273" s="562"/>
      <c r="M273" s="562"/>
      <c r="N273" s="562"/>
      <c r="O273" s="562"/>
      <c r="P273" s="562"/>
      <c r="Q273" s="562"/>
      <c r="R273" s="562"/>
      <c r="S273" s="562"/>
      <c r="T273" s="562"/>
    </row>
    <row r="274" spans="1:20" s="560" customFormat="1" ht="19.5" customHeight="1">
      <c r="A274" s="561"/>
      <c r="B274" s="562"/>
      <c r="C274" s="562"/>
      <c r="D274" s="562"/>
      <c r="E274" s="562"/>
      <c r="F274" s="562"/>
      <c r="G274" s="562"/>
      <c r="H274" s="562"/>
      <c r="I274" s="562"/>
      <c r="J274" s="562"/>
      <c r="K274" s="562"/>
      <c r="L274" s="562"/>
      <c r="M274" s="562"/>
      <c r="N274" s="562"/>
      <c r="O274" s="562"/>
      <c r="P274" s="562"/>
      <c r="Q274" s="562"/>
      <c r="R274" s="562"/>
      <c r="S274" s="562"/>
      <c r="T274" s="562"/>
    </row>
    <row r="275" spans="1:20" s="560" customFormat="1" ht="19.5" customHeight="1">
      <c r="A275" s="561"/>
      <c r="B275" s="562"/>
      <c r="C275" s="562"/>
      <c r="D275" s="562"/>
      <c r="E275" s="562"/>
      <c r="F275" s="562"/>
      <c r="G275" s="562"/>
      <c r="H275" s="562"/>
      <c r="I275" s="562"/>
      <c r="J275" s="562"/>
      <c r="K275" s="562"/>
      <c r="L275" s="562"/>
      <c r="M275" s="562"/>
      <c r="N275" s="562"/>
      <c r="O275" s="562"/>
      <c r="P275" s="562"/>
      <c r="Q275" s="562"/>
      <c r="R275" s="562"/>
      <c r="S275" s="562"/>
      <c r="T275" s="562"/>
    </row>
    <row r="276" spans="1:20" s="560" customFormat="1" ht="19.5" customHeight="1">
      <c r="A276" s="561"/>
      <c r="B276" s="562"/>
      <c r="C276" s="562"/>
      <c r="D276" s="562"/>
      <c r="E276" s="562"/>
      <c r="F276" s="562"/>
      <c r="G276" s="562"/>
      <c r="H276" s="562"/>
      <c r="I276" s="562"/>
      <c r="J276" s="562"/>
      <c r="K276" s="562"/>
      <c r="L276" s="562"/>
      <c r="M276" s="562"/>
      <c r="N276" s="562"/>
      <c r="O276" s="562"/>
      <c r="P276" s="562"/>
      <c r="Q276" s="562"/>
      <c r="R276" s="562"/>
      <c r="S276" s="562"/>
      <c r="T276" s="562"/>
    </row>
    <row r="277" spans="1:20" s="560" customFormat="1" ht="19.5" customHeight="1">
      <c r="A277" s="561"/>
      <c r="B277" s="562"/>
      <c r="C277" s="562"/>
      <c r="D277" s="562"/>
      <c r="E277" s="562"/>
      <c r="F277" s="562"/>
      <c r="G277" s="562"/>
      <c r="H277" s="562"/>
      <c r="I277" s="562"/>
      <c r="J277" s="562"/>
      <c r="K277" s="562"/>
      <c r="L277" s="562"/>
      <c r="M277" s="562"/>
      <c r="N277" s="562"/>
      <c r="O277" s="562"/>
      <c r="P277" s="562"/>
      <c r="Q277" s="562"/>
      <c r="R277" s="562"/>
      <c r="S277" s="562"/>
      <c r="T277" s="562"/>
    </row>
    <row r="278" spans="1:20" s="560" customFormat="1" ht="19.5" customHeight="1">
      <c r="A278" s="561"/>
      <c r="B278" s="562"/>
      <c r="C278" s="562"/>
      <c r="D278" s="562"/>
      <c r="E278" s="562"/>
      <c r="F278" s="562"/>
      <c r="G278" s="562"/>
      <c r="H278" s="562"/>
      <c r="I278" s="562"/>
      <c r="J278" s="562"/>
      <c r="K278" s="562"/>
      <c r="L278" s="562"/>
      <c r="M278" s="562"/>
      <c r="N278" s="562"/>
      <c r="O278" s="562"/>
      <c r="P278" s="562"/>
      <c r="Q278" s="562"/>
      <c r="R278" s="562"/>
      <c r="S278" s="562"/>
      <c r="T278" s="562"/>
    </row>
    <row r="279" spans="1:20" s="560" customFormat="1" ht="19.5" customHeight="1">
      <c r="A279" s="561"/>
      <c r="B279" s="562"/>
      <c r="C279" s="562"/>
      <c r="D279" s="562"/>
      <c r="E279" s="562"/>
      <c r="F279" s="562"/>
      <c r="G279" s="562"/>
      <c r="H279" s="562"/>
      <c r="I279" s="562"/>
      <c r="J279" s="562"/>
      <c r="K279" s="562"/>
      <c r="L279" s="562"/>
      <c r="M279" s="562"/>
      <c r="N279" s="562"/>
      <c r="O279" s="562"/>
      <c r="P279" s="562"/>
      <c r="Q279" s="562"/>
      <c r="R279" s="562"/>
      <c r="S279" s="562"/>
      <c r="T279" s="562"/>
    </row>
    <row r="280" spans="1:20" s="560" customFormat="1" ht="19.5" customHeight="1">
      <c r="A280" s="561"/>
      <c r="B280" s="562"/>
      <c r="C280" s="562"/>
      <c r="D280" s="562"/>
      <c r="E280" s="562"/>
      <c r="F280" s="562"/>
      <c r="G280" s="562"/>
      <c r="H280" s="562"/>
      <c r="I280" s="562"/>
      <c r="J280" s="562"/>
      <c r="K280" s="562"/>
      <c r="L280" s="562"/>
      <c r="M280" s="562"/>
      <c r="N280" s="562"/>
      <c r="O280" s="562"/>
      <c r="P280" s="562"/>
      <c r="Q280" s="562"/>
      <c r="R280" s="562"/>
      <c r="S280" s="562"/>
      <c r="T280" s="562"/>
    </row>
    <row r="281" spans="1:20" s="560" customFormat="1" ht="19.5" customHeight="1">
      <c r="A281" s="561"/>
      <c r="B281" s="562"/>
      <c r="C281" s="562"/>
      <c r="D281" s="562"/>
      <c r="E281" s="562"/>
      <c r="F281" s="562"/>
      <c r="G281" s="562"/>
      <c r="H281" s="562"/>
      <c r="I281" s="562"/>
      <c r="J281" s="562"/>
      <c r="K281" s="562"/>
      <c r="L281" s="562"/>
      <c r="M281" s="562"/>
      <c r="N281" s="562"/>
      <c r="O281" s="562"/>
      <c r="P281" s="562"/>
      <c r="Q281" s="562"/>
      <c r="R281" s="562"/>
      <c r="S281" s="562"/>
      <c r="T281" s="562"/>
    </row>
    <row r="282" spans="1:20" s="560" customFormat="1" ht="19.5" customHeight="1">
      <c r="A282" s="561"/>
      <c r="B282" s="562"/>
      <c r="C282" s="562"/>
      <c r="D282" s="562"/>
      <c r="E282" s="562"/>
      <c r="F282" s="562"/>
      <c r="G282" s="562"/>
      <c r="H282" s="562"/>
      <c r="I282" s="562"/>
      <c r="J282" s="562"/>
      <c r="K282" s="562"/>
      <c r="L282" s="562"/>
      <c r="M282" s="562"/>
      <c r="N282" s="562"/>
      <c r="O282" s="562"/>
      <c r="P282" s="562"/>
      <c r="Q282" s="562"/>
      <c r="R282" s="562"/>
      <c r="S282" s="562"/>
      <c r="T282" s="562"/>
    </row>
    <row r="283" spans="1:20" s="560" customFormat="1" ht="19.5" customHeight="1">
      <c r="A283" s="561"/>
      <c r="B283" s="562"/>
      <c r="C283" s="562"/>
      <c r="D283" s="562"/>
      <c r="E283" s="562"/>
      <c r="F283" s="562"/>
      <c r="G283" s="562"/>
      <c r="H283" s="562"/>
      <c r="I283" s="562"/>
      <c r="J283" s="562"/>
      <c r="K283" s="562"/>
      <c r="L283" s="562"/>
      <c r="M283" s="562"/>
      <c r="N283" s="562"/>
      <c r="O283" s="562"/>
      <c r="P283" s="562"/>
      <c r="Q283" s="562"/>
      <c r="R283" s="562"/>
      <c r="S283" s="562"/>
      <c r="T283" s="562"/>
    </row>
    <row r="284" spans="1:20" s="560" customFormat="1" ht="19.5" customHeight="1">
      <c r="A284" s="561"/>
      <c r="B284" s="562"/>
      <c r="C284" s="562"/>
      <c r="D284" s="562"/>
      <c r="E284" s="562"/>
      <c r="F284" s="562"/>
      <c r="G284" s="562"/>
      <c r="H284" s="562"/>
      <c r="I284" s="562"/>
      <c r="J284" s="562"/>
      <c r="K284" s="562"/>
      <c r="L284" s="562"/>
      <c r="M284" s="562"/>
      <c r="N284" s="562"/>
      <c r="O284" s="562"/>
      <c r="P284" s="562"/>
      <c r="Q284" s="562"/>
      <c r="R284" s="562"/>
      <c r="S284" s="562"/>
      <c r="T284" s="562"/>
    </row>
    <row r="285" ht="19.5" customHeight="1"/>
    <row r="286" ht="9.75" customHeight="1"/>
    <row r="287" ht="19.5" customHeight="1"/>
    <row r="288" ht="19.5" customHeight="1"/>
    <row r="289" ht="19.5" customHeight="1"/>
    <row r="290" spans="1:20" s="560" customFormat="1" ht="19.5" customHeight="1">
      <c r="A290" s="561"/>
      <c r="B290" s="562"/>
      <c r="C290" s="562"/>
      <c r="D290" s="562"/>
      <c r="E290" s="562"/>
      <c r="F290" s="562"/>
      <c r="G290" s="562"/>
      <c r="H290" s="562"/>
      <c r="I290" s="562"/>
      <c r="J290" s="562"/>
      <c r="K290" s="562"/>
      <c r="L290" s="562"/>
      <c r="M290" s="562"/>
      <c r="N290" s="562"/>
      <c r="O290" s="562"/>
      <c r="P290" s="562"/>
      <c r="Q290" s="562"/>
      <c r="R290" s="562"/>
      <c r="S290" s="562"/>
      <c r="T290" s="562"/>
    </row>
    <row r="291" spans="1:20" s="560" customFormat="1" ht="19.5" customHeight="1">
      <c r="A291" s="561"/>
      <c r="B291" s="562"/>
      <c r="C291" s="562"/>
      <c r="D291" s="562"/>
      <c r="E291" s="562"/>
      <c r="F291" s="562"/>
      <c r="G291" s="562"/>
      <c r="H291" s="562"/>
      <c r="I291" s="562"/>
      <c r="J291" s="562"/>
      <c r="K291" s="562"/>
      <c r="L291" s="562"/>
      <c r="M291" s="562"/>
      <c r="N291" s="562"/>
      <c r="O291" s="562"/>
      <c r="P291" s="562"/>
      <c r="Q291" s="562"/>
      <c r="R291" s="562"/>
      <c r="S291" s="562"/>
      <c r="T291" s="562"/>
    </row>
    <row r="292" spans="1:20" s="560" customFormat="1" ht="19.5" customHeight="1">
      <c r="A292" s="561"/>
      <c r="B292" s="562"/>
      <c r="C292" s="562"/>
      <c r="D292" s="562"/>
      <c r="E292" s="562"/>
      <c r="F292" s="562"/>
      <c r="G292" s="562"/>
      <c r="H292" s="562"/>
      <c r="I292" s="562"/>
      <c r="J292" s="562"/>
      <c r="K292" s="562"/>
      <c r="L292" s="562"/>
      <c r="M292" s="562"/>
      <c r="N292" s="562"/>
      <c r="O292" s="562"/>
      <c r="P292" s="562"/>
      <c r="Q292" s="562"/>
      <c r="R292" s="562"/>
      <c r="S292" s="562"/>
      <c r="T292" s="562"/>
    </row>
    <row r="293" spans="1:20" s="560" customFormat="1" ht="19.5" customHeight="1">
      <c r="A293" s="561"/>
      <c r="B293" s="562"/>
      <c r="C293" s="562"/>
      <c r="D293" s="562"/>
      <c r="E293" s="562"/>
      <c r="F293" s="562"/>
      <c r="G293" s="562"/>
      <c r="H293" s="562"/>
      <c r="I293" s="562"/>
      <c r="J293" s="562"/>
      <c r="K293" s="562"/>
      <c r="L293" s="562"/>
      <c r="M293" s="562"/>
      <c r="N293" s="562"/>
      <c r="O293" s="562"/>
      <c r="P293" s="562"/>
      <c r="Q293" s="562"/>
      <c r="R293" s="562"/>
      <c r="S293" s="562"/>
      <c r="T293" s="562"/>
    </row>
    <row r="294" spans="1:20" s="560" customFormat="1" ht="19.5" customHeight="1">
      <c r="A294" s="561"/>
      <c r="B294" s="562"/>
      <c r="C294" s="562"/>
      <c r="D294" s="562"/>
      <c r="E294" s="562"/>
      <c r="F294" s="562"/>
      <c r="G294" s="562"/>
      <c r="H294" s="562"/>
      <c r="I294" s="562"/>
      <c r="J294" s="562"/>
      <c r="K294" s="562"/>
      <c r="L294" s="562"/>
      <c r="M294" s="562"/>
      <c r="N294" s="562"/>
      <c r="O294" s="562"/>
      <c r="P294" s="562"/>
      <c r="Q294" s="562"/>
      <c r="R294" s="562"/>
      <c r="S294" s="562"/>
      <c r="T294" s="562"/>
    </row>
    <row r="295" spans="1:20" s="560" customFormat="1" ht="19.5" customHeight="1">
      <c r="A295" s="561"/>
      <c r="B295" s="562"/>
      <c r="C295" s="562"/>
      <c r="D295" s="562"/>
      <c r="E295" s="562"/>
      <c r="F295" s="562"/>
      <c r="G295" s="562"/>
      <c r="H295" s="562"/>
      <c r="I295" s="562"/>
      <c r="J295" s="562"/>
      <c r="K295" s="562"/>
      <c r="L295" s="562"/>
      <c r="M295" s="562"/>
      <c r="N295" s="562"/>
      <c r="O295" s="562"/>
      <c r="P295" s="562"/>
      <c r="Q295" s="562"/>
      <c r="R295" s="562"/>
      <c r="S295" s="562"/>
      <c r="T295" s="562"/>
    </row>
    <row r="296" spans="1:20" s="560" customFormat="1" ht="19.5" customHeight="1">
      <c r="A296" s="561"/>
      <c r="B296" s="562"/>
      <c r="C296" s="562"/>
      <c r="D296" s="562"/>
      <c r="E296" s="562"/>
      <c r="F296" s="562"/>
      <c r="G296" s="562"/>
      <c r="H296" s="562"/>
      <c r="I296" s="562"/>
      <c r="J296" s="562"/>
      <c r="K296" s="562"/>
      <c r="L296" s="562"/>
      <c r="M296" s="562"/>
      <c r="N296" s="562"/>
      <c r="O296" s="562"/>
      <c r="P296" s="562"/>
      <c r="Q296" s="562"/>
      <c r="R296" s="562"/>
      <c r="S296" s="562"/>
      <c r="T296" s="562"/>
    </row>
    <row r="297" spans="1:20" s="560" customFormat="1" ht="19.5" customHeight="1">
      <c r="A297" s="561"/>
      <c r="B297" s="562"/>
      <c r="C297" s="562"/>
      <c r="D297" s="562"/>
      <c r="E297" s="562"/>
      <c r="F297" s="562"/>
      <c r="G297" s="562"/>
      <c r="H297" s="562"/>
      <c r="I297" s="562"/>
      <c r="J297" s="562"/>
      <c r="K297" s="562"/>
      <c r="L297" s="562"/>
      <c r="M297" s="562"/>
      <c r="N297" s="562"/>
      <c r="O297" s="562"/>
      <c r="P297" s="562"/>
      <c r="Q297" s="562"/>
      <c r="R297" s="562"/>
      <c r="S297" s="562"/>
      <c r="T297" s="562"/>
    </row>
    <row r="298" spans="1:20" s="560" customFormat="1" ht="19.5" customHeight="1">
      <c r="A298" s="561"/>
      <c r="B298" s="562"/>
      <c r="C298" s="562"/>
      <c r="D298" s="562"/>
      <c r="E298" s="562"/>
      <c r="F298" s="562"/>
      <c r="G298" s="562"/>
      <c r="H298" s="562"/>
      <c r="I298" s="562"/>
      <c r="J298" s="562"/>
      <c r="K298" s="562"/>
      <c r="L298" s="562"/>
      <c r="M298" s="562"/>
      <c r="N298" s="562"/>
      <c r="O298" s="562"/>
      <c r="P298" s="562"/>
      <c r="Q298" s="562"/>
      <c r="R298" s="562"/>
      <c r="S298" s="562"/>
      <c r="T298" s="562"/>
    </row>
    <row r="299" spans="1:20" s="560" customFormat="1" ht="19.5" customHeight="1">
      <c r="A299" s="561"/>
      <c r="B299" s="562"/>
      <c r="C299" s="562"/>
      <c r="D299" s="562"/>
      <c r="E299" s="562"/>
      <c r="F299" s="562"/>
      <c r="G299" s="562"/>
      <c r="H299" s="562"/>
      <c r="I299" s="562"/>
      <c r="J299" s="562"/>
      <c r="K299" s="562"/>
      <c r="L299" s="562"/>
      <c r="M299" s="562"/>
      <c r="N299" s="562"/>
      <c r="O299" s="562"/>
      <c r="P299" s="562"/>
      <c r="Q299" s="562"/>
      <c r="R299" s="562"/>
      <c r="S299" s="562"/>
      <c r="T299" s="562"/>
    </row>
    <row r="300" spans="1:20" s="560" customFormat="1" ht="19.5" customHeight="1">
      <c r="A300" s="561"/>
      <c r="B300" s="562"/>
      <c r="C300" s="562"/>
      <c r="D300" s="562"/>
      <c r="E300" s="562"/>
      <c r="F300" s="562"/>
      <c r="G300" s="562"/>
      <c r="H300" s="562"/>
      <c r="I300" s="562"/>
      <c r="J300" s="562"/>
      <c r="K300" s="562"/>
      <c r="L300" s="562"/>
      <c r="M300" s="562"/>
      <c r="N300" s="562"/>
      <c r="O300" s="562"/>
      <c r="P300" s="562"/>
      <c r="Q300" s="562"/>
      <c r="R300" s="562"/>
      <c r="S300" s="562"/>
      <c r="T300" s="562"/>
    </row>
    <row r="301" spans="1:20" s="560" customFormat="1" ht="19.5" customHeight="1">
      <c r="A301" s="561"/>
      <c r="B301" s="562"/>
      <c r="C301" s="562"/>
      <c r="D301" s="562"/>
      <c r="E301" s="562"/>
      <c r="F301" s="562"/>
      <c r="G301" s="562"/>
      <c r="H301" s="562"/>
      <c r="I301" s="562"/>
      <c r="J301" s="562"/>
      <c r="K301" s="562"/>
      <c r="L301" s="562"/>
      <c r="M301" s="562"/>
      <c r="N301" s="562"/>
      <c r="O301" s="562"/>
      <c r="P301" s="562"/>
      <c r="Q301" s="562"/>
      <c r="R301" s="562"/>
      <c r="S301" s="562"/>
      <c r="T301" s="562"/>
    </row>
    <row r="302" spans="1:20" s="560" customFormat="1" ht="19.5" customHeight="1">
      <c r="A302" s="561"/>
      <c r="B302" s="562"/>
      <c r="C302" s="562"/>
      <c r="D302" s="562"/>
      <c r="E302" s="562"/>
      <c r="F302" s="562"/>
      <c r="G302" s="562"/>
      <c r="H302" s="562"/>
      <c r="I302" s="562"/>
      <c r="J302" s="562"/>
      <c r="K302" s="562"/>
      <c r="L302" s="562"/>
      <c r="M302" s="562"/>
      <c r="N302" s="562"/>
      <c r="O302" s="562"/>
      <c r="P302" s="562"/>
      <c r="Q302" s="562"/>
      <c r="R302" s="562"/>
      <c r="S302" s="562"/>
      <c r="T302" s="562"/>
    </row>
    <row r="303" spans="1:20" s="560" customFormat="1" ht="19.5" customHeight="1">
      <c r="A303" s="561"/>
      <c r="B303" s="562"/>
      <c r="C303" s="562"/>
      <c r="D303" s="562"/>
      <c r="E303" s="562"/>
      <c r="F303" s="562"/>
      <c r="G303" s="562"/>
      <c r="H303" s="562"/>
      <c r="I303" s="562"/>
      <c r="J303" s="562"/>
      <c r="K303" s="562"/>
      <c r="L303" s="562"/>
      <c r="M303" s="562"/>
      <c r="N303" s="562"/>
      <c r="O303" s="562"/>
      <c r="P303" s="562"/>
      <c r="Q303" s="562"/>
      <c r="R303" s="562"/>
      <c r="S303" s="562"/>
      <c r="T303" s="562"/>
    </row>
    <row r="304" spans="1:20" s="560" customFormat="1" ht="19.5" customHeight="1">
      <c r="A304" s="561"/>
      <c r="B304" s="562"/>
      <c r="C304" s="562"/>
      <c r="D304" s="562"/>
      <c r="E304" s="562"/>
      <c r="F304" s="562"/>
      <c r="G304" s="562"/>
      <c r="H304" s="562"/>
      <c r="I304" s="562"/>
      <c r="J304" s="562"/>
      <c r="K304" s="562"/>
      <c r="L304" s="562"/>
      <c r="M304" s="562"/>
      <c r="N304" s="562"/>
      <c r="O304" s="562"/>
      <c r="P304" s="562"/>
      <c r="Q304" s="562"/>
      <c r="R304" s="562"/>
      <c r="S304" s="562"/>
      <c r="T304" s="562"/>
    </row>
    <row r="305" spans="1:20" s="560" customFormat="1" ht="19.5" customHeight="1">
      <c r="A305" s="561"/>
      <c r="B305" s="562"/>
      <c r="C305" s="562"/>
      <c r="D305" s="562"/>
      <c r="E305" s="562"/>
      <c r="F305" s="562"/>
      <c r="G305" s="562"/>
      <c r="H305" s="562"/>
      <c r="I305" s="562"/>
      <c r="J305" s="562"/>
      <c r="K305" s="562"/>
      <c r="L305" s="562"/>
      <c r="M305" s="562"/>
      <c r="N305" s="562"/>
      <c r="O305" s="562"/>
      <c r="P305" s="562"/>
      <c r="Q305" s="562"/>
      <c r="R305" s="562"/>
      <c r="S305" s="562"/>
      <c r="T305" s="562"/>
    </row>
    <row r="306" spans="1:20" s="560" customFormat="1" ht="19.5" customHeight="1">
      <c r="A306" s="561"/>
      <c r="B306" s="562"/>
      <c r="C306" s="562"/>
      <c r="D306" s="562"/>
      <c r="E306" s="562"/>
      <c r="F306" s="562"/>
      <c r="G306" s="562"/>
      <c r="H306" s="562"/>
      <c r="I306" s="562"/>
      <c r="J306" s="562"/>
      <c r="K306" s="562"/>
      <c r="L306" s="562"/>
      <c r="M306" s="562"/>
      <c r="N306" s="562"/>
      <c r="O306" s="562"/>
      <c r="P306" s="562"/>
      <c r="Q306" s="562"/>
      <c r="R306" s="562"/>
      <c r="S306" s="562"/>
      <c r="T306" s="562"/>
    </row>
    <row r="307" spans="1:20" s="560" customFormat="1" ht="19.5" customHeight="1">
      <c r="A307" s="561"/>
      <c r="B307" s="562"/>
      <c r="C307" s="562"/>
      <c r="D307" s="562"/>
      <c r="E307" s="562"/>
      <c r="F307" s="562"/>
      <c r="G307" s="562"/>
      <c r="H307" s="562"/>
      <c r="I307" s="562"/>
      <c r="J307" s="562"/>
      <c r="K307" s="562"/>
      <c r="L307" s="562"/>
      <c r="M307" s="562"/>
      <c r="N307" s="562"/>
      <c r="O307" s="562"/>
      <c r="P307" s="562"/>
      <c r="Q307" s="562"/>
      <c r="R307" s="562"/>
      <c r="S307" s="562"/>
      <c r="T307" s="562"/>
    </row>
    <row r="308" spans="1:20" s="560" customFormat="1" ht="19.5" customHeight="1">
      <c r="A308" s="561"/>
      <c r="B308" s="562"/>
      <c r="C308" s="562"/>
      <c r="D308" s="562"/>
      <c r="E308" s="562"/>
      <c r="F308" s="562"/>
      <c r="G308" s="562"/>
      <c r="H308" s="562"/>
      <c r="I308" s="562"/>
      <c r="J308" s="562"/>
      <c r="K308" s="562"/>
      <c r="L308" s="562"/>
      <c r="M308" s="562"/>
      <c r="N308" s="562"/>
      <c r="O308" s="562"/>
      <c r="P308" s="562"/>
      <c r="Q308" s="562"/>
      <c r="R308" s="562"/>
      <c r="S308" s="562"/>
      <c r="T308" s="562"/>
    </row>
    <row r="309" spans="1:20" s="560" customFormat="1" ht="19.5" customHeight="1">
      <c r="A309" s="561"/>
      <c r="B309" s="562"/>
      <c r="C309" s="562"/>
      <c r="D309" s="562"/>
      <c r="E309" s="562"/>
      <c r="F309" s="562"/>
      <c r="G309" s="562"/>
      <c r="H309" s="562"/>
      <c r="I309" s="562"/>
      <c r="J309" s="562"/>
      <c r="K309" s="562"/>
      <c r="L309" s="562"/>
      <c r="M309" s="562"/>
      <c r="N309" s="562"/>
      <c r="O309" s="562"/>
      <c r="P309" s="562"/>
      <c r="Q309" s="562"/>
      <c r="R309" s="562"/>
      <c r="S309" s="562"/>
      <c r="T309" s="562"/>
    </row>
    <row r="310" spans="1:20" s="560" customFormat="1" ht="19.5" customHeight="1">
      <c r="A310" s="561"/>
      <c r="B310" s="562"/>
      <c r="C310" s="562"/>
      <c r="D310" s="562"/>
      <c r="E310" s="562"/>
      <c r="F310" s="562"/>
      <c r="G310" s="562"/>
      <c r="H310" s="562"/>
      <c r="I310" s="562"/>
      <c r="J310" s="562"/>
      <c r="K310" s="562"/>
      <c r="L310" s="562"/>
      <c r="M310" s="562"/>
      <c r="N310" s="562"/>
      <c r="O310" s="562"/>
      <c r="P310" s="562"/>
      <c r="Q310" s="562"/>
      <c r="R310" s="562"/>
      <c r="S310" s="562"/>
      <c r="T310" s="562"/>
    </row>
    <row r="311" spans="1:20" s="560" customFormat="1" ht="19.5" customHeight="1">
      <c r="A311" s="561"/>
      <c r="B311" s="562"/>
      <c r="C311" s="562"/>
      <c r="D311" s="562"/>
      <c r="E311" s="562"/>
      <c r="F311" s="562"/>
      <c r="G311" s="562"/>
      <c r="H311" s="562"/>
      <c r="I311" s="562"/>
      <c r="J311" s="562"/>
      <c r="K311" s="562"/>
      <c r="L311" s="562"/>
      <c r="M311" s="562"/>
      <c r="N311" s="562"/>
      <c r="O311" s="562"/>
      <c r="P311" s="562"/>
      <c r="Q311" s="562"/>
      <c r="R311" s="562"/>
      <c r="S311" s="562"/>
      <c r="T311" s="562"/>
    </row>
    <row r="312" spans="1:20" s="560" customFormat="1" ht="19.5" customHeight="1">
      <c r="A312" s="561"/>
      <c r="B312" s="562"/>
      <c r="C312" s="562"/>
      <c r="D312" s="562"/>
      <c r="E312" s="562"/>
      <c r="F312" s="562"/>
      <c r="G312" s="562"/>
      <c r="H312" s="562"/>
      <c r="I312" s="562"/>
      <c r="J312" s="562"/>
      <c r="K312" s="562"/>
      <c r="L312" s="562"/>
      <c r="M312" s="562"/>
      <c r="N312" s="562"/>
      <c r="O312" s="562"/>
      <c r="P312" s="562"/>
      <c r="Q312" s="562"/>
      <c r="R312" s="562"/>
      <c r="S312" s="562"/>
      <c r="T312" s="562"/>
    </row>
    <row r="313" spans="1:20" s="560" customFormat="1" ht="19.5" customHeight="1">
      <c r="A313" s="561"/>
      <c r="B313" s="562"/>
      <c r="C313" s="562"/>
      <c r="D313" s="562"/>
      <c r="E313" s="562"/>
      <c r="F313" s="562"/>
      <c r="G313" s="562"/>
      <c r="H313" s="562"/>
      <c r="I313" s="562"/>
      <c r="J313" s="562"/>
      <c r="K313" s="562"/>
      <c r="L313" s="562"/>
      <c r="M313" s="562"/>
      <c r="N313" s="562"/>
      <c r="O313" s="562"/>
      <c r="P313" s="562"/>
      <c r="Q313" s="562"/>
      <c r="R313" s="562"/>
      <c r="S313" s="562"/>
      <c r="T313" s="562"/>
    </row>
    <row r="314" spans="1:20" s="560" customFormat="1" ht="19.5" customHeight="1">
      <c r="A314" s="561"/>
      <c r="B314" s="562"/>
      <c r="C314" s="562"/>
      <c r="D314" s="562"/>
      <c r="E314" s="562"/>
      <c r="F314" s="562"/>
      <c r="G314" s="562"/>
      <c r="H314" s="562"/>
      <c r="I314" s="562"/>
      <c r="J314" s="562"/>
      <c r="K314" s="562"/>
      <c r="L314" s="562"/>
      <c r="M314" s="562"/>
      <c r="N314" s="562"/>
      <c r="O314" s="562"/>
      <c r="P314" s="562"/>
      <c r="Q314" s="562"/>
      <c r="R314" s="562"/>
      <c r="S314" s="562"/>
      <c r="T314" s="562"/>
    </row>
    <row r="315" spans="1:20" s="560" customFormat="1" ht="19.5" customHeight="1">
      <c r="A315" s="561"/>
      <c r="B315" s="562"/>
      <c r="C315" s="562"/>
      <c r="D315" s="562"/>
      <c r="E315" s="562"/>
      <c r="F315" s="562"/>
      <c r="G315" s="562"/>
      <c r="H315" s="562"/>
      <c r="I315" s="562"/>
      <c r="J315" s="562"/>
      <c r="K315" s="562"/>
      <c r="L315" s="562"/>
      <c r="M315" s="562"/>
      <c r="N315" s="562"/>
      <c r="O315" s="562"/>
      <c r="P315" s="562"/>
      <c r="Q315" s="562"/>
      <c r="R315" s="562"/>
      <c r="S315" s="562"/>
      <c r="T315" s="562"/>
    </row>
    <row r="316" spans="1:20" s="560" customFormat="1" ht="19.5" customHeight="1">
      <c r="A316" s="561"/>
      <c r="B316" s="562"/>
      <c r="C316" s="562"/>
      <c r="D316" s="562"/>
      <c r="E316" s="562"/>
      <c r="F316" s="562"/>
      <c r="G316" s="562"/>
      <c r="H316" s="562"/>
      <c r="I316" s="562"/>
      <c r="J316" s="562"/>
      <c r="K316" s="562"/>
      <c r="L316" s="562"/>
      <c r="M316" s="562"/>
      <c r="N316" s="562"/>
      <c r="O316" s="562"/>
      <c r="P316" s="562"/>
      <c r="Q316" s="562"/>
      <c r="R316" s="562"/>
      <c r="S316" s="562"/>
      <c r="T316" s="562"/>
    </row>
    <row r="317" spans="1:20" s="560" customFormat="1" ht="19.5" customHeight="1">
      <c r="A317" s="561"/>
      <c r="B317" s="562"/>
      <c r="C317" s="562"/>
      <c r="D317" s="562"/>
      <c r="E317" s="562"/>
      <c r="F317" s="562"/>
      <c r="G317" s="562"/>
      <c r="H317" s="562"/>
      <c r="I317" s="562"/>
      <c r="J317" s="562"/>
      <c r="K317" s="562"/>
      <c r="L317" s="562"/>
      <c r="M317" s="562"/>
      <c r="N317" s="562"/>
      <c r="O317" s="562"/>
      <c r="P317" s="562"/>
      <c r="Q317" s="562"/>
      <c r="R317" s="562"/>
      <c r="S317" s="562"/>
      <c r="T317" s="562"/>
    </row>
    <row r="318" spans="1:20" s="560" customFormat="1" ht="19.5" customHeight="1">
      <c r="A318" s="561"/>
      <c r="B318" s="562"/>
      <c r="C318" s="562"/>
      <c r="D318" s="562"/>
      <c r="E318" s="562"/>
      <c r="F318" s="562"/>
      <c r="G318" s="562"/>
      <c r="H318" s="562"/>
      <c r="I318" s="562"/>
      <c r="J318" s="562"/>
      <c r="K318" s="562"/>
      <c r="L318" s="562"/>
      <c r="M318" s="562"/>
      <c r="N318" s="562"/>
      <c r="O318" s="562"/>
      <c r="P318" s="562"/>
      <c r="Q318" s="562"/>
      <c r="R318" s="562"/>
      <c r="S318" s="562"/>
      <c r="T318" s="562"/>
    </row>
    <row r="319" spans="1:20" s="560" customFormat="1" ht="19.5" customHeight="1">
      <c r="A319" s="561"/>
      <c r="B319" s="562"/>
      <c r="C319" s="562"/>
      <c r="D319" s="562"/>
      <c r="E319" s="562"/>
      <c r="F319" s="562"/>
      <c r="G319" s="562"/>
      <c r="H319" s="562"/>
      <c r="I319" s="562"/>
      <c r="J319" s="562"/>
      <c r="K319" s="562"/>
      <c r="L319" s="562"/>
      <c r="M319" s="562"/>
      <c r="N319" s="562"/>
      <c r="O319" s="562"/>
      <c r="P319" s="562"/>
      <c r="Q319" s="562"/>
      <c r="R319" s="562"/>
      <c r="S319" s="562"/>
      <c r="T319" s="562"/>
    </row>
    <row r="320" spans="1:20" s="560" customFormat="1" ht="19.5" customHeight="1">
      <c r="A320" s="561"/>
      <c r="B320" s="562"/>
      <c r="C320" s="562"/>
      <c r="D320" s="562"/>
      <c r="E320" s="562"/>
      <c r="F320" s="562"/>
      <c r="G320" s="562"/>
      <c r="H320" s="562"/>
      <c r="I320" s="562"/>
      <c r="J320" s="562"/>
      <c r="K320" s="562"/>
      <c r="L320" s="562"/>
      <c r="M320" s="562"/>
      <c r="N320" s="562"/>
      <c r="O320" s="562"/>
      <c r="P320" s="562"/>
      <c r="Q320" s="562"/>
      <c r="R320" s="562"/>
      <c r="S320" s="562"/>
      <c r="T320" s="562"/>
    </row>
    <row r="321" spans="1:20" s="560" customFormat="1" ht="19.5" customHeight="1">
      <c r="A321" s="561"/>
      <c r="B321" s="562"/>
      <c r="C321" s="562"/>
      <c r="D321" s="562"/>
      <c r="E321" s="562"/>
      <c r="F321" s="562"/>
      <c r="G321" s="562"/>
      <c r="H321" s="562"/>
      <c r="I321" s="562"/>
      <c r="J321" s="562"/>
      <c r="K321" s="562"/>
      <c r="L321" s="562"/>
      <c r="M321" s="562"/>
      <c r="N321" s="562"/>
      <c r="O321" s="562"/>
      <c r="P321" s="562"/>
      <c r="Q321" s="562"/>
      <c r="R321" s="562"/>
      <c r="S321" s="562"/>
      <c r="T321" s="562"/>
    </row>
    <row r="322" spans="1:20" s="560" customFormat="1" ht="19.5" customHeight="1">
      <c r="A322" s="561"/>
      <c r="B322" s="562"/>
      <c r="C322" s="562"/>
      <c r="D322" s="562"/>
      <c r="E322" s="562"/>
      <c r="F322" s="562"/>
      <c r="G322" s="562"/>
      <c r="H322" s="562"/>
      <c r="I322" s="562"/>
      <c r="J322" s="562"/>
      <c r="K322" s="562"/>
      <c r="L322" s="562"/>
      <c r="M322" s="562"/>
      <c r="N322" s="562"/>
      <c r="O322" s="562"/>
      <c r="P322" s="562"/>
      <c r="Q322" s="562"/>
      <c r="R322" s="562"/>
      <c r="S322" s="562"/>
      <c r="T322" s="562"/>
    </row>
    <row r="323" spans="1:20" s="560" customFormat="1" ht="19.5" customHeight="1">
      <c r="A323" s="561"/>
      <c r="B323" s="562"/>
      <c r="C323" s="562"/>
      <c r="D323" s="562"/>
      <c r="E323" s="562"/>
      <c r="F323" s="562"/>
      <c r="G323" s="562"/>
      <c r="H323" s="562"/>
      <c r="I323" s="562"/>
      <c r="J323" s="562"/>
      <c r="K323" s="562"/>
      <c r="L323" s="562"/>
      <c r="M323" s="562"/>
      <c r="N323" s="562"/>
      <c r="O323" s="562"/>
      <c r="P323" s="562"/>
      <c r="Q323" s="562"/>
      <c r="R323" s="562"/>
      <c r="S323" s="562"/>
      <c r="T323" s="562"/>
    </row>
    <row r="324" spans="1:20" s="560" customFormat="1" ht="19.5" customHeight="1">
      <c r="A324" s="561"/>
      <c r="B324" s="562"/>
      <c r="C324" s="562"/>
      <c r="D324" s="562"/>
      <c r="E324" s="562"/>
      <c r="F324" s="562"/>
      <c r="G324" s="562"/>
      <c r="H324" s="562"/>
      <c r="I324" s="562"/>
      <c r="J324" s="562"/>
      <c r="K324" s="562"/>
      <c r="L324" s="562"/>
      <c r="M324" s="562"/>
      <c r="N324" s="562"/>
      <c r="O324" s="562"/>
      <c r="P324" s="562"/>
      <c r="Q324" s="562"/>
      <c r="R324" s="562"/>
      <c r="S324" s="562"/>
      <c r="T324" s="562"/>
    </row>
    <row r="325" spans="1:20" s="560" customFormat="1" ht="19.5" customHeight="1">
      <c r="A325" s="561"/>
      <c r="B325" s="562"/>
      <c r="C325" s="562"/>
      <c r="D325" s="562"/>
      <c r="E325" s="562"/>
      <c r="F325" s="562"/>
      <c r="G325" s="562"/>
      <c r="H325" s="562"/>
      <c r="I325" s="562"/>
      <c r="J325" s="562"/>
      <c r="K325" s="562"/>
      <c r="L325" s="562"/>
      <c r="M325" s="562"/>
      <c r="N325" s="562"/>
      <c r="O325" s="562"/>
      <c r="P325" s="562"/>
      <c r="Q325" s="562"/>
      <c r="R325" s="562"/>
      <c r="S325" s="562"/>
      <c r="T325" s="562"/>
    </row>
    <row r="326" spans="1:20" s="560" customFormat="1" ht="19.5" customHeight="1">
      <c r="A326" s="561"/>
      <c r="B326" s="562"/>
      <c r="C326" s="562"/>
      <c r="D326" s="562"/>
      <c r="E326" s="562"/>
      <c r="F326" s="562"/>
      <c r="G326" s="562"/>
      <c r="H326" s="562"/>
      <c r="I326" s="562"/>
      <c r="J326" s="562"/>
      <c r="K326" s="562"/>
      <c r="L326" s="562"/>
      <c r="M326" s="562"/>
      <c r="N326" s="562"/>
      <c r="O326" s="562"/>
      <c r="P326" s="562"/>
      <c r="Q326" s="562"/>
      <c r="R326" s="562"/>
      <c r="S326" s="562"/>
      <c r="T326" s="562"/>
    </row>
    <row r="327" ht="19.5" customHeight="1"/>
    <row r="328" ht="9.75" customHeight="1"/>
    <row r="329" ht="19.5" customHeight="1"/>
    <row r="330" ht="19.5" customHeight="1"/>
    <row r="331" ht="19.5" customHeight="1"/>
    <row r="332" spans="1:20" s="560" customFormat="1" ht="19.5" customHeight="1">
      <c r="A332" s="561"/>
      <c r="B332" s="562"/>
      <c r="C332" s="562"/>
      <c r="D332" s="562"/>
      <c r="E332" s="562"/>
      <c r="F332" s="562"/>
      <c r="G332" s="562"/>
      <c r="H332" s="562"/>
      <c r="I332" s="562"/>
      <c r="J332" s="562"/>
      <c r="K332" s="562"/>
      <c r="L332" s="562"/>
      <c r="M332" s="562"/>
      <c r="N332" s="562"/>
      <c r="O332" s="562"/>
      <c r="P332" s="562"/>
      <c r="Q332" s="562"/>
      <c r="R332" s="562"/>
      <c r="S332" s="562"/>
      <c r="T332" s="562"/>
    </row>
    <row r="333" spans="1:20" s="560" customFormat="1" ht="19.5" customHeight="1">
      <c r="A333" s="561"/>
      <c r="B333" s="562"/>
      <c r="C333" s="562"/>
      <c r="D333" s="562"/>
      <c r="E333" s="562"/>
      <c r="F333" s="562"/>
      <c r="G333" s="562"/>
      <c r="H333" s="562"/>
      <c r="I333" s="562"/>
      <c r="J333" s="562"/>
      <c r="K333" s="562"/>
      <c r="L333" s="562"/>
      <c r="M333" s="562"/>
      <c r="N333" s="562"/>
      <c r="O333" s="562"/>
      <c r="P333" s="562"/>
      <c r="Q333" s="562"/>
      <c r="R333" s="562"/>
      <c r="S333" s="562"/>
      <c r="T333" s="562"/>
    </row>
    <row r="334" spans="1:20" s="560" customFormat="1" ht="19.5" customHeight="1">
      <c r="A334" s="561"/>
      <c r="B334" s="562"/>
      <c r="C334" s="562"/>
      <c r="D334" s="562"/>
      <c r="E334" s="562"/>
      <c r="F334" s="562"/>
      <c r="G334" s="562"/>
      <c r="H334" s="562"/>
      <c r="I334" s="562"/>
      <c r="J334" s="562"/>
      <c r="K334" s="562"/>
      <c r="L334" s="562"/>
      <c r="M334" s="562"/>
      <c r="N334" s="562"/>
      <c r="O334" s="562"/>
      <c r="P334" s="562"/>
      <c r="Q334" s="562"/>
      <c r="R334" s="562"/>
      <c r="S334" s="562"/>
      <c r="T334" s="562"/>
    </row>
    <row r="335" spans="1:20" s="560" customFormat="1" ht="19.5" customHeight="1">
      <c r="A335" s="561"/>
      <c r="B335" s="562"/>
      <c r="C335" s="562"/>
      <c r="D335" s="562"/>
      <c r="E335" s="562"/>
      <c r="F335" s="562"/>
      <c r="G335" s="562"/>
      <c r="H335" s="562"/>
      <c r="I335" s="562"/>
      <c r="J335" s="562"/>
      <c r="K335" s="562"/>
      <c r="L335" s="562"/>
      <c r="M335" s="562"/>
      <c r="N335" s="562"/>
      <c r="O335" s="562"/>
      <c r="P335" s="562"/>
      <c r="Q335" s="562"/>
      <c r="R335" s="562"/>
      <c r="S335" s="562"/>
      <c r="T335" s="562"/>
    </row>
    <row r="336" spans="1:20" s="560" customFormat="1" ht="19.5" customHeight="1">
      <c r="A336" s="561"/>
      <c r="B336" s="562"/>
      <c r="C336" s="562"/>
      <c r="D336" s="562"/>
      <c r="E336" s="562"/>
      <c r="F336" s="562"/>
      <c r="G336" s="562"/>
      <c r="H336" s="562"/>
      <c r="I336" s="562"/>
      <c r="J336" s="562"/>
      <c r="K336" s="562"/>
      <c r="L336" s="562"/>
      <c r="M336" s="562"/>
      <c r="N336" s="562"/>
      <c r="O336" s="562"/>
      <c r="P336" s="562"/>
      <c r="Q336" s="562"/>
      <c r="R336" s="562"/>
      <c r="S336" s="562"/>
      <c r="T336" s="562"/>
    </row>
    <row r="337" spans="1:20" s="560" customFormat="1" ht="19.5" customHeight="1">
      <c r="A337" s="561"/>
      <c r="B337" s="562"/>
      <c r="C337" s="562"/>
      <c r="D337" s="562"/>
      <c r="E337" s="562"/>
      <c r="F337" s="562"/>
      <c r="G337" s="562"/>
      <c r="H337" s="562"/>
      <c r="I337" s="562"/>
      <c r="J337" s="562"/>
      <c r="K337" s="562"/>
      <c r="L337" s="562"/>
      <c r="M337" s="562"/>
      <c r="N337" s="562"/>
      <c r="O337" s="562"/>
      <c r="P337" s="562"/>
      <c r="Q337" s="562"/>
      <c r="R337" s="562"/>
      <c r="S337" s="562"/>
      <c r="T337" s="562"/>
    </row>
    <row r="338" spans="1:20" s="560" customFormat="1" ht="19.5" customHeight="1">
      <c r="A338" s="561"/>
      <c r="B338" s="562"/>
      <c r="C338" s="562"/>
      <c r="D338" s="562"/>
      <c r="E338" s="562"/>
      <c r="F338" s="562"/>
      <c r="G338" s="562"/>
      <c r="H338" s="562"/>
      <c r="I338" s="562"/>
      <c r="J338" s="562"/>
      <c r="K338" s="562"/>
      <c r="L338" s="562"/>
      <c r="M338" s="562"/>
      <c r="N338" s="562"/>
      <c r="O338" s="562"/>
      <c r="P338" s="562"/>
      <c r="Q338" s="562"/>
      <c r="R338" s="562"/>
      <c r="S338" s="562"/>
      <c r="T338" s="562"/>
    </row>
    <row r="339" spans="1:20" s="560" customFormat="1" ht="19.5" customHeight="1">
      <c r="A339" s="561"/>
      <c r="B339" s="562"/>
      <c r="C339" s="562"/>
      <c r="D339" s="562"/>
      <c r="E339" s="562"/>
      <c r="F339" s="562"/>
      <c r="G339" s="562"/>
      <c r="H339" s="562"/>
      <c r="I339" s="562"/>
      <c r="J339" s="562"/>
      <c r="K339" s="562"/>
      <c r="L339" s="562"/>
      <c r="M339" s="562"/>
      <c r="N339" s="562"/>
      <c r="O339" s="562"/>
      <c r="P339" s="562"/>
      <c r="Q339" s="562"/>
      <c r="R339" s="562"/>
      <c r="S339" s="562"/>
      <c r="T339" s="562"/>
    </row>
    <row r="340" spans="1:20" s="560" customFormat="1" ht="19.5" customHeight="1">
      <c r="A340" s="561"/>
      <c r="B340" s="562"/>
      <c r="C340" s="562"/>
      <c r="D340" s="562"/>
      <c r="E340" s="562"/>
      <c r="F340" s="562"/>
      <c r="G340" s="562"/>
      <c r="H340" s="562"/>
      <c r="I340" s="562"/>
      <c r="J340" s="562"/>
      <c r="K340" s="562"/>
      <c r="L340" s="562"/>
      <c r="M340" s="562"/>
      <c r="N340" s="562"/>
      <c r="O340" s="562"/>
      <c r="P340" s="562"/>
      <c r="Q340" s="562"/>
      <c r="R340" s="562"/>
      <c r="S340" s="562"/>
      <c r="T340" s="562"/>
    </row>
    <row r="341" spans="1:20" s="560" customFormat="1" ht="19.5" customHeight="1">
      <c r="A341" s="561"/>
      <c r="B341" s="562"/>
      <c r="C341" s="562"/>
      <c r="D341" s="562"/>
      <c r="E341" s="562"/>
      <c r="F341" s="562"/>
      <c r="G341" s="562"/>
      <c r="H341" s="562"/>
      <c r="I341" s="562"/>
      <c r="J341" s="562"/>
      <c r="K341" s="562"/>
      <c r="L341" s="562"/>
      <c r="M341" s="562"/>
      <c r="N341" s="562"/>
      <c r="O341" s="562"/>
      <c r="P341" s="562"/>
      <c r="Q341" s="562"/>
      <c r="R341" s="562"/>
      <c r="S341" s="562"/>
      <c r="T341" s="562"/>
    </row>
    <row r="342" spans="1:20" s="560" customFormat="1" ht="19.5" customHeight="1">
      <c r="A342" s="561"/>
      <c r="B342" s="562"/>
      <c r="C342" s="562"/>
      <c r="D342" s="562"/>
      <c r="E342" s="562"/>
      <c r="F342" s="562"/>
      <c r="G342" s="562"/>
      <c r="H342" s="562"/>
      <c r="I342" s="562"/>
      <c r="J342" s="562"/>
      <c r="K342" s="562"/>
      <c r="L342" s="562"/>
      <c r="M342" s="562"/>
      <c r="N342" s="562"/>
      <c r="O342" s="562"/>
      <c r="P342" s="562"/>
      <c r="Q342" s="562"/>
      <c r="R342" s="562"/>
      <c r="S342" s="562"/>
      <c r="T342" s="562"/>
    </row>
    <row r="343" spans="1:20" s="560" customFormat="1" ht="19.5" customHeight="1">
      <c r="A343" s="561"/>
      <c r="B343" s="562"/>
      <c r="C343" s="562"/>
      <c r="D343" s="562"/>
      <c r="E343" s="562"/>
      <c r="F343" s="562"/>
      <c r="G343" s="562"/>
      <c r="H343" s="562"/>
      <c r="I343" s="562"/>
      <c r="J343" s="562"/>
      <c r="K343" s="562"/>
      <c r="L343" s="562"/>
      <c r="M343" s="562"/>
      <c r="N343" s="562"/>
      <c r="O343" s="562"/>
      <c r="P343" s="562"/>
      <c r="Q343" s="562"/>
      <c r="R343" s="562"/>
      <c r="S343" s="562"/>
      <c r="T343" s="562"/>
    </row>
    <row r="344" spans="1:20" s="560" customFormat="1" ht="19.5" customHeight="1">
      <c r="A344" s="561"/>
      <c r="B344" s="562"/>
      <c r="C344" s="562"/>
      <c r="D344" s="562"/>
      <c r="E344" s="562"/>
      <c r="F344" s="562"/>
      <c r="G344" s="562"/>
      <c r="H344" s="562"/>
      <c r="I344" s="562"/>
      <c r="J344" s="562"/>
      <c r="K344" s="562"/>
      <c r="L344" s="562"/>
      <c r="M344" s="562"/>
      <c r="N344" s="562"/>
      <c r="O344" s="562"/>
      <c r="P344" s="562"/>
      <c r="Q344" s="562"/>
      <c r="R344" s="562"/>
      <c r="S344" s="562"/>
      <c r="T344" s="562"/>
    </row>
    <row r="345" spans="1:20" s="560" customFormat="1" ht="19.5" customHeight="1">
      <c r="A345" s="561"/>
      <c r="B345" s="562"/>
      <c r="C345" s="562"/>
      <c r="D345" s="562"/>
      <c r="E345" s="562"/>
      <c r="F345" s="562"/>
      <c r="G345" s="562"/>
      <c r="H345" s="562"/>
      <c r="I345" s="562"/>
      <c r="J345" s="562"/>
      <c r="K345" s="562"/>
      <c r="L345" s="562"/>
      <c r="M345" s="562"/>
      <c r="N345" s="562"/>
      <c r="O345" s="562"/>
      <c r="P345" s="562"/>
      <c r="Q345" s="562"/>
      <c r="R345" s="562"/>
      <c r="S345" s="562"/>
      <c r="T345" s="562"/>
    </row>
    <row r="346" spans="1:20" s="560" customFormat="1" ht="19.5" customHeight="1">
      <c r="A346" s="561"/>
      <c r="B346" s="562"/>
      <c r="C346" s="562"/>
      <c r="D346" s="562"/>
      <c r="E346" s="562"/>
      <c r="F346" s="562"/>
      <c r="G346" s="562"/>
      <c r="H346" s="562"/>
      <c r="I346" s="562"/>
      <c r="J346" s="562"/>
      <c r="K346" s="562"/>
      <c r="L346" s="562"/>
      <c r="M346" s="562"/>
      <c r="N346" s="562"/>
      <c r="O346" s="562"/>
      <c r="P346" s="562"/>
      <c r="Q346" s="562"/>
      <c r="R346" s="562"/>
      <c r="S346" s="562"/>
      <c r="T346" s="562"/>
    </row>
    <row r="347" spans="1:20" s="560" customFormat="1" ht="19.5" customHeight="1">
      <c r="A347" s="561"/>
      <c r="B347" s="562"/>
      <c r="C347" s="562"/>
      <c r="D347" s="562"/>
      <c r="E347" s="562"/>
      <c r="F347" s="562"/>
      <c r="G347" s="562"/>
      <c r="H347" s="562"/>
      <c r="I347" s="562"/>
      <c r="J347" s="562"/>
      <c r="K347" s="562"/>
      <c r="L347" s="562"/>
      <c r="M347" s="562"/>
      <c r="N347" s="562"/>
      <c r="O347" s="562"/>
      <c r="P347" s="562"/>
      <c r="Q347" s="562"/>
      <c r="R347" s="562"/>
      <c r="S347" s="562"/>
      <c r="T347" s="562"/>
    </row>
    <row r="348" spans="1:20" s="560" customFormat="1" ht="19.5" customHeight="1">
      <c r="A348" s="561"/>
      <c r="B348" s="562"/>
      <c r="C348" s="562"/>
      <c r="D348" s="562"/>
      <c r="E348" s="562"/>
      <c r="F348" s="562"/>
      <c r="G348" s="562"/>
      <c r="H348" s="562"/>
      <c r="I348" s="562"/>
      <c r="J348" s="562"/>
      <c r="K348" s="562"/>
      <c r="L348" s="562"/>
      <c r="M348" s="562"/>
      <c r="N348" s="562"/>
      <c r="O348" s="562"/>
      <c r="P348" s="562"/>
      <c r="Q348" s="562"/>
      <c r="R348" s="562"/>
      <c r="S348" s="562"/>
      <c r="T348" s="562"/>
    </row>
    <row r="349" spans="1:20" s="560" customFormat="1" ht="19.5" customHeight="1">
      <c r="A349" s="561"/>
      <c r="B349" s="562"/>
      <c r="C349" s="562"/>
      <c r="D349" s="562"/>
      <c r="E349" s="562"/>
      <c r="F349" s="562"/>
      <c r="G349" s="562"/>
      <c r="H349" s="562"/>
      <c r="I349" s="562"/>
      <c r="J349" s="562"/>
      <c r="K349" s="562"/>
      <c r="L349" s="562"/>
      <c r="M349" s="562"/>
      <c r="N349" s="562"/>
      <c r="O349" s="562"/>
      <c r="P349" s="562"/>
      <c r="Q349" s="562"/>
      <c r="R349" s="562"/>
      <c r="S349" s="562"/>
      <c r="T349" s="562"/>
    </row>
    <row r="350" spans="1:20" s="560" customFormat="1" ht="19.5" customHeight="1">
      <c r="A350" s="561"/>
      <c r="B350" s="562"/>
      <c r="C350" s="562"/>
      <c r="D350" s="562"/>
      <c r="E350" s="562"/>
      <c r="F350" s="562"/>
      <c r="G350" s="562"/>
      <c r="H350" s="562"/>
      <c r="I350" s="562"/>
      <c r="J350" s="562"/>
      <c r="K350" s="562"/>
      <c r="L350" s="562"/>
      <c r="M350" s="562"/>
      <c r="N350" s="562"/>
      <c r="O350" s="562"/>
      <c r="P350" s="562"/>
      <c r="Q350" s="562"/>
      <c r="R350" s="562"/>
      <c r="S350" s="562"/>
      <c r="T350" s="562"/>
    </row>
    <row r="351" spans="1:20" s="560" customFormat="1" ht="19.5" customHeight="1">
      <c r="A351" s="561"/>
      <c r="B351" s="562"/>
      <c r="C351" s="562"/>
      <c r="D351" s="562"/>
      <c r="E351" s="562"/>
      <c r="F351" s="562"/>
      <c r="G351" s="562"/>
      <c r="H351" s="562"/>
      <c r="I351" s="562"/>
      <c r="J351" s="562"/>
      <c r="K351" s="562"/>
      <c r="L351" s="562"/>
      <c r="M351" s="562"/>
      <c r="N351" s="562"/>
      <c r="O351" s="562"/>
      <c r="P351" s="562"/>
      <c r="Q351" s="562"/>
      <c r="R351" s="562"/>
      <c r="S351" s="562"/>
      <c r="T351" s="562"/>
    </row>
    <row r="352" spans="1:20" s="560" customFormat="1" ht="19.5" customHeight="1">
      <c r="A352" s="561"/>
      <c r="B352" s="562"/>
      <c r="C352" s="562"/>
      <c r="D352" s="562"/>
      <c r="E352" s="562"/>
      <c r="F352" s="562"/>
      <c r="G352" s="562"/>
      <c r="H352" s="562"/>
      <c r="I352" s="562"/>
      <c r="J352" s="562"/>
      <c r="K352" s="562"/>
      <c r="L352" s="562"/>
      <c r="M352" s="562"/>
      <c r="N352" s="562"/>
      <c r="O352" s="562"/>
      <c r="P352" s="562"/>
      <c r="Q352" s="562"/>
      <c r="R352" s="562"/>
      <c r="S352" s="562"/>
      <c r="T352" s="562"/>
    </row>
    <row r="353" spans="1:20" s="560" customFormat="1" ht="19.5" customHeight="1">
      <c r="A353" s="561"/>
      <c r="B353" s="562"/>
      <c r="C353" s="562"/>
      <c r="D353" s="562"/>
      <c r="E353" s="562"/>
      <c r="F353" s="562"/>
      <c r="G353" s="562"/>
      <c r="H353" s="562"/>
      <c r="I353" s="562"/>
      <c r="J353" s="562"/>
      <c r="K353" s="562"/>
      <c r="L353" s="562"/>
      <c r="M353" s="562"/>
      <c r="N353" s="562"/>
      <c r="O353" s="562"/>
      <c r="P353" s="562"/>
      <c r="Q353" s="562"/>
      <c r="R353" s="562"/>
      <c r="S353" s="562"/>
      <c r="T353" s="562"/>
    </row>
    <row r="354" spans="1:20" s="560" customFormat="1" ht="19.5" customHeight="1">
      <c r="A354" s="561"/>
      <c r="B354" s="562"/>
      <c r="C354" s="562"/>
      <c r="D354" s="562"/>
      <c r="E354" s="562"/>
      <c r="F354" s="562"/>
      <c r="G354" s="562"/>
      <c r="H354" s="562"/>
      <c r="I354" s="562"/>
      <c r="J354" s="562"/>
      <c r="K354" s="562"/>
      <c r="L354" s="562"/>
      <c r="M354" s="562"/>
      <c r="N354" s="562"/>
      <c r="O354" s="562"/>
      <c r="P354" s="562"/>
      <c r="Q354" s="562"/>
      <c r="R354" s="562"/>
      <c r="S354" s="562"/>
      <c r="T354" s="562"/>
    </row>
    <row r="355" spans="1:20" s="560" customFormat="1" ht="19.5" customHeight="1">
      <c r="A355" s="561"/>
      <c r="B355" s="562"/>
      <c r="C355" s="562"/>
      <c r="D355" s="562"/>
      <c r="E355" s="562"/>
      <c r="F355" s="562"/>
      <c r="G355" s="562"/>
      <c r="H355" s="562"/>
      <c r="I355" s="562"/>
      <c r="J355" s="562"/>
      <c r="K355" s="562"/>
      <c r="L355" s="562"/>
      <c r="M355" s="562"/>
      <c r="N355" s="562"/>
      <c r="O355" s="562"/>
      <c r="P355" s="562"/>
      <c r="Q355" s="562"/>
      <c r="R355" s="562"/>
      <c r="S355" s="562"/>
      <c r="T355" s="562"/>
    </row>
    <row r="356" spans="1:20" s="560" customFormat="1" ht="19.5" customHeight="1">
      <c r="A356" s="561"/>
      <c r="B356" s="562"/>
      <c r="C356" s="562"/>
      <c r="D356" s="562"/>
      <c r="E356" s="562"/>
      <c r="F356" s="562"/>
      <c r="G356" s="562"/>
      <c r="H356" s="562"/>
      <c r="I356" s="562"/>
      <c r="J356" s="562"/>
      <c r="K356" s="562"/>
      <c r="L356" s="562"/>
      <c r="M356" s="562"/>
      <c r="N356" s="562"/>
      <c r="O356" s="562"/>
      <c r="P356" s="562"/>
      <c r="Q356" s="562"/>
      <c r="R356" s="562"/>
      <c r="S356" s="562"/>
      <c r="T356" s="562"/>
    </row>
    <row r="357" spans="1:20" s="560" customFormat="1" ht="19.5" customHeight="1">
      <c r="A357" s="561"/>
      <c r="B357" s="562"/>
      <c r="C357" s="562"/>
      <c r="D357" s="562"/>
      <c r="E357" s="562"/>
      <c r="F357" s="562"/>
      <c r="G357" s="562"/>
      <c r="H357" s="562"/>
      <c r="I357" s="562"/>
      <c r="J357" s="562"/>
      <c r="K357" s="562"/>
      <c r="L357" s="562"/>
      <c r="M357" s="562"/>
      <c r="N357" s="562"/>
      <c r="O357" s="562"/>
      <c r="P357" s="562"/>
      <c r="Q357" s="562"/>
      <c r="R357" s="562"/>
      <c r="S357" s="562"/>
      <c r="T357" s="562"/>
    </row>
    <row r="358" spans="1:20" s="560" customFormat="1" ht="19.5" customHeight="1">
      <c r="A358" s="561"/>
      <c r="B358" s="562"/>
      <c r="C358" s="562"/>
      <c r="D358" s="562"/>
      <c r="E358" s="562"/>
      <c r="F358" s="562"/>
      <c r="G358" s="562"/>
      <c r="H358" s="562"/>
      <c r="I358" s="562"/>
      <c r="J358" s="562"/>
      <c r="K358" s="562"/>
      <c r="L358" s="562"/>
      <c r="M358" s="562"/>
      <c r="N358" s="562"/>
      <c r="O358" s="562"/>
      <c r="P358" s="562"/>
      <c r="Q358" s="562"/>
      <c r="R358" s="562"/>
      <c r="S358" s="562"/>
      <c r="T358" s="562"/>
    </row>
    <row r="359" spans="1:20" s="560" customFormat="1" ht="19.5" customHeight="1">
      <c r="A359" s="561"/>
      <c r="B359" s="562"/>
      <c r="C359" s="562"/>
      <c r="D359" s="562"/>
      <c r="E359" s="562"/>
      <c r="F359" s="562"/>
      <c r="G359" s="562"/>
      <c r="H359" s="562"/>
      <c r="I359" s="562"/>
      <c r="J359" s="562"/>
      <c r="K359" s="562"/>
      <c r="L359" s="562"/>
      <c r="M359" s="562"/>
      <c r="N359" s="562"/>
      <c r="O359" s="562"/>
      <c r="P359" s="562"/>
      <c r="Q359" s="562"/>
      <c r="R359" s="562"/>
      <c r="S359" s="562"/>
      <c r="T359" s="562"/>
    </row>
    <row r="360" spans="1:20" s="560" customFormat="1" ht="19.5" customHeight="1">
      <c r="A360" s="561"/>
      <c r="B360" s="562"/>
      <c r="C360" s="562"/>
      <c r="D360" s="562"/>
      <c r="E360" s="562"/>
      <c r="F360" s="562"/>
      <c r="G360" s="562"/>
      <c r="H360" s="562"/>
      <c r="I360" s="562"/>
      <c r="J360" s="562"/>
      <c r="K360" s="562"/>
      <c r="L360" s="562"/>
      <c r="M360" s="562"/>
      <c r="N360" s="562"/>
      <c r="O360" s="562"/>
      <c r="P360" s="562"/>
      <c r="Q360" s="562"/>
      <c r="R360" s="562"/>
      <c r="S360" s="562"/>
      <c r="T360" s="562"/>
    </row>
    <row r="361" spans="1:20" s="560" customFormat="1" ht="19.5" customHeight="1">
      <c r="A361" s="561"/>
      <c r="B361" s="562"/>
      <c r="C361" s="562"/>
      <c r="D361" s="562"/>
      <c r="E361" s="562"/>
      <c r="F361" s="562"/>
      <c r="G361" s="562"/>
      <c r="H361" s="562"/>
      <c r="I361" s="562"/>
      <c r="J361" s="562"/>
      <c r="K361" s="562"/>
      <c r="L361" s="562"/>
      <c r="M361" s="562"/>
      <c r="N361" s="562"/>
      <c r="O361" s="562"/>
      <c r="P361" s="562"/>
      <c r="Q361" s="562"/>
      <c r="R361" s="562"/>
      <c r="S361" s="562"/>
      <c r="T361" s="562"/>
    </row>
    <row r="362" spans="1:20" s="560" customFormat="1" ht="19.5" customHeight="1">
      <c r="A362" s="561"/>
      <c r="B362" s="562"/>
      <c r="C362" s="562"/>
      <c r="D362" s="562"/>
      <c r="E362" s="562"/>
      <c r="F362" s="562"/>
      <c r="G362" s="562"/>
      <c r="H362" s="562"/>
      <c r="I362" s="562"/>
      <c r="J362" s="562"/>
      <c r="K362" s="562"/>
      <c r="L362" s="562"/>
      <c r="M362" s="562"/>
      <c r="N362" s="562"/>
      <c r="O362" s="562"/>
      <c r="P362" s="562"/>
      <c r="Q362" s="562"/>
      <c r="R362" s="562"/>
      <c r="S362" s="562"/>
      <c r="T362" s="562"/>
    </row>
    <row r="363" spans="1:20" s="560" customFormat="1" ht="19.5" customHeight="1">
      <c r="A363" s="561"/>
      <c r="B363" s="562"/>
      <c r="C363" s="562"/>
      <c r="D363" s="562"/>
      <c r="E363" s="562"/>
      <c r="F363" s="562"/>
      <c r="G363" s="562"/>
      <c r="H363" s="562"/>
      <c r="I363" s="562"/>
      <c r="J363" s="562"/>
      <c r="K363" s="562"/>
      <c r="L363" s="562"/>
      <c r="M363" s="562"/>
      <c r="N363" s="562"/>
      <c r="O363" s="562"/>
      <c r="P363" s="562"/>
      <c r="Q363" s="562"/>
      <c r="R363" s="562"/>
      <c r="S363" s="562"/>
      <c r="T363" s="562"/>
    </row>
    <row r="364" spans="1:20" s="560" customFormat="1" ht="19.5" customHeight="1">
      <c r="A364" s="561"/>
      <c r="B364" s="562"/>
      <c r="C364" s="562"/>
      <c r="D364" s="562"/>
      <c r="E364" s="562"/>
      <c r="F364" s="562"/>
      <c r="G364" s="562"/>
      <c r="H364" s="562"/>
      <c r="I364" s="562"/>
      <c r="J364" s="562"/>
      <c r="K364" s="562"/>
      <c r="L364" s="562"/>
      <c r="M364" s="562"/>
      <c r="N364" s="562"/>
      <c r="O364" s="562"/>
      <c r="P364" s="562"/>
      <c r="Q364" s="562"/>
      <c r="R364" s="562"/>
      <c r="S364" s="562"/>
      <c r="T364" s="562"/>
    </row>
    <row r="365" spans="1:20" s="560" customFormat="1" ht="19.5" customHeight="1">
      <c r="A365" s="561"/>
      <c r="B365" s="562"/>
      <c r="C365" s="562"/>
      <c r="D365" s="562"/>
      <c r="E365" s="562"/>
      <c r="F365" s="562"/>
      <c r="G365" s="562"/>
      <c r="H365" s="562"/>
      <c r="I365" s="562"/>
      <c r="J365" s="562"/>
      <c r="K365" s="562"/>
      <c r="L365" s="562"/>
      <c r="M365" s="562"/>
      <c r="N365" s="562"/>
      <c r="O365" s="562"/>
      <c r="P365" s="562"/>
      <c r="Q365" s="562"/>
      <c r="R365" s="562"/>
      <c r="S365" s="562"/>
      <c r="T365" s="562"/>
    </row>
    <row r="366" spans="1:20" s="560" customFormat="1" ht="19.5" customHeight="1">
      <c r="A366" s="561"/>
      <c r="B366" s="562"/>
      <c r="C366" s="562"/>
      <c r="D366" s="562"/>
      <c r="E366" s="562"/>
      <c r="F366" s="562"/>
      <c r="G366" s="562"/>
      <c r="H366" s="562"/>
      <c r="I366" s="562"/>
      <c r="J366" s="562"/>
      <c r="K366" s="562"/>
      <c r="L366" s="562"/>
      <c r="M366" s="562"/>
      <c r="N366" s="562"/>
      <c r="O366" s="562"/>
      <c r="P366" s="562"/>
      <c r="Q366" s="562"/>
      <c r="R366" s="562"/>
      <c r="S366" s="562"/>
      <c r="T366" s="562"/>
    </row>
    <row r="367" spans="1:20" s="560" customFormat="1" ht="19.5" customHeight="1">
      <c r="A367" s="561"/>
      <c r="B367" s="562"/>
      <c r="C367" s="562"/>
      <c r="D367" s="562"/>
      <c r="E367" s="562"/>
      <c r="F367" s="562"/>
      <c r="G367" s="562"/>
      <c r="H367" s="562"/>
      <c r="I367" s="562"/>
      <c r="J367" s="562"/>
      <c r="K367" s="562"/>
      <c r="L367" s="562"/>
      <c r="M367" s="562"/>
      <c r="N367" s="562"/>
      <c r="O367" s="562"/>
      <c r="P367" s="562"/>
      <c r="Q367" s="562"/>
      <c r="R367" s="562"/>
      <c r="S367" s="562"/>
      <c r="T367" s="562"/>
    </row>
    <row r="368" spans="1:20" s="560" customFormat="1" ht="19.5" customHeight="1">
      <c r="A368" s="561"/>
      <c r="B368" s="562"/>
      <c r="C368" s="562"/>
      <c r="D368" s="562"/>
      <c r="E368" s="562"/>
      <c r="F368" s="562"/>
      <c r="G368" s="562"/>
      <c r="H368" s="562"/>
      <c r="I368" s="562"/>
      <c r="J368" s="562"/>
      <c r="K368" s="562"/>
      <c r="L368" s="562"/>
      <c r="M368" s="562"/>
      <c r="N368" s="562"/>
      <c r="O368" s="562"/>
      <c r="P368" s="562"/>
      <c r="Q368" s="562"/>
      <c r="R368" s="562"/>
      <c r="S368" s="562"/>
      <c r="T368" s="562"/>
    </row>
    <row r="369" ht="19.5" customHeight="1"/>
    <row r="370" ht="9.75" customHeight="1"/>
    <row r="371" ht="19.5" customHeight="1"/>
    <row r="372" ht="19.5" customHeight="1"/>
    <row r="373" ht="19.5" customHeight="1"/>
    <row r="374" spans="1:20" s="560" customFormat="1" ht="19.5" customHeight="1">
      <c r="A374" s="561"/>
      <c r="B374" s="562"/>
      <c r="C374" s="562"/>
      <c r="D374" s="562"/>
      <c r="E374" s="562"/>
      <c r="F374" s="562"/>
      <c r="G374" s="562"/>
      <c r="H374" s="562"/>
      <c r="I374" s="562"/>
      <c r="J374" s="562"/>
      <c r="K374" s="562"/>
      <c r="L374" s="562"/>
      <c r="M374" s="562"/>
      <c r="N374" s="562"/>
      <c r="O374" s="562"/>
      <c r="P374" s="562"/>
      <c r="Q374" s="562"/>
      <c r="R374" s="562"/>
      <c r="S374" s="562"/>
      <c r="T374" s="562"/>
    </row>
    <row r="375" spans="1:20" s="560" customFormat="1" ht="19.5" customHeight="1">
      <c r="A375" s="561"/>
      <c r="B375" s="562"/>
      <c r="C375" s="562"/>
      <c r="D375" s="562"/>
      <c r="E375" s="562"/>
      <c r="F375" s="562"/>
      <c r="G375" s="562"/>
      <c r="H375" s="562"/>
      <c r="I375" s="562"/>
      <c r="J375" s="562"/>
      <c r="K375" s="562"/>
      <c r="L375" s="562"/>
      <c r="M375" s="562"/>
      <c r="N375" s="562"/>
      <c r="O375" s="562"/>
      <c r="P375" s="562"/>
      <c r="Q375" s="562"/>
      <c r="R375" s="562"/>
      <c r="S375" s="562"/>
      <c r="T375" s="562"/>
    </row>
    <row r="376" spans="1:20" s="560" customFormat="1" ht="19.5" customHeight="1">
      <c r="A376" s="561"/>
      <c r="B376" s="562"/>
      <c r="C376" s="562"/>
      <c r="D376" s="562"/>
      <c r="E376" s="562"/>
      <c r="F376" s="562"/>
      <c r="G376" s="562"/>
      <c r="H376" s="562"/>
      <c r="I376" s="562"/>
      <c r="J376" s="562"/>
      <c r="K376" s="562"/>
      <c r="L376" s="562"/>
      <c r="M376" s="562"/>
      <c r="N376" s="562"/>
      <c r="O376" s="562"/>
      <c r="P376" s="562"/>
      <c r="Q376" s="562"/>
      <c r="R376" s="562"/>
      <c r="S376" s="562"/>
      <c r="T376" s="562"/>
    </row>
    <row r="377" spans="1:20" s="560" customFormat="1" ht="19.5" customHeight="1">
      <c r="A377" s="561"/>
      <c r="B377" s="562"/>
      <c r="C377" s="562"/>
      <c r="D377" s="562"/>
      <c r="E377" s="562"/>
      <c r="F377" s="562"/>
      <c r="G377" s="562"/>
      <c r="H377" s="562"/>
      <c r="I377" s="562"/>
      <c r="J377" s="562"/>
      <c r="K377" s="562"/>
      <c r="L377" s="562"/>
      <c r="M377" s="562"/>
      <c r="N377" s="562"/>
      <c r="O377" s="562"/>
      <c r="P377" s="562"/>
      <c r="Q377" s="562"/>
      <c r="R377" s="562"/>
      <c r="S377" s="562"/>
      <c r="T377" s="562"/>
    </row>
    <row r="378" spans="1:20" s="560" customFormat="1" ht="19.5" customHeight="1">
      <c r="A378" s="561"/>
      <c r="B378" s="562"/>
      <c r="C378" s="562"/>
      <c r="D378" s="562"/>
      <c r="E378" s="562"/>
      <c r="F378" s="562"/>
      <c r="G378" s="562"/>
      <c r="H378" s="562"/>
      <c r="I378" s="562"/>
      <c r="J378" s="562"/>
      <c r="K378" s="562"/>
      <c r="L378" s="562"/>
      <c r="M378" s="562"/>
      <c r="N378" s="562"/>
      <c r="O378" s="562"/>
      <c r="P378" s="562"/>
      <c r="Q378" s="562"/>
      <c r="R378" s="562"/>
      <c r="S378" s="562"/>
      <c r="T378" s="562"/>
    </row>
    <row r="379" spans="1:20" s="560" customFormat="1" ht="19.5" customHeight="1">
      <c r="A379" s="561"/>
      <c r="B379" s="562"/>
      <c r="C379" s="562"/>
      <c r="D379" s="562"/>
      <c r="E379" s="562"/>
      <c r="F379" s="562"/>
      <c r="G379" s="562"/>
      <c r="H379" s="562"/>
      <c r="I379" s="562"/>
      <c r="J379" s="562"/>
      <c r="K379" s="562"/>
      <c r="L379" s="562"/>
      <c r="M379" s="562"/>
      <c r="N379" s="562"/>
      <c r="O379" s="562"/>
      <c r="P379" s="562"/>
      <c r="Q379" s="562"/>
      <c r="R379" s="562"/>
      <c r="S379" s="562"/>
      <c r="T379" s="562"/>
    </row>
    <row r="380" spans="1:20" s="560" customFormat="1" ht="19.5" customHeight="1">
      <c r="A380" s="561"/>
      <c r="B380" s="562"/>
      <c r="C380" s="562"/>
      <c r="D380" s="562"/>
      <c r="E380" s="562"/>
      <c r="F380" s="562"/>
      <c r="G380" s="562"/>
      <c r="H380" s="562"/>
      <c r="I380" s="562"/>
      <c r="J380" s="562"/>
      <c r="K380" s="562"/>
      <c r="L380" s="562"/>
      <c r="M380" s="562"/>
      <c r="N380" s="562"/>
      <c r="O380" s="562"/>
      <c r="P380" s="562"/>
      <c r="Q380" s="562"/>
      <c r="R380" s="562"/>
      <c r="S380" s="562"/>
      <c r="T380" s="562"/>
    </row>
    <row r="381" spans="1:20" s="560" customFormat="1" ht="19.5" customHeight="1">
      <c r="A381" s="561"/>
      <c r="B381" s="562"/>
      <c r="C381" s="562"/>
      <c r="D381" s="562"/>
      <c r="E381" s="562"/>
      <c r="F381" s="562"/>
      <c r="G381" s="562"/>
      <c r="H381" s="562"/>
      <c r="I381" s="562"/>
      <c r="J381" s="562"/>
      <c r="K381" s="562"/>
      <c r="L381" s="562"/>
      <c r="M381" s="562"/>
      <c r="N381" s="562"/>
      <c r="O381" s="562"/>
      <c r="P381" s="562"/>
      <c r="Q381" s="562"/>
      <c r="R381" s="562"/>
      <c r="S381" s="562"/>
      <c r="T381" s="562"/>
    </row>
    <row r="382" spans="1:20" s="560" customFormat="1" ht="19.5" customHeight="1">
      <c r="A382" s="561"/>
      <c r="B382" s="562"/>
      <c r="C382" s="562"/>
      <c r="D382" s="562"/>
      <c r="E382" s="562"/>
      <c r="F382" s="562"/>
      <c r="G382" s="562"/>
      <c r="H382" s="562"/>
      <c r="I382" s="562"/>
      <c r="J382" s="562"/>
      <c r="K382" s="562"/>
      <c r="L382" s="562"/>
      <c r="M382" s="562"/>
      <c r="N382" s="562"/>
      <c r="O382" s="562"/>
      <c r="P382" s="562"/>
      <c r="Q382" s="562"/>
      <c r="R382" s="562"/>
      <c r="S382" s="562"/>
      <c r="T382" s="562"/>
    </row>
    <row r="383" spans="1:20" s="560" customFormat="1" ht="19.5" customHeight="1">
      <c r="A383" s="561"/>
      <c r="B383" s="562"/>
      <c r="C383" s="562"/>
      <c r="D383" s="562"/>
      <c r="E383" s="562"/>
      <c r="F383" s="562"/>
      <c r="G383" s="562"/>
      <c r="H383" s="562"/>
      <c r="I383" s="562"/>
      <c r="J383" s="562"/>
      <c r="K383" s="562"/>
      <c r="L383" s="562"/>
      <c r="M383" s="562"/>
      <c r="N383" s="562"/>
      <c r="O383" s="562"/>
      <c r="P383" s="562"/>
      <c r="Q383" s="562"/>
      <c r="R383" s="562"/>
      <c r="S383" s="562"/>
      <c r="T383" s="562"/>
    </row>
    <row r="384" spans="1:20" s="560" customFormat="1" ht="19.5" customHeight="1">
      <c r="A384" s="561"/>
      <c r="B384" s="562"/>
      <c r="C384" s="562"/>
      <c r="D384" s="562"/>
      <c r="E384" s="562"/>
      <c r="F384" s="562"/>
      <c r="G384" s="562"/>
      <c r="H384" s="562"/>
      <c r="I384" s="562"/>
      <c r="J384" s="562"/>
      <c r="K384" s="562"/>
      <c r="L384" s="562"/>
      <c r="M384" s="562"/>
      <c r="N384" s="562"/>
      <c r="O384" s="562"/>
      <c r="P384" s="562"/>
      <c r="Q384" s="562"/>
      <c r="R384" s="562"/>
      <c r="S384" s="562"/>
      <c r="T384" s="562"/>
    </row>
    <row r="385" spans="1:20" s="560" customFormat="1" ht="19.5" customHeight="1">
      <c r="A385" s="561"/>
      <c r="B385" s="562"/>
      <c r="C385" s="562"/>
      <c r="D385" s="562"/>
      <c r="E385" s="562"/>
      <c r="F385" s="562"/>
      <c r="G385" s="562"/>
      <c r="H385" s="562"/>
      <c r="I385" s="562"/>
      <c r="J385" s="562"/>
      <c r="K385" s="562"/>
      <c r="L385" s="562"/>
      <c r="M385" s="562"/>
      <c r="N385" s="562"/>
      <c r="O385" s="562"/>
      <c r="P385" s="562"/>
      <c r="Q385" s="562"/>
      <c r="R385" s="562"/>
      <c r="S385" s="562"/>
      <c r="T385" s="562"/>
    </row>
    <row r="386" spans="1:20" s="560" customFormat="1" ht="19.5" customHeight="1">
      <c r="A386" s="561"/>
      <c r="B386" s="562"/>
      <c r="C386" s="562"/>
      <c r="D386" s="562"/>
      <c r="E386" s="562"/>
      <c r="F386" s="562"/>
      <c r="G386" s="562"/>
      <c r="H386" s="562"/>
      <c r="I386" s="562"/>
      <c r="J386" s="562"/>
      <c r="K386" s="562"/>
      <c r="L386" s="562"/>
      <c r="M386" s="562"/>
      <c r="N386" s="562"/>
      <c r="O386" s="562"/>
      <c r="P386" s="562"/>
      <c r="Q386" s="562"/>
      <c r="R386" s="562"/>
      <c r="S386" s="562"/>
      <c r="T386" s="562"/>
    </row>
    <row r="387" spans="1:20" s="560" customFormat="1" ht="19.5" customHeight="1">
      <c r="A387" s="561"/>
      <c r="B387" s="562"/>
      <c r="C387" s="562"/>
      <c r="D387" s="562"/>
      <c r="E387" s="562"/>
      <c r="F387" s="562"/>
      <c r="G387" s="562"/>
      <c r="H387" s="562"/>
      <c r="I387" s="562"/>
      <c r="J387" s="562"/>
      <c r="K387" s="562"/>
      <c r="L387" s="562"/>
      <c r="M387" s="562"/>
      <c r="N387" s="562"/>
      <c r="O387" s="562"/>
      <c r="P387" s="562"/>
      <c r="Q387" s="562"/>
      <c r="R387" s="562"/>
      <c r="S387" s="562"/>
      <c r="T387" s="562"/>
    </row>
    <row r="388" spans="1:20" s="560" customFormat="1" ht="19.5" customHeight="1">
      <c r="A388" s="561"/>
      <c r="B388" s="562"/>
      <c r="C388" s="562"/>
      <c r="D388" s="562"/>
      <c r="E388" s="562"/>
      <c r="F388" s="562"/>
      <c r="G388" s="562"/>
      <c r="H388" s="562"/>
      <c r="I388" s="562"/>
      <c r="J388" s="562"/>
      <c r="K388" s="562"/>
      <c r="L388" s="562"/>
      <c r="M388" s="562"/>
      <c r="N388" s="562"/>
      <c r="O388" s="562"/>
      <c r="P388" s="562"/>
      <c r="Q388" s="562"/>
      <c r="R388" s="562"/>
      <c r="S388" s="562"/>
      <c r="T388" s="562"/>
    </row>
    <row r="389" spans="1:20" s="560" customFormat="1" ht="19.5" customHeight="1">
      <c r="A389" s="561"/>
      <c r="B389" s="562"/>
      <c r="C389" s="562"/>
      <c r="D389" s="562"/>
      <c r="E389" s="562"/>
      <c r="F389" s="562"/>
      <c r="G389" s="562"/>
      <c r="H389" s="562"/>
      <c r="I389" s="562"/>
      <c r="J389" s="562"/>
      <c r="K389" s="562"/>
      <c r="L389" s="562"/>
      <c r="M389" s="562"/>
      <c r="N389" s="562"/>
      <c r="O389" s="562"/>
      <c r="P389" s="562"/>
      <c r="Q389" s="562"/>
      <c r="R389" s="562"/>
      <c r="S389" s="562"/>
      <c r="T389" s="562"/>
    </row>
    <row r="390" spans="1:20" s="560" customFormat="1" ht="19.5" customHeight="1">
      <c r="A390" s="561"/>
      <c r="B390" s="562"/>
      <c r="C390" s="562"/>
      <c r="D390" s="562"/>
      <c r="E390" s="562"/>
      <c r="F390" s="562"/>
      <c r="G390" s="562"/>
      <c r="H390" s="562"/>
      <c r="I390" s="562"/>
      <c r="J390" s="562"/>
      <c r="K390" s="562"/>
      <c r="L390" s="562"/>
      <c r="M390" s="562"/>
      <c r="N390" s="562"/>
      <c r="O390" s="562"/>
      <c r="P390" s="562"/>
      <c r="Q390" s="562"/>
      <c r="R390" s="562"/>
      <c r="S390" s="562"/>
      <c r="T390" s="562"/>
    </row>
    <row r="391" spans="1:20" s="560" customFormat="1" ht="19.5" customHeight="1">
      <c r="A391" s="561"/>
      <c r="B391" s="562"/>
      <c r="C391" s="562"/>
      <c r="D391" s="562"/>
      <c r="E391" s="562"/>
      <c r="F391" s="562"/>
      <c r="G391" s="562"/>
      <c r="H391" s="562"/>
      <c r="I391" s="562"/>
      <c r="J391" s="562"/>
      <c r="K391" s="562"/>
      <c r="L391" s="562"/>
      <c r="M391" s="562"/>
      <c r="N391" s="562"/>
      <c r="O391" s="562"/>
      <c r="P391" s="562"/>
      <c r="Q391" s="562"/>
      <c r="R391" s="562"/>
      <c r="S391" s="562"/>
      <c r="T391" s="562"/>
    </row>
    <row r="392" spans="1:20" s="560" customFormat="1" ht="19.5" customHeight="1">
      <c r="A392" s="561"/>
      <c r="B392" s="562"/>
      <c r="C392" s="562"/>
      <c r="D392" s="562"/>
      <c r="E392" s="562"/>
      <c r="F392" s="562"/>
      <c r="G392" s="562"/>
      <c r="H392" s="562"/>
      <c r="I392" s="562"/>
      <c r="J392" s="562"/>
      <c r="K392" s="562"/>
      <c r="L392" s="562"/>
      <c r="M392" s="562"/>
      <c r="N392" s="562"/>
      <c r="O392" s="562"/>
      <c r="P392" s="562"/>
      <c r="Q392" s="562"/>
      <c r="R392" s="562"/>
      <c r="S392" s="562"/>
      <c r="T392" s="562"/>
    </row>
    <row r="393" spans="1:20" s="560" customFormat="1" ht="19.5" customHeight="1">
      <c r="A393" s="561"/>
      <c r="B393" s="562"/>
      <c r="C393" s="562"/>
      <c r="D393" s="562"/>
      <c r="E393" s="562"/>
      <c r="F393" s="562"/>
      <c r="G393" s="562"/>
      <c r="H393" s="562"/>
      <c r="I393" s="562"/>
      <c r="J393" s="562"/>
      <c r="K393" s="562"/>
      <c r="L393" s="562"/>
      <c r="M393" s="562"/>
      <c r="N393" s="562"/>
      <c r="O393" s="562"/>
      <c r="P393" s="562"/>
      <c r="Q393" s="562"/>
      <c r="R393" s="562"/>
      <c r="S393" s="562"/>
      <c r="T393" s="562"/>
    </row>
    <row r="394" spans="1:20" s="560" customFormat="1" ht="19.5" customHeight="1">
      <c r="A394" s="561"/>
      <c r="B394" s="562"/>
      <c r="C394" s="562"/>
      <c r="D394" s="562"/>
      <c r="E394" s="562"/>
      <c r="F394" s="562"/>
      <c r="G394" s="562"/>
      <c r="H394" s="562"/>
      <c r="I394" s="562"/>
      <c r="J394" s="562"/>
      <c r="K394" s="562"/>
      <c r="L394" s="562"/>
      <c r="M394" s="562"/>
      <c r="N394" s="562"/>
      <c r="O394" s="562"/>
      <c r="P394" s="562"/>
      <c r="Q394" s="562"/>
      <c r="R394" s="562"/>
      <c r="S394" s="562"/>
      <c r="T394" s="562"/>
    </row>
    <row r="395" spans="1:20" s="560" customFormat="1" ht="19.5" customHeight="1">
      <c r="A395" s="561"/>
      <c r="B395" s="562"/>
      <c r="C395" s="562"/>
      <c r="D395" s="562"/>
      <c r="E395" s="562"/>
      <c r="F395" s="562"/>
      <c r="G395" s="562"/>
      <c r="H395" s="562"/>
      <c r="I395" s="562"/>
      <c r="J395" s="562"/>
      <c r="K395" s="562"/>
      <c r="L395" s="562"/>
      <c r="M395" s="562"/>
      <c r="N395" s="562"/>
      <c r="O395" s="562"/>
      <c r="P395" s="562"/>
      <c r="Q395" s="562"/>
      <c r="R395" s="562"/>
      <c r="S395" s="562"/>
      <c r="T395" s="562"/>
    </row>
    <row r="396" spans="1:20" s="560" customFormat="1" ht="19.5" customHeight="1">
      <c r="A396" s="561"/>
      <c r="B396" s="562"/>
      <c r="C396" s="562"/>
      <c r="D396" s="562"/>
      <c r="E396" s="562"/>
      <c r="F396" s="562"/>
      <c r="G396" s="562"/>
      <c r="H396" s="562"/>
      <c r="I396" s="562"/>
      <c r="J396" s="562"/>
      <c r="K396" s="562"/>
      <c r="L396" s="562"/>
      <c r="M396" s="562"/>
      <c r="N396" s="562"/>
      <c r="O396" s="562"/>
      <c r="P396" s="562"/>
      <c r="Q396" s="562"/>
      <c r="R396" s="562"/>
      <c r="S396" s="562"/>
      <c r="T396" s="562"/>
    </row>
    <row r="397" spans="1:20" s="560" customFormat="1" ht="19.5" customHeight="1">
      <c r="A397" s="561"/>
      <c r="B397" s="562"/>
      <c r="C397" s="562"/>
      <c r="D397" s="562"/>
      <c r="E397" s="562"/>
      <c r="F397" s="562"/>
      <c r="G397" s="562"/>
      <c r="H397" s="562"/>
      <c r="I397" s="562"/>
      <c r="J397" s="562"/>
      <c r="K397" s="562"/>
      <c r="L397" s="562"/>
      <c r="M397" s="562"/>
      <c r="N397" s="562"/>
      <c r="O397" s="562"/>
      <c r="P397" s="562"/>
      <c r="Q397" s="562"/>
      <c r="R397" s="562"/>
      <c r="S397" s="562"/>
      <c r="T397" s="562"/>
    </row>
    <row r="398" spans="1:20" s="560" customFormat="1" ht="19.5" customHeight="1">
      <c r="A398" s="561"/>
      <c r="B398" s="562"/>
      <c r="C398" s="562"/>
      <c r="D398" s="562"/>
      <c r="E398" s="562"/>
      <c r="F398" s="562"/>
      <c r="G398" s="562"/>
      <c r="H398" s="562"/>
      <c r="I398" s="562"/>
      <c r="J398" s="562"/>
      <c r="K398" s="562"/>
      <c r="L398" s="562"/>
      <c r="M398" s="562"/>
      <c r="N398" s="562"/>
      <c r="O398" s="562"/>
      <c r="P398" s="562"/>
      <c r="Q398" s="562"/>
      <c r="R398" s="562"/>
      <c r="S398" s="562"/>
      <c r="T398" s="562"/>
    </row>
    <row r="399" spans="1:20" s="560" customFormat="1" ht="19.5" customHeight="1">
      <c r="A399" s="561"/>
      <c r="B399" s="562"/>
      <c r="C399" s="562"/>
      <c r="D399" s="562"/>
      <c r="E399" s="562"/>
      <c r="F399" s="562"/>
      <c r="G399" s="562"/>
      <c r="H399" s="562"/>
      <c r="I399" s="562"/>
      <c r="J399" s="562"/>
      <c r="K399" s="562"/>
      <c r="L399" s="562"/>
      <c r="M399" s="562"/>
      <c r="N399" s="562"/>
      <c r="O399" s="562"/>
      <c r="P399" s="562"/>
      <c r="Q399" s="562"/>
      <c r="R399" s="562"/>
      <c r="S399" s="562"/>
      <c r="T399" s="562"/>
    </row>
    <row r="400" spans="1:20" s="560" customFormat="1" ht="19.5" customHeight="1">
      <c r="A400" s="561"/>
      <c r="B400" s="562"/>
      <c r="C400" s="562"/>
      <c r="D400" s="562"/>
      <c r="E400" s="562"/>
      <c r="F400" s="562"/>
      <c r="G400" s="562"/>
      <c r="H400" s="562"/>
      <c r="I400" s="562"/>
      <c r="J400" s="562"/>
      <c r="K400" s="562"/>
      <c r="L400" s="562"/>
      <c r="M400" s="562"/>
      <c r="N400" s="562"/>
      <c r="O400" s="562"/>
      <c r="P400" s="562"/>
      <c r="Q400" s="562"/>
      <c r="R400" s="562"/>
      <c r="S400" s="562"/>
      <c r="T400" s="562"/>
    </row>
    <row r="401" spans="1:20" s="560" customFormat="1" ht="19.5" customHeight="1">
      <c r="A401" s="561"/>
      <c r="B401" s="562"/>
      <c r="C401" s="562"/>
      <c r="D401" s="562"/>
      <c r="E401" s="562"/>
      <c r="F401" s="562"/>
      <c r="G401" s="562"/>
      <c r="H401" s="562"/>
      <c r="I401" s="562"/>
      <c r="J401" s="562"/>
      <c r="K401" s="562"/>
      <c r="L401" s="562"/>
      <c r="M401" s="562"/>
      <c r="N401" s="562"/>
      <c r="O401" s="562"/>
      <c r="P401" s="562"/>
      <c r="Q401" s="562"/>
      <c r="R401" s="562"/>
      <c r="S401" s="562"/>
      <c r="T401" s="562"/>
    </row>
    <row r="402" spans="1:20" s="560" customFormat="1" ht="19.5" customHeight="1">
      <c r="A402" s="561"/>
      <c r="B402" s="562"/>
      <c r="C402" s="562"/>
      <c r="D402" s="562"/>
      <c r="E402" s="562"/>
      <c r="F402" s="562"/>
      <c r="G402" s="562"/>
      <c r="H402" s="562"/>
      <c r="I402" s="562"/>
      <c r="J402" s="562"/>
      <c r="K402" s="562"/>
      <c r="L402" s="562"/>
      <c r="M402" s="562"/>
      <c r="N402" s="562"/>
      <c r="O402" s="562"/>
      <c r="P402" s="562"/>
      <c r="Q402" s="562"/>
      <c r="R402" s="562"/>
      <c r="S402" s="562"/>
      <c r="T402" s="562"/>
    </row>
    <row r="403" spans="1:20" s="560" customFormat="1" ht="19.5" customHeight="1">
      <c r="A403" s="561"/>
      <c r="B403" s="562"/>
      <c r="C403" s="562"/>
      <c r="D403" s="562"/>
      <c r="E403" s="562"/>
      <c r="F403" s="562"/>
      <c r="G403" s="562"/>
      <c r="H403" s="562"/>
      <c r="I403" s="562"/>
      <c r="J403" s="562"/>
      <c r="K403" s="562"/>
      <c r="L403" s="562"/>
      <c r="M403" s="562"/>
      <c r="N403" s="562"/>
      <c r="O403" s="562"/>
      <c r="P403" s="562"/>
      <c r="Q403" s="562"/>
      <c r="R403" s="562"/>
      <c r="S403" s="562"/>
      <c r="T403" s="562"/>
    </row>
    <row r="404" spans="1:20" s="560" customFormat="1" ht="19.5" customHeight="1">
      <c r="A404" s="561"/>
      <c r="B404" s="562"/>
      <c r="C404" s="562"/>
      <c r="D404" s="562"/>
      <c r="E404" s="562"/>
      <c r="F404" s="562"/>
      <c r="G404" s="562"/>
      <c r="H404" s="562"/>
      <c r="I404" s="562"/>
      <c r="J404" s="562"/>
      <c r="K404" s="562"/>
      <c r="L404" s="562"/>
      <c r="M404" s="562"/>
      <c r="N404" s="562"/>
      <c r="O404" s="562"/>
      <c r="P404" s="562"/>
      <c r="Q404" s="562"/>
      <c r="R404" s="562"/>
      <c r="S404" s="562"/>
      <c r="T404" s="562"/>
    </row>
    <row r="405" spans="1:20" s="560" customFormat="1" ht="19.5" customHeight="1">
      <c r="A405" s="561"/>
      <c r="B405" s="562"/>
      <c r="C405" s="562"/>
      <c r="D405" s="562"/>
      <c r="E405" s="562"/>
      <c r="F405" s="562"/>
      <c r="G405" s="562"/>
      <c r="H405" s="562"/>
      <c r="I405" s="562"/>
      <c r="J405" s="562"/>
      <c r="K405" s="562"/>
      <c r="L405" s="562"/>
      <c r="M405" s="562"/>
      <c r="N405" s="562"/>
      <c r="O405" s="562"/>
      <c r="P405" s="562"/>
      <c r="Q405" s="562"/>
      <c r="R405" s="562"/>
      <c r="S405" s="562"/>
      <c r="T405" s="562"/>
    </row>
    <row r="406" spans="1:20" s="560" customFormat="1" ht="19.5" customHeight="1">
      <c r="A406" s="561"/>
      <c r="B406" s="562"/>
      <c r="C406" s="562"/>
      <c r="D406" s="562"/>
      <c r="E406" s="562"/>
      <c r="F406" s="562"/>
      <c r="G406" s="562"/>
      <c r="H406" s="562"/>
      <c r="I406" s="562"/>
      <c r="J406" s="562"/>
      <c r="K406" s="562"/>
      <c r="L406" s="562"/>
      <c r="M406" s="562"/>
      <c r="N406" s="562"/>
      <c r="O406" s="562"/>
      <c r="P406" s="562"/>
      <c r="Q406" s="562"/>
      <c r="R406" s="562"/>
      <c r="S406" s="562"/>
      <c r="T406" s="562"/>
    </row>
    <row r="407" spans="1:20" s="560" customFormat="1" ht="19.5" customHeight="1">
      <c r="A407" s="561"/>
      <c r="B407" s="562"/>
      <c r="C407" s="562"/>
      <c r="D407" s="562"/>
      <c r="E407" s="562"/>
      <c r="F407" s="562"/>
      <c r="G407" s="562"/>
      <c r="H407" s="562"/>
      <c r="I407" s="562"/>
      <c r="J407" s="562"/>
      <c r="K407" s="562"/>
      <c r="L407" s="562"/>
      <c r="M407" s="562"/>
      <c r="N407" s="562"/>
      <c r="O407" s="562"/>
      <c r="P407" s="562"/>
      <c r="Q407" s="562"/>
      <c r="R407" s="562"/>
      <c r="S407" s="562"/>
      <c r="T407" s="562"/>
    </row>
    <row r="408" spans="1:20" s="560" customFormat="1" ht="19.5" customHeight="1">
      <c r="A408" s="561"/>
      <c r="B408" s="562"/>
      <c r="C408" s="562"/>
      <c r="D408" s="562"/>
      <c r="E408" s="562"/>
      <c r="F408" s="562"/>
      <c r="G408" s="562"/>
      <c r="H408" s="562"/>
      <c r="I408" s="562"/>
      <c r="J408" s="562"/>
      <c r="K408" s="562"/>
      <c r="L408" s="562"/>
      <c r="M408" s="562"/>
      <c r="N408" s="562"/>
      <c r="O408" s="562"/>
      <c r="P408" s="562"/>
      <c r="Q408" s="562"/>
      <c r="R408" s="562"/>
      <c r="S408" s="562"/>
      <c r="T408" s="562"/>
    </row>
    <row r="409" spans="1:20" s="560" customFormat="1" ht="19.5" customHeight="1">
      <c r="A409" s="561"/>
      <c r="B409" s="562"/>
      <c r="C409" s="562"/>
      <c r="D409" s="562"/>
      <c r="E409" s="562"/>
      <c r="F409" s="562"/>
      <c r="G409" s="562"/>
      <c r="H409" s="562"/>
      <c r="I409" s="562"/>
      <c r="J409" s="562"/>
      <c r="K409" s="562"/>
      <c r="L409" s="562"/>
      <c r="M409" s="562"/>
      <c r="N409" s="562"/>
      <c r="O409" s="562"/>
      <c r="P409" s="562"/>
      <c r="Q409" s="562"/>
      <c r="R409" s="562"/>
      <c r="S409" s="562"/>
      <c r="T409" s="562"/>
    </row>
    <row r="410" spans="1:20" s="560" customFormat="1" ht="19.5" customHeight="1">
      <c r="A410" s="561"/>
      <c r="B410" s="562"/>
      <c r="C410" s="562"/>
      <c r="D410" s="562"/>
      <c r="E410" s="562"/>
      <c r="F410" s="562"/>
      <c r="G410" s="562"/>
      <c r="H410" s="562"/>
      <c r="I410" s="562"/>
      <c r="J410" s="562"/>
      <c r="K410" s="562"/>
      <c r="L410" s="562"/>
      <c r="M410" s="562"/>
      <c r="N410" s="562"/>
      <c r="O410" s="562"/>
      <c r="P410" s="562"/>
      <c r="Q410" s="562"/>
      <c r="R410" s="562"/>
      <c r="S410" s="562"/>
      <c r="T410" s="562"/>
    </row>
    <row r="411" ht="19.5" customHeight="1"/>
    <row r="412" ht="9.75" customHeight="1"/>
    <row r="413" ht="19.5" customHeight="1"/>
    <row r="414" ht="19.5" customHeight="1"/>
    <row r="415" ht="19.5" customHeight="1"/>
    <row r="416" spans="1:20" s="560" customFormat="1" ht="19.5" customHeight="1">
      <c r="A416" s="561"/>
      <c r="B416" s="562"/>
      <c r="C416" s="562"/>
      <c r="D416" s="562"/>
      <c r="E416" s="562"/>
      <c r="F416" s="562"/>
      <c r="G416" s="562"/>
      <c r="H416" s="562"/>
      <c r="I416" s="562"/>
      <c r="J416" s="562"/>
      <c r="K416" s="562"/>
      <c r="L416" s="562"/>
      <c r="M416" s="562"/>
      <c r="N416" s="562"/>
      <c r="O416" s="562"/>
      <c r="P416" s="562"/>
      <c r="Q416" s="562"/>
      <c r="R416" s="562"/>
      <c r="S416" s="562"/>
      <c r="T416" s="562"/>
    </row>
    <row r="417" spans="1:20" s="560" customFormat="1" ht="19.5" customHeight="1">
      <c r="A417" s="561"/>
      <c r="B417" s="562"/>
      <c r="C417" s="562"/>
      <c r="D417" s="562"/>
      <c r="E417" s="562"/>
      <c r="F417" s="562"/>
      <c r="G417" s="562"/>
      <c r="H417" s="562"/>
      <c r="I417" s="562"/>
      <c r="J417" s="562"/>
      <c r="K417" s="562"/>
      <c r="L417" s="562"/>
      <c r="M417" s="562"/>
      <c r="N417" s="562"/>
      <c r="O417" s="562"/>
      <c r="P417" s="562"/>
      <c r="Q417" s="562"/>
      <c r="R417" s="562"/>
      <c r="S417" s="562"/>
      <c r="T417" s="562"/>
    </row>
    <row r="418" spans="1:20" s="560" customFormat="1" ht="19.5" customHeight="1">
      <c r="A418" s="561"/>
      <c r="B418" s="562"/>
      <c r="C418" s="562"/>
      <c r="D418" s="562"/>
      <c r="E418" s="562"/>
      <c r="F418" s="562"/>
      <c r="G418" s="562"/>
      <c r="H418" s="562"/>
      <c r="I418" s="562"/>
      <c r="J418" s="562"/>
      <c r="K418" s="562"/>
      <c r="L418" s="562"/>
      <c r="M418" s="562"/>
      <c r="N418" s="562"/>
      <c r="O418" s="562"/>
      <c r="P418" s="562"/>
      <c r="Q418" s="562"/>
      <c r="R418" s="562"/>
      <c r="S418" s="562"/>
      <c r="T418" s="562"/>
    </row>
    <row r="419" spans="1:20" s="560" customFormat="1" ht="19.5" customHeight="1">
      <c r="A419" s="561"/>
      <c r="B419" s="562"/>
      <c r="C419" s="562"/>
      <c r="D419" s="562"/>
      <c r="E419" s="562"/>
      <c r="F419" s="562"/>
      <c r="G419" s="562"/>
      <c r="H419" s="562"/>
      <c r="I419" s="562"/>
      <c r="J419" s="562"/>
      <c r="K419" s="562"/>
      <c r="L419" s="562"/>
      <c r="M419" s="562"/>
      <c r="N419" s="562"/>
      <c r="O419" s="562"/>
      <c r="P419" s="562"/>
      <c r="Q419" s="562"/>
      <c r="R419" s="562"/>
      <c r="S419" s="562"/>
      <c r="T419" s="562"/>
    </row>
    <row r="420" spans="1:20" s="560" customFormat="1" ht="19.5" customHeight="1">
      <c r="A420" s="561"/>
      <c r="B420" s="562"/>
      <c r="C420" s="562"/>
      <c r="D420" s="562"/>
      <c r="E420" s="562"/>
      <c r="F420" s="562"/>
      <c r="G420" s="562"/>
      <c r="H420" s="562"/>
      <c r="I420" s="562"/>
      <c r="J420" s="562"/>
      <c r="K420" s="562"/>
      <c r="L420" s="562"/>
      <c r="M420" s="562"/>
      <c r="N420" s="562"/>
      <c r="O420" s="562"/>
      <c r="P420" s="562"/>
      <c r="Q420" s="562"/>
      <c r="R420" s="562"/>
      <c r="S420" s="562"/>
      <c r="T420" s="562"/>
    </row>
    <row r="421" spans="1:20" s="560" customFormat="1" ht="19.5" customHeight="1">
      <c r="A421" s="561"/>
      <c r="B421" s="562"/>
      <c r="C421" s="562"/>
      <c r="D421" s="562"/>
      <c r="E421" s="562"/>
      <c r="F421" s="562"/>
      <c r="G421" s="562"/>
      <c r="H421" s="562"/>
      <c r="I421" s="562"/>
      <c r="J421" s="562"/>
      <c r="K421" s="562"/>
      <c r="L421" s="562"/>
      <c r="M421" s="562"/>
      <c r="N421" s="562"/>
      <c r="O421" s="562"/>
      <c r="P421" s="562"/>
      <c r="Q421" s="562"/>
      <c r="R421" s="562"/>
      <c r="S421" s="562"/>
      <c r="T421" s="562"/>
    </row>
    <row r="422" spans="1:20" s="560" customFormat="1" ht="19.5" customHeight="1">
      <c r="A422" s="561"/>
      <c r="B422" s="562"/>
      <c r="C422" s="562"/>
      <c r="D422" s="562"/>
      <c r="E422" s="562"/>
      <c r="F422" s="562"/>
      <c r="G422" s="562"/>
      <c r="H422" s="562"/>
      <c r="I422" s="562"/>
      <c r="J422" s="562"/>
      <c r="K422" s="562"/>
      <c r="L422" s="562"/>
      <c r="M422" s="562"/>
      <c r="N422" s="562"/>
      <c r="O422" s="562"/>
      <c r="P422" s="562"/>
      <c r="Q422" s="562"/>
      <c r="R422" s="562"/>
      <c r="S422" s="562"/>
      <c r="T422" s="562"/>
    </row>
    <row r="423" spans="1:20" s="560" customFormat="1" ht="19.5" customHeight="1">
      <c r="A423" s="561"/>
      <c r="B423" s="562"/>
      <c r="C423" s="562"/>
      <c r="D423" s="562"/>
      <c r="E423" s="562"/>
      <c r="F423" s="562"/>
      <c r="G423" s="562"/>
      <c r="H423" s="562"/>
      <c r="I423" s="562"/>
      <c r="J423" s="562"/>
      <c r="K423" s="562"/>
      <c r="L423" s="562"/>
      <c r="M423" s="562"/>
      <c r="N423" s="562"/>
      <c r="O423" s="562"/>
      <c r="P423" s="562"/>
      <c r="Q423" s="562"/>
      <c r="R423" s="562"/>
      <c r="S423" s="562"/>
      <c r="T423" s="562"/>
    </row>
    <row r="424" spans="1:20" s="560" customFormat="1" ht="19.5" customHeight="1">
      <c r="A424" s="561"/>
      <c r="B424" s="562"/>
      <c r="C424" s="562"/>
      <c r="D424" s="562"/>
      <c r="E424" s="562"/>
      <c r="F424" s="562"/>
      <c r="G424" s="562"/>
      <c r="H424" s="562"/>
      <c r="I424" s="562"/>
      <c r="J424" s="562"/>
      <c r="K424" s="562"/>
      <c r="L424" s="562"/>
      <c r="M424" s="562"/>
      <c r="N424" s="562"/>
      <c r="O424" s="562"/>
      <c r="P424" s="562"/>
      <c r="Q424" s="562"/>
      <c r="R424" s="562"/>
      <c r="S424" s="562"/>
      <c r="T424" s="562"/>
    </row>
    <row r="425" spans="1:20" s="560" customFormat="1" ht="19.5" customHeight="1">
      <c r="A425" s="561"/>
      <c r="B425" s="562"/>
      <c r="C425" s="562"/>
      <c r="D425" s="562"/>
      <c r="E425" s="562"/>
      <c r="F425" s="562"/>
      <c r="G425" s="562"/>
      <c r="H425" s="562"/>
      <c r="I425" s="562"/>
      <c r="J425" s="562"/>
      <c r="K425" s="562"/>
      <c r="L425" s="562"/>
      <c r="M425" s="562"/>
      <c r="N425" s="562"/>
      <c r="O425" s="562"/>
      <c r="P425" s="562"/>
      <c r="Q425" s="562"/>
      <c r="R425" s="562"/>
      <c r="S425" s="562"/>
      <c r="T425" s="562"/>
    </row>
    <row r="426" spans="1:20" s="560" customFormat="1" ht="19.5" customHeight="1">
      <c r="A426" s="561"/>
      <c r="B426" s="562"/>
      <c r="C426" s="562"/>
      <c r="D426" s="562"/>
      <c r="E426" s="562"/>
      <c r="F426" s="562"/>
      <c r="G426" s="562"/>
      <c r="H426" s="562"/>
      <c r="I426" s="562"/>
      <c r="J426" s="562"/>
      <c r="K426" s="562"/>
      <c r="L426" s="562"/>
      <c r="M426" s="562"/>
      <c r="N426" s="562"/>
      <c r="O426" s="562"/>
      <c r="P426" s="562"/>
      <c r="Q426" s="562"/>
      <c r="R426" s="562"/>
      <c r="S426" s="562"/>
      <c r="T426" s="562"/>
    </row>
    <row r="427" spans="1:20" s="560" customFormat="1" ht="19.5" customHeight="1">
      <c r="A427" s="561"/>
      <c r="B427" s="562"/>
      <c r="C427" s="562"/>
      <c r="D427" s="562"/>
      <c r="E427" s="562"/>
      <c r="F427" s="562"/>
      <c r="G427" s="562"/>
      <c r="H427" s="562"/>
      <c r="I427" s="562"/>
      <c r="J427" s="562"/>
      <c r="K427" s="562"/>
      <c r="L427" s="562"/>
      <c r="M427" s="562"/>
      <c r="N427" s="562"/>
      <c r="O427" s="562"/>
      <c r="P427" s="562"/>
      <c r="Q427" s="562"/>
      <c r="R427" s="562"/>
      <c r="S427" s="562"/>
      <c r="T427" s="562"/>
    </row>
    <row r="428" spans="1:20" s="560" customFormat="1" ht="19.5" customHeight="1">
      <c r="A428" s="561"/>
      <c r="B428" s="562"/>
      <c r="C428" s="562"/>
      <c r="D428" s="562"/>
      <c r="E428" s="562"/>
      <c r="F428" s="562"/>
      <c r="G428" s="562"/>
      <c r="H428" s="562"/>
      <c r="I428" s="562"/>
      <c r="J428" s="562"/>
      <c r="K428" s="562"/>
      <c r="L428" s="562"/>
      <c r="M428" s="562"/>
      <c r="N428" s="562"/>
      <c r="O428" s="562"/>
      <c r="P428" s="562"/>
      <c r="Q428" s="562"/>
      <c r="R428" s="562"/>
      <c r="S428" s="562"/>
      <c r="T428" s="562"/>
    </row>
    <row r="429" spans="1:20" s="560" customFormat="1" ht="19.5" customHeight="1">
      <c r="A429" s="561"/>
      <c r="B429" s="562"/>
      <c r="C429" s="562"/>
      <c r="D429" s="562"/>
      <c r="E429" s="562"/>
      <c r="F429" s="562"/>
      <c r="G429" s="562"/>
      <c r="H429" s="562"/>
      <c r="I429" s="562"/>
      <c r="J429" s="562"/>
      <c r="K429" s="562"/>
      <c r="L429" s="562"/>
      <c r="M429" s="562"/>
      <c r="N429" s="562"/>
      <c r="O429" s="562"/>
      <c r="P429" s="562"/>
      <c r="Q429" s="562"/>
      <c r="R429" s="562"/>
      <c r="S429" s="562"/>
      <c r="T429" s="562"/>
    </row>
    <row r="430" spans="1:20" s="560" customFormat="1" ht="19.5" customHeight="1">
      <c r="A430" s="561"/>
      <c r="B430" s="562"/>
      <c r="C430" s="562"/>
      <c r="D430" s="562"/>
      <c r="E430" s="562"/>
      <c r="F430" s="562"/>
      <c r="G430" s="562"/>
      <c r="H430" s="562"/>
      <c r="I430" s="562"/>
      <c r="J430" s="562"/>
      <c r="K430" s="562"/>
      <c r="L430" s="562"/>
      <c r="M430" s="562"/>
      <c r="N430" s="562"/>
      <c r="O430" s="562"/>
      <c r="P430" s="562"/>
      <c r="Q430" s="562"/>
      <c r="R430" s="562"/>
      <c r="S430" s="562"/>
      <c r="T430" s="562"/>
    </row>
    <row r="431" spans="1:20" s="560" customFormat="1" ht="19.5" customHeight="1">
      <c r="A431" s="561"/>
      <c r="B431" s="562"/>
      <c r="C431" s="562"/>
      <c r="D431" s="562"/>
      <c r="E431" s="562"/>
      <c r="F431" s="562"/>
      <c r="G431" s="562"/>
      <c r="H431" s="562"/>
      <c r="I431" s="562"/>
      <c r="J431" s="562"/>
      <c r="K431" s="562"/>
      <c r="L431" s="562"/>
      <c r="M431" s="562"/>
      <c r="N431" s="562"/>
      <c r="O431" s="562"/>
      <c r="P431" s="562"/>
      <c r="Q431" s="562"/>
      <c r="R431" s="562"/>
      <c r="S431" s="562"/>
      <c r="T431" s="562"/>
    </row>
    <row r="432" spans="1:20" s="560" customFormat="1" ht="19.5" customHeight="1">
      <c r="A432" s="561"/>
      <c r="B432" s="562"/>
      <c r="C432" s="562"/>
      <c r="D432" s="562"/>
      <c r="E432" s="562"/>
      <c r="F432" s="562"/>
      <c r="G432" s="562"/>
      <c r="H432" s="562"/>
      <c r="I432" s="562"/>
      <c r="J432" s="562"/>
      <c r="K432" s="562"/>
      <c r="L432" s="562"/>
      <c r="M432" s="562"/>
      <c r="N432" s="562"/>
      <c r="O432" s="562"/>
      <c r="P432" s="562"/>
      <c r="Q432" s="562"/>
      <c r="R432" s="562"/>
      <c r="S432" s="562"/>
      <c r="T432" s="562"/>
    </row>
    <row r="433" spans="1:20" s="560" customFormat="1" ht="19.5" customHeight="1">
      <c r="A433" s="561"/>
      <c r="B433" s="562"/>
      <c r="C433" s="562"/>
      <c r="D433" s="562"/>
      <c r="E433" s="562"/>
      <c r="F433" s="562"/>
      <c r="G433" s="562"/>
      <c r="H433" s="562"/>
      <c r="I433" s="562"/>
      <c r="J433" s="562"/>
      <c r="K433" s="562"/>
      <c r="L433" s="562"/>
      <c r="M433" s="562"/>
      <c r="N433" s="562"/>
      <c r="O433" s="562"/>
      <c r="P433" s="562"/>
      <c r="Q433" s="562"/>
      <c r="R433" s="562"/>
      <c r="S433" s="562"/>
      <c r="T433" s="562"/>
    </row>
    <row r="434" spans="1:20" s="560" customFormat="1" ht="19.5" customHeight="1">
      <c r="A434" s="561"/>
      <c r="B434" s="562"/>
      <c r="C434" s="562"/>
      <c r="D434" s="562"/>
      <c r="E434" s="562"/>
      <c r="F434" s="562"/>
      <c r="G434" s="562"/>
      <c r="H434" s="562"/>
      <c r="I434" s="562"/>
      <c r="J434" s="562"/>
      <c r="K434" s="562"/>
      <c r="L434" s="562"/>
      <c r="M434" s="562"/>
      <c r="N434" s="562"/>
      <c r="O434" s="562"/>
      <c r="P434" s="562"/>
      <c r="Q434" s="562"/>
      <c r="R434" s="562"/>
      <c r="S434" s="562"/>
      <c r="T434" s="562"/>
    </row>
    <row r="435" spans="1:20" s="560" customFormat="1" ht="19.5" customHeight="1">
      <c r="A435" s="561"/>
      <c r="B435" s="562"/>
      <c r="C435" s="562"/>
      <c r="D435" s="562"/>
      <c r="E435" s="562"/>
      <c r="F435" s="562"/>
      <c r="G435" s="562"/>
      <c r="H435" s="562"/>
      <c r="I435" s="562"/>
      <c r="J435" s="562"/>
      <c r="K435" s="562"/>
      <c r="L435" s="562"/>
      <c r="M435" s="562"/>
      <c r="N435" s="562"/>
      <c r="O435" s="562"/>
      <c r="P435" s="562"/>
      <c r="Q435" s="562"/>
      <c r="R435" s="562"/>
      <c r="S435" s="562"/>
      <c r="T435" s="562"/>
    </row>
    <row r="436" spans="1:20" s="560" customFormat="1" ht="19.5" customHeight="1">
      <c r="A436" s="561"/>
      <c r="B436" s="562"/>
      <c r="C436" s="562"/>
      <c r="D436" s="562"/>
      <c r="E436" s="562"/>
      <c r="F436" s="562"/>
      <c r="G436" s="562"/>
      <c r="H436" s="562"/>
      <c r="I436" s="562"/>
      <c r="J436" s="562"/>
      <c r="K436" s="562"/>
      <c r="L436" s="562"/>
      <c r="M436" s="562"/>
      <c r="N436" s="562"/>
      <c r="O436" s="562"/>
      <c r="P436" s="562"/>
      <c r="Q436" s="562"/>
      <c r="R436" s="562"/>
      <c r="S436" s="562"/>
      <c r="T436" s="562"/>
    </row>
    <row r="437" spans="1:20" s="560" customFormat="1" ht="19.5" customHeight="1">
      <c r="A437" s="561"/>
      <c r="B437" s="562"/>
      <c r="C437" s="562"/>
      <c r="D437" s="562"/>
      <c r="E437" s="562"/>
      <c r="F437" s="562"/>
      <c r="G437" s="562"/>
      <c r="H437" s="562"/>
      <c r="I437" s="562"/>
      <c r="J437" s="562"/>
      <c r="K437" s="562"/>
      <c r="L437" s="562"/>
      <c r="M437" s="562"/>
      <c r="N437" s="562"/>
      <c r="O437" s="562"/>
      <c r="P437" s="562"/>
      <c r="Q437" s="562"/>
      <c r="R437" s="562"/>
      <c r="S437" s="562"/>
      <c r="T437" s="562"/>
    </row>
    <row r="438" spans="1:20" s="560" customFormat="1" ht="19.5" customHeight="1">
      <c r="A438" s="561"/>
      <c r="B438" s="562"/>
      <c r="C438" s="562"/>
      <c r="D438" s="562"/>
      <c r="E438" s="562"/>
      <c r="F438" s="562"/>
      <c r="G438" s="562"/>
      <c r="H438" s="562"/>
      <c r="I438" s="562"/>
      <c r="J438" s="562"/>
      <c r="K438" s="562"/>
      <c r="L438" s="562"/>
      <c r="M438" s="562"/>
      <c r="N438" s="562"/>
      <c r="O438" s="562"/>
      <c r="P438" s="562"/>
      <c r="Q438" s="562"/>
      <c r="R438" s="562"/>
      <c r="S438" s="562"/>
      <c r="T438" s="562"/>
    </row>
    <row r="439" spans="1:20" s="560" customFormat="1" ht="19.5" customHeight="1">
      <c r="A439" s="561"/>
      <c r="B439" s="562"/>
      <c r="C439" s="562"/>
      <c r="D439" s="562"/>
      <c r="E439" s="562"/>
      <c r="F439" s="562"/>
      <c r="G439" s="562"/>
      <c r="H439" s="562"/>
      <c r="I439" s="562"/>
      <c r="J439" s="562"/>
      <c r="K439" s="562"/>
      <c r="L439" s="562"/>
      <c r="M439" s="562"/>
      <c r="N439" s="562"/>
      <c r="O439" s="562"/>
      <c r="P439" s="562"/>
      <c r="Q439" s="562"/>
      <c r="R439" s="562"/>
      <c r="S439" s="562"/>
      <c r="T439" s="562"/>
    </row>
    <row r="440" spans="1:20" s="560" customFormat="1" ht="19.5" customHeight="1">
      <c r="A440" s="561"/>
      <c r="B440" s="562"/>
      <c r="C440" s="562"/>
      <c r="D440" s="562"/>
      <c r="E440" s="562"/>
      <c r="F440" s="562"/>
      <c r="G440" s="562"/>
      <c r="H440" s="562"/>
      <c r="I440" s="562"/>
      <c r="J440" s="562"/>
      <c r="K440" s="562"/>
      <c r="L440" s="562"/>
      <c r="M440" s="562"/>
      <c r="N440" s="562"/>
      <c r="O440" s="562"/>
      <c r="P440" s="562"/>
      <c r="Q440" s="562"/>
      <c r="R440" s="562"/>
      <c r="S440" s="562"/>
      <c r="T440" s="562"/>
    </row>
    <row r="441" spans="1:20" s="560" customFormat="1" ht="19.5" customHeight="1">
      <c r="A441" s="561"/>
      <c r="B441" s="562"/>
      <c r="C441" s="562"/>
      <c r="D441" s="562"/>
      <c r="E441" s="562"/>
      <c r="F441" s="562"/>
      <c r="G441" s="562"/>
      <c r="H441" s="562"/>
      <c r="I441" s="562"/>
      <c r="J441" s="562"/>
      <c r="K441" s="562"/>
      <c r="L441" s="562"/>
      <c r="M441" s="562"/>
      <c r="N441" s="562"/>
      <c r="O441" s="562"/>
      <c r="P441" s="562"/>
      <c r="Q441" s="562"/>
      <c r="R441" s="562"/>
      <c r="S441" s="562"/>
      <c r="T441" s="562"/>
    </row>
    <row r="442" spans="1:20" s="560" customFormat="1" ht="19.5" customHeight="1">
      <c r="A442" s="561"/>
      <c r="B442" s="562"/>
      <c r="C442" s="562"/>
      <c r="D442" s="562"/>
      <c r="E442" s="562"/>
      <c r="F442" s="562"/>
      <c r="G442" s="562"/>
      <c r="H442" s="562"/>
      <c r="I442" s="562"/>
      <c r="J442" s="562"/>
      <c r="K442" s="562"/>
      <c r="L442" s="562"/>
      <c r="M442" s="562"/>
      <c r="N442" s="562"/>
      <c r="O442" s="562"/>
      <c r="P442" s="562"/>
      <c r="Q442" s="562"/>
      <c r="R442" s="562"/>
      <c r="S442" s="562"/>
      <c r="T442" s="562"/>
    </row>
    <row r="443" spans="1:20" s="560" customFormat="1" ht="19.5" customHeight="1">
      <c r="A443" s="561"/>
      <c r="B443" s="562"/>
      <c r="C443" s="562"/>
      <c r="D443" s="562"/>
      <c r="E443" s="562"/>
      <c r="F443" s="562"/>
      <c r="G443" s="562"/>
      <c r="H443" s="562"/>
      <c r="I443" s="562"/>
      <c r="J443" s="562"/>
      <c r="K443" s="562"/>
      <c r="L443" s="562"/>
      <c r="M443" s="562"/>
      <c r="N443" s="562"/>
      <c r="O443" s="562"/>
      <c r="P443" s="562"/>
      <c r="Q443" s="562"/>
      <c r="R443" s="562"/>
      <c r="S443" s="562"/>
      <c r="T443" s="562"/>
    </row>
    <row r="444" spans="1:20" s="560" customFormat="1" ht="19.5" customHeight="1">
      <c r="A444" s="561"/>
      <c r="B444" s="562"/>
      <c r="C444" s="562"/>
      <c r="D444" s="562"/>
      <c r="E444" s="562"/>
      <c r="F444" s="562"/>
      <c r="G444" s="562"/>
      <c r="H444" s="562"/>
      <c r="I444" s="562"/>
      <c r="J444" s="562"/>
      <c r="K444" s="562"/>
      <c r="L444" s="562"/>
      <c r="M444" s="562"/>
      <c r="N444" s="562"/>
      <c r="O444" s="562"/>
      <c r="P444" s="562"/>
      <c r="Q444" s="562"/>
      <c r="R444" s="562"/>
      <c r="S444" s="562"/>
      <c r="T444" s="562"/>
    </row>
    <row r="445" spans="1:20" s="560" customFormat="1" ht="19.5" customHeight="1">
      <c r="A445" s="561"/>
      <c r="B445" s="562"/>
      <c r="C445" s="562"/>
      <c r="D445" s="562"/>
      <c r="E445" s="562"/>
      <c r="F445" s="562"/>
      <c r="G445" s="562"/>
      <c r="H445" s="562"/>
      <c r="I445" s="562"/>
      <c r="J445" s="562"/>
      <c r="K445" s="562"/>
      <c r="L445" s="562"/>
      <c r="M445" s="562"/>
      <c r="N445" s="562"/>
      <c r="O445" s="562"/>
      <c r="P445" s="562"/>
      <c r="Q445" s="562"/>
      <c r="R445" s="562"/>
      <c r="S445" s="562"/>
      <c r="T445" s="562"/>
    </row>
    <row r="446" spans="1:20" s="560" customFormat="1" ht="19.5" customHeight="1">
      <c r="A446" s="561"/>
      <c r="B446" s="562"/>
      <c r="C446" s="562"/>
      <c r="D446" s="562"/>
      <c r="E446" s="562"/>
      <c r="F446" s="562"/>
      <c r="G446" s="562"/>
      <c r="H446" s="562"/>
      <c r="I446" s="562"/>
      <c r="J446" s="562"/>
      <c r="K446" s="562"/>
      <c r="L446" s="562"/>
      <c r="M446" s="562"/>
      <c r="N446" s="562"/>
      <c r="O446" s="562"/>
      <c r="P446" s="562"/>
      <c r="Q446" s="562"/>
      <c r="R446" s="562"/>
      <c r="S446" s="562"/>
      <c r="T446" s="562"/>
    </row>
    <row r="447" spans="1:20" s="560" customFormat="1" ht="19.5" customHeight="1">
      <c r="A447" s="561"/>
      <c r="B447" s="562"/>
      <c r="C447" s="562"/>
      <c r="D447" s="562"/>
      <c r="E447" s="562"/>
      <c r="F447" s="562"/>
      <c r="G447" s="562"/>
      <c r="H447" s="562"/>
      <c r="I447" s="562"/>
      <c r="J447" s="562"/>
      <c r="K447" s="562"/>
      <c r="L447" s="562"/>
      <c r="M447" s="562"/>
      <c r="N447" s="562"/>
      <c r="O447" s="562"/>
      <c r="P447" s="562"/>
      <c r="Q447" s="562"/>
      <c r="R447" s="562"/>
      <c r="S447" s="562"/>
      <c r="T447" s="562"/>
    </row>
    <row r="448" spans="1:20" s="560" customFormat="1" ht="19.5" customHeight="1">
      <c r="A448" s="561"/>
      <c r="B448" s="562"/>
      <c r="C448" s="562"/>
      <c r="D448" s="562"/>
      <c r="E448" s="562"/>
      <c r="F448" s="562"/>
      <c r="G448" s="562"/>
      <c r="H448" s="562"/>
      <c r="I448" s="562"/>
      <c r="J448" s="562"/>
      <c r="K448" s="562"/>
      <c r="L448" s="562"/>
      <c r="M448" s="562"/>
      <c r="N448" s="562"/>
      <c r="O448" s="562"/>
      <c r="P448" s="562"/>
      <c r="Q448" s="562"/>
      <c r="R448" s="562"/>
      <c r="S448" s="562"/>
      <c r="T448" s="562"/>
    </row>
    <row r="449" spans="1:20" s="560" customFormat="1" ht="19.5" customHeight="1">
      <c r="A449" s="561"/>
      <c r="B449" s="562"/>
      <c r="C449" s="562"/>
      <c r="D449" s="562"/>
      <c r="E449" s="562"/>
      <c r="F449" s="562"/>
      <c r="G449" s="562"/>
      <c r="H449" s="562"/>
      <c r="I449" s="562"/>
      <c r="J449" s="562"/>
      <c r="K449" s="562"/>
      <c r="L449" s="562"/>
      <c r="M449" s="562"/>
      <c r="N449" s="562"/>
      <c r="O449" s="562"/>
      <c r="P449" s="562"/>
      <c r="Q449" s="562"/>
      <c r="R449" s="562"/>
      <c r="S449" s="562"/>
      <c r="T449" s="562"/>
    </row>
    <row r="450" spans="1:20" s="560" customFormat="1" ht="19.5" customHeight="1">
      <c r="A450" s="561"/>
      <c r="B450" s="562"/>
      <c r="C450" s="562"/>
      <c r="D450" s="562"/>
      <c r="E450" s="562"/>
      <c r="F450" s="562"/>
      <c r="G450" s="562"/>
      <c r="H450" s="562"/>
      <c r="I450" s="562"/>
      <c r="J450" s="562"/>
      <c r="K450" s="562"/>
      <c r="L450" s="562"/>
      <c r="M450" s="562"/>
      <c r="N450" s="562"/>
      <c r="O450" s="562"/>
      <c r="P450" s="562"/>
      <c r="Q450" s="562"/>
      <c r="R450" s="562"/>
      <c r="S450" s="562"/>
      <c r="T450" s="562"/>
    </row>
    <row r="451" spans="1:20" s="560" customFormat="1" ht="19.5" customHeight="1">
      <c r="A451" s="561"/>
      <c r="B451" s="562"/>
      <c r="C451" s="562"/>
      <c r="D451" s="562"/>
      <c r="E451" s="562"/>
      <c r="F451" s="562"/>
      <c r="G451" s="562"/>
      <c r="H451" s="562"/>
      <c r="I451" s="562"/>
      <c r="J451" s="562"/>
      <c r="K451" s="562"/>
      <c r="L451" s="562"/>
      <c r="M451" s="562"/>
      <c r="N451" s="562"/>
      <c r="O451" s="562"/>
      <c r="P451" s="562"/>
      <c r="Q451" s="562"/>
      <c r="R451" s="562"/>
      <c r="S451" s="562"/>
      <c r="T451" s="562"/>
    </row>
    <row r="452" spans="1:20" s="560" customFormat="1" ht="19.5" customHeight="1">
      <c r="A452" s="561"/>
      <c r="B452" s="562"/>
      <c r="C452" s="562"/>
      <c r="D452" s="562"/>
      <c r="E452" s="562"/>
      <c r="F452" s="562"/>
      <c r="G452" s="562"/>
      <c r="H452" s="562"/>
      <c r="I452" s="562"/>
      <c r="J452" s="562"/>
      <c r="K452" s="562"/>
      <c r="L452" s="562"/>
      <c r="M452" s="562"/>
      <c r="N452" s="562"/>
      <c r="O452" s="562"/>
      <c r="P452" s="562"/>
      <c r="Q452" s="562"/>
      <c r="R452" s="562"/>
      <c r="S452" s="562"/>
      <c r="T452" s="562"/>
    </row>
    <row r="453" ht="19.5" customHeight="1"/>
    <row r="454" ht="9.75" customHeight="1"/>
  </sheetData>
  <sheetProtection/>
  <mergeCells count="21">
    <mergeCell ref="A38:B38"/>
    <mergeCell ref="E13:H13"/>
    <mergeCell ref="C13:C15"/>
    <mergeCell ref="D13:D15"/>
    <mergeCell ref="A15:A16"/>
    <mergeCell ref="B15:B16"/>
    <mergeCell ref="T13:T14"/>
    <mergeCell ref="A13:B14"/>
    <mergeCell ref="M13:Q13"/>
    <mergeCell ref="A5:T5"/>
    <mergeCell ref="I13:K13"/>
    <mergeCell ref="A6:T6"/>
    <mergeCell ref="A7:T7"/>
    <mergeCell ref="R13:R14"/>
    <mergeCell ref="S13:S14"/>
    <mergeCell ref="A2:T2"/>
    <mergeCell ref="A3:T3"/>
    <mergeCell ref="A4:T4"/>
    <mergeCell ref="C9:T9"/>
    <mergeCell ref="A11:T11"/>
    <mergeCell ref="A12:T12"/>
  </mergeCells>
  <conditionalFormatting sqref="M15:P15 E15:F15 I16:L16 B18:L37">
    <cfRule type="cellIs" priority="87" dxfId="0" operator="equal">
      <formula>0</formula>
    </cfRule>
  </conditionalFormatting>
  <conditionalFormatting sqref="A15:B15">
    <cfRule type="cellIs" priority="79" dxfId="0" operator="equal">
      <formula>0</formula>
    </cfRule>
  </conditionalFormatting>
  <conditionalFormatting sqref="M18:R37 T18:T37">
    <cfRule type="cellIs" priority="82" dxfId="0" operator="equal">
      <formula>0</formula>
    </cfRule>
  </conditionalFormatting>
  <conditionalFormatting sqref="K15:L15">
    <cfRule type="cellIs" priority="81" dxfId="0" operator="equal">
      <formula>0</formula>
    </cfRule>
  </conditionalFormatting>
  <conditionalFormatting sqref="Q15:R15 T15">
    <cfRule type="cellIs" priority="48" dxfId="0" operator="equal">
      <formula>0</formula>
    </cfRule>
  </conditionalFormatting>
  <conditionalFormatting sqref="I15:J15">
    <cfRule type="cellIs" priority="47" dxfId="0" operator="equal">
      <formula>0</formula>
    </cfRule>
  </conditionalFormatting>
  <conditionalFormatting sqref="H15">
    <cfRule type="cellIs" priority="20" dxfId="0" operator="equal">
      <formula>0</formula>
    </cfRule>
  </conditionalFormatting>
  <conditionalFormatting sqref="E16:F16 H16">
    <cfRule type="cellIs" priority="16" dxfId="0" operator="equal">
      <formula>0</formula>
    </cfRule>
  </conditionalFormatting>
  <conditionalFormatting sqref="M16:R16 T16">
    <cfRule type="cellIs" priority="15" dxfId="0" operator="equal">
      <formula>0</formula>
    </cfRule>
  </conditionalFormatting>
  <conditionalFormatting sqref="C16:D16">
    <cfRule type="cellIs" priority="13" dxfId="0" operator="equal">
      <formula>0</formula>
    </cfRule>
  </conditionalFormatting>
  <conditionalFormatting sqref="G15">
    <cfRule type="cellIs" priority="5" dxfId="0" operator="equal">
      <formula>0</formula>
    </cfRule>
  </conditionalFormatting>
  <conditionalFormatting sqref="G16">
    <cfRule type="cellIs" priority="4" dxfId="0" operator="equal">
      <formula>0</formula>
    </cfRule>
  </conditionalFormatting>
  <conditionalFormatting sqref="S18:S37">
    <cfRule type="cellIs" priority="3" dxfId="0" operator="equal">
      <formula>0</formula>
    </cfRule>
  </conditionalFormatting>
  <conditionalFormatting sqref="S15">
    <cfRule type="cellIs" priority="2" dxfId="0" operator="equal">
      <formula>0</formula>
    </cfRule>
  </conditionalFormatting>
  <conditionalFormatting sqref="S16">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25" r:id="rId4"/>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IU39"/>
  <sheetViews>
    <sheetView view="pageBreakPreview" zoomScale="85" zoomScaleNormal="85" zoomScaleSheetLayoutView="85" zoomScalePageLayoutView="0" workbookViewId="0" topLeftCell="A4">
      <selection activeCell="P35" sqref="A1:P35"/>
    </sheetView>
  </sheetViews>
  <sheetFormatPr defaultColWidth="12.00390625" defaultRowHeight="12.75"/>
  <cols>
    <col min="1" max="1" width="8.28125" style="125" customWidth="1"/>
    <col min="2" max="2" width="29.421875" style="125" customWidth="1"/>
    <col min="3" max="3" width="12.28125" style="125" bestFit="1" customWidth="1"/>
    <col min="4" max="4" width="14.7109375" style="125" customWidth="1"/>
    <col min="5" max="16" width="12.7109375" style="125" customWidth="1"/>
    <col min="17" max="17" width="17.7109375" style="125" customWidth="1"/>
    <col min="18" max="251" width="9.140625" style="125" customWidth="1"/>
    <col min="252" max="252" width="8.28125" style="125" customWidth="1"/>
    <col min="253" max="253" width="31.140625" style="125" customWidth="1"/>
    <col min="254" max="254" width="8.140625" style="125" customWidth="1"/>
    <col min="255" max="255" width="12.00390625" style="125" customWidth="1"/>
    <col min="256" max="16384" width="12.00390625" style="89" customWidth="1"/>
  </cols>
  <sheetData>
    <row r="1" spans="1:16" ht="14.25">
      <c r="A1" s="957"/>
      <c r="B1" s="958"/>
      <c r="C1" s="958"/>
      <c r="D1" s="958"/>
      <c r="E1" s="958"/>
      <c r="F1" s="958"/>
      <c r="G1" s="958"/>
      <c r="H1" s="958"/>
      <c r="I1" s="958"/>
      <c r="J1" s="958"/>
      <c r="K1" s="958"/>
      <c r="L1" s="958"/>
      <c r="M1" s="958"/>
      <c r="N1" s="958"/>
      <c r="O1" s="958"/>
      <c r="P1" s="1343"/>
    </row>
    <row r="2" spans="1:16" ht="24.75" customHeight="1">
      <c r="A2" s="959"/>
      <c r="B2" s="960"/>
      <c r="C2" s="960"/>
      <c r="D2" s="960"/>
      <c r="E2" s="960"/>
      <c r="F2" s="960"/>
      <c r="G2" s="960"/>
      <c r="H2" s="960"/>
      <c r="I2" s="960"/>
      <c r="J2" s="960"/>
      <c r="K2" s="960"/>
      <c r="L2" s="960"/>
      <c r="M2" s="960"/>
      <c r="N2" s="960"/>
      <c r="O2" s="960"/>
      <c r="P2" s="1045"/>
    </row>
    <row r="3" spans="1:255" ht="16.5" customHeight="1">
      <c r="A3" s="959"/>
      <c r="B3" s="960"/>
      <c r="C3" s="960"/>
      <c r="D3" s="960"/>
      <c r="E3" s="960"/>
      <c r="F3" s="960"/>
      <c r="G3" s="960"/>
      <c r="H3" s="960"/>
      <c r="I3" s="960"/>
      <c r="J3" s="960"/>
      <c r="K3" s="960"/>
      <c r="L3" s="960"/>
      <c r="M3" s="960"/>
      <c r="N3" s="960"/>
      <c r="O3" s="960"/>
      <c r="P3" s="1045"/>
      <c r="Q3" s="570"/>
      <c r="R3" s="570"/>
      <c r="S3" s="570"/>
      <c r="T3" s="570"/>
      <c r="U3" s="570"/>
      <c r="V3" s="570"/>
      <c r="W3" s="570"/>
      <c r="X3" s="57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row>
    <row r="4" spans="1:255" ht="16.5" customHeight="1">
      <c r="A4" s="959"/>
      <c r="B4" s="960"/>
      <c r="C4" s="960"/>
      <c r="D4" s="960"/>
      <c r="E4" s="960"/>
      <c r="F4" s="960"/>
      <c r="G4" s="960"/>
      <c r="H4" s="960"/>
      <c r="I4" s="960"/>
      <c r="J4" s="960"/>
      <c r="K4" s="960"/>
      <c r="L4" s="960"/>
      <c r="M4" s="960"/>
      <c r="N4" s="960"/>
      <c r="O4" s="960"/>
      <c r="P4" s="1045"/>
      <c r="Q4" s="570"/>
      <c r="R4" s="570"/>
      <c r="S4" s="570"/>
      <c r="T4" s="570"/>
      <c r="U4" s="570"/>
      <c r="V4" s="570"/>
      <c r="W4" s="570"/>
      <c r="X4" s="57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row>
    <row r="5" spans="1:16" ht="24.75" customHeight="1">
      <c r="A5" s="970" t="s">
        <v>20</v>
      </c>
      <c r="B5" s="971"/>
      <c r="C5" s="971"/>
      <c r="D5" s="971"/>
      <c r="E5" s="971"/>
      <c r="F5" s="971"/>
      <c r="G5" s="971"/>
      <c r="H5" s="971"/>
      <c r="I5" s="971"/>
      <c r="J5" s="971"/>
      <c r="K5" s="971"/>
      <c r="L5" s="971"/>
      <c r="M5" s="971"/>
      <c r="N5" s="971"/>
      <c r="O5" s="971"/>
      <c r="P5" s="1344"/>
    </row>
    <row r="6" spans="1:255" ht="16.5">
      <c r="A6" s="972" t="s">
        <v>194</v>
      </c>
      <c r="B6" s="973"/>
      <c r="C6" s="973"/>
      <c r="D6" s="973"/>
      <c r="E6" s="973"/>
      <c r="F6" s="973"/>
      <c r="G6" s="973"/>
      <c r="H6" s="973"/>
      <c r="I6" s="973"/>
      <c r="J6" s="973"/>
      <c r="K6" s="973"/>
      <c r="L6" s="973"/>
      <c r="M6" s="973"/>
      <c r="N6" s="973"/>
      <c r="O6" s="973"/>
      <c r="P6" s="1345"/>
      <c r="Q6" s="570"/>
      <c r="R6" s="570"/>
      <c r="S6" s="570"/>
      <c r="T6" s="570"/>
      <c r="U6" s="570"/>
      <c r="V6" s="570"/>
      <c r="W6" s="570"/>
      <c r="X6" s="57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row>
    <row r="7" spans="1:255" ht="16.5">
      <c r="A7" s="974" t="s">
        <v>19</v>
      </c>
      <c r="B7" s="975"/>
      <c r="C7" s="975"/>
      <c r="D7" s="975"/>
      <c r="E7" s="975"/>
      <c r="F7" s="975"/>
      <c r="G7" s="975"/>
      <c r="H7" s="975"/>
      <c r="I7" s="975"/>
      <c r="J7" s="975"/>
      <c r="K7" s="975"/>
      <c r="L7" s="975"/>
      <c r="M7" s="975"/>
      <c r="N7" s="975"/>
      <c r="O7" s="975"/>
      <c r="P7" s="988"/>
      <c r="Q7" s="570"/>
      <c r="R7" s="570"/>
      <c r="S7" s="570"/>
      <c r="T7" s="570"/>
      <c r="U7" s="570"/>
      <c r="V7" s="570"/>
      <c r="W7" s="570"/>
      <c r="X7" s="57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c r="IT7" s="130"/>
      <c r="IU7" s="130"/>
    </row>
    <row r="8" spans="1:255" ht="16.5">
      <c r="A8" s="974"/>
      <c r="B8" s="975"/>
      <c r="C8" s="975"/>
      <c r="D8" s="975"/>
      <c r="E8" s="975"/>
      <c r="F8" s="975"/>
      <c r="G8" s="975"/>
      <c r="H8" s="975"/>
      <c r="I8" s="975"/>
      <c r="J8" s="975"/>
      <c r="K8" s="975"/>
      <c r="L8" s="975"/>
      <c r="M8" s="975"/>
      <c r="N8" s="975"/>
      <c r="O8" s="975"/>
      <c r="P8" s="988"/>
      <c r="Q8" s="570"/>
      <c r="R8" s="570"/>
      <c r="S8" s="570"/>
      <c r="T8" s="570"/>
      <c r="U8" s="570"/>
      <c r="V8" s="570"/>
      <c r="W8" s="570"/>
      <c r="X8" s="57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c r="IR8" s="130"/>
      <c r="IS8" s="130"/>
      <c r="IT8" s="130"/>
      <c r="IU8" s="130"/>
    </row>
    <row r="9" spans="1:24" ht="38.25" customHeight="1">
      <c r="A9" s="621" t="s">
        <v>691</v>
      </c>
      <c r="B9" s="976" t="str">
        <f>'ORÇAMENTO GERAL'!D9</f>
        <v>EXECUÇÃO DOS SERVIÇOS DE DRENAGEM URBANA E TERRAPLENAGEM NA NS. DO CARMO, PASS. KENEDY, PASS. UBIRATAN MACIEL E PASS. ALEGRE - BAIRRO COQUEIRO  - NO MUNICÍPIO DE ANANINDEUA - PA.</v>
      </c>
      <c r="C9" s="977"/>
      <c r="D9" s="977"/>
      <c r="E9" s="977"/>
      <c r="F9" s="977"/>
      <c r="G9" s="977"/>
      <c r="H9" s="977"/>
      <c r="I9" s="977"/>
      <c r="J9" s="977"/>
      <c r="K9" s="977"/>
      <c r="L9" s="977"/>
      <c r="M9" s="977"/>
      <c r="N9" s="977"/>
      <c r="O9" s="977"/>
      <c r="P9" s="1346"/>
      <c r="Q9" s="341"/>
      <c r="R9" s="341"/>
      <c r="S9" s="341"/>
      <c r="T9" s="341"/>
      <c r="U9" s="341"/>
      <c r="V9" s="341"/>
      <c r="W9" s="341"/>
      <c r="X9" s="341"/>
    </row>
    <row r="10" spans="1:255" ht="15" thickBot="1">
      <c r="A10" s="986"/>
      <c r="B10" s="987"/>
      <c r="C10" s="987"/>
      <c r="D10" s="987"/>
      <c r="E10" s="987"/>
      <c r="F10" s="987"/>
      <c r="G10" s="987"/>
      <c r="H10" s="987"/>
      <c r="I10" s="987"/>
      <c r="J10" s="987"/>
      <c r="K10" s="987"/>
      <c r="L10" s="987"/>
      <c r="M10" s="987"/>
      <c r="N10" s="987"/>
      <c r="O10" s="987"/>
      <c r="P10" s="1347"/>
      <c r="Q10" s="570"/>
      <c r="R10" s="570"/>
      <c r="S10" s="570"/>
      <c r="T10" s="570"/>
      <c r="U10" s="570"/>
      <c r="V10" s="570"/>
      <c r="W10" s="570"/>
      <c r="X10" s="57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row>
    <row r="11" spans="1:255" ht="29.25" customHeight="1" thickBot="1" thickTop="1">
      <c r="A11" s="961" t="s">
        <v>214</v>
      </c>
      <c r="B11" s="962"/>
      <c r="C11" s="962"/>
      <c r="D11" s="962"/>
      <c r="E11" s="962"/>
      <c r="F11" s="962"/>
      <c r="G11" s="962"/>
      <c r="H11" s="962"/>
      <c r="I11" s="962"/>
      <c r="J11" s="962"/>
      <c r="K11" s="962"/>
      <c r="L11" s="962"/>
      <c r="M11" s="962"/>
      <c r="N11" s="962"/>
      <c r="O11" s="962"/>
      <c r="P11" s="1348"/>
      <c r="Q11" s="570"/>
      <c r="R11" s="570"/>
      <c r="S11" s="570"/>
      <c r="T11" s="570"/>
      <c r="U11" s="570"/>
      <c r="V11" s="570"/>
      <c r="W11" s="570"/>
      <c r="X11" s="57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row>
    <row r="12" spans="1:24" ht="7.5" customHeight="1" thickTop="1">
      <c r="A12" s="963"/>
      <c r="B12" s="964"/>
      <c r="C12" s="964"/>
      <c r="D12" s="964"/>
      <c r="E12" s="964"/>
      <c r="F12" s="964"/>
      <c r="G12" s="964"/>
      <c r="H12" s="964"/>
      <c r="I12" s="964"/>
      <c r="J12" s="964"/>
      <c r="K12" s="964"/>
      <c r="L12" s="964"/>
      <c r="M12" s="964"/>
      <c r="N12" s="964"/>
      <c r="O12" s="964"/>
      <c r="P12" s="1349"/>
      <c r="Q12" s="341"/>
      <c r="R12" s="341"/>
      <c r="S12" s="341"/>
      <c r="T12" s="341"/>
      <c r="U12" s="341"/>
      <c r="V12" s="341"/>
      <c r="W12" s="341"/>
      <c r="X12" s="341"/>
    </row>
    <row r="13" spans="1:24" ht="3" customHeight="1" thickBot="1">
      <c r="A13" s="963"/>
      <c r="B13" s="964"/>
      <c r="C13" s="964"/>
      <c r="D13" s="964"/>
      <c r="E13" s="964"/>
      <c r="F13" s="964"/>
      <c r="G13" s="964"/>
      <c r="H13" s="964"/>
      <c r="I13" s="964"/>
      <c r="J13" s="964"/>
      <c r="K13" s="964"/>
      <c r="L13" s="964"/>
      <c r="M13" s="964"/>
      <c r="N13" s="964"/>
      <c r="O13" s="964"/>
      <c r="P13" s="1349"/>
      <c r="Q13" s="341"/>
      <c r="R13" s="341"/>
      <c r="S13" s="341"/>
      <c r="T13" s="341"/>
      <c r="U13" s="341"/>
      <c r="V13" s="341"/>
      <c r="W13" s="341"/>
      <c r="X13" s="341"/>
    </row>
    <row r="14" spans="1:255" s="293" customFormat="1" ht="23.25" customHeight="1" thickBot="1">
      <c r="A14" s="989" t="s">
        <v>7</v>
      </c>
      <c r="B14" s="990" t="s">
        <v>215</v>
      </c>
      <c r="C14" s="990" t="s">
        <v>216</v>
      </c>
      <c r="D14" s="993" t="s">
        <v>217</v>
      </c>
      <c r="E14" s="965" t="s">
        <v>218</v>
      </c>
      <c r="F14" s="966"/>
      <c r="G14" s="966"/>
      <c r="H14" s="966"/>
      <c r="I14" s="966"/>
      <c r="J14" s="966"/>
      <c r="K14" s="966"/>
      <c r="L14" s="966"/>
      <c r="M14" s="966"/>
      <c r="N14" s="966"/>
      <c r="O14" s="966"/>
      <c r="P14" s="967"/>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c r="IT14" s="130"/>
      <c r="IU14" s="130"/>
    </row>
    <row r="15" spans="1:255" s="293" customFormat="1" ht="23.25" customHeight="1">
      <c r="A15" s="979"/>
      <c r="B15" s="991" t="s">
        <v>215</v>
      </c>
      <c r="C15" s="991" t="s">
        <v>219</v>
      </c>
      <c r="D15" s="994"/>
      <c r="E15" s="992">
        <v>1</v>
      </c>
      <c r="F15" s="969"/>
      <c r="G15" s="968">
        <v>2</v>
      </c>
      <c r="H15" s="969"/>
      <c r="I15" s="968">
        <v>3</v>
      </c>
      <c r="J15" s="969"/>
      <c r="K15" s="968">
        <v>4</v>
      </c>
      <c r="L15" s="969"/>
      <c r="M15" s="968">
        <v>5</v>
      </c>
      <c r="N15" s="969"/>
      <c r="O15" s="968">
        <v>6</v>
      </c>
      <c r="P15" s="969"/>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c r="IR15" s="130"/>
      <c r="IS15" s="130"/>
      <c r="IT15" s="130"/>
      <c r="IU15" s="130"/>
    </row>
    <row r="16" spans="1:16" ht="14.25">
      <c r="A16" s="979"/>
      <c r="B16" s="991"/>
      <c r="C16" s="991"/>
      <c r="D16" s="994"/>
      <c r="E16" s="572" t="s">
        <v>219</v>
      </c>
      <c r="F16" s="573" t="s">
        <v>220</v>
      </c>
      <c r="G16" s="574" t="s">
        <v>219</v>
      </c>
      <c r="H16" s="573" t="s">
        <v>220</v>
      </c>
      <c r="I16" s="574" t="s">
        <v>219</v>
      </c>
      <c r="J16" s="573" t="s">
        <v>220</v>
      </c>
      <c r="K16" s="574" t="s">
        <v>219</v>
      </c>
      <c r="L16" s="573" t="s">
        <v>220</v>
      </c>
      <c r="M16" s="574" t="s">
        <v>219</v>
      </c>
      <c r="N16" s="573" t="s">
        <v>220</v>
      </c>
      <c r="O16" s="574" t="s">
        <v>219</v>
      </c>
      <c r="P16" s="573" t="s">
        <v>220</v>
      </c>
    </row>
    <row r="17" spans="1:17" ht="30" customHeight="1">
      <c r="A17" s="979">
        <f>'ORÇAMENTO GERAL'!C16</f>
        <v>1</v>
      </c>
      <c r="B17" s="985" t="str">
        <f>'ORÇAMENTO GERAL'!D16</f>
        <v>SERVIÇOS PRELIMINARES</v>
      </c>
      <c r="C17" s="981">
        <f>D17/$D$34</f>
        <v>0.006</v>
      </c>
      <c r="D17" s="983">
        <f>'ORÇAMENTO GERAL'!K22</f>
        <v>11513.59</v>
      </c>
      <c r="E17" s="576">
        <v>0.25</v>
      </c>
      <c r="F17" s="577">
        <f>ROUND($D17*E17,2)</f>
        <v>2878.4</v>
      </c>
      <c r="G17" s="578">
        <v>0.15</v>
      </c>
      <c r="H17" s="577">
        <f>ROUND($D17*G17,2)</f>
        <v>1727.04</v>
      </c>
      <c r="I17" s="578">
        <v>0.15</v>
      </c>
      <c r="J17" s="577">
        <f>ROUND($D17*I17,2)</f>
        <v>1727.04</v>
      </c>
      <c r="K17" s="578">
        <v>0.15</v>
      </c>
      <c r="L17" s="577">
        <f>ROUND($D17*K17,2)</f>
        <v>1727.04</v>
      </c>
      <c r="M17" s="578">
        <v>0.15</v>
      </c>
      <c r="N17" s="577">
        <f>ROUND($D17*M17,2)</f>
        <v>1727.04</v>
      </c>
      <c r="O17" s="578">
        <v>0.15</v>
      </c>
      <c r="P17" s="577">
        <f>ROUND($D17*O17,2)</f>
        <v>1727.04</v>
      </c>
      <c r="Q17" s="579">
        <f>E17+G17+I17+K17+M17+O17</f>
        <v>1</v>
      </c>
    </row>
    <row r="18" spans="1:17" ht="6" customHeight="1">
      <c r="A18" s="979"/>
      <c r="B18" s="985"/>
      <c r="C18" s="981"/>
      <c r="D18" s="983"/>
      <c r="E18" s="580"/>
      <c r="F18" s="581"/>
      <c r="G18" s="582"/>
      <c r="H18" s="581"/>
      <c r="I18" s="583"/>
      <c r="J18" s="581"/>
      <c r="K18" s="583"/>
      <c r="L18" s="581"/>
      <c r="M18" s="583"/>
      <c r="N18" s="581"/>
      <c r="O18" s="583"/>
      <c r="P18" s="581"/>
      <c r="Q18" s="579">
        <f aca="true" t="shared" si="0" ref="Q18:Q32">E18+G18+I18+K18+M18+O18</f>
        <v>0</v>
      </c>
    </row>
    <row r="19" spans="1:17" ht="30" customHeight="1">
      <c r="A19" s="979">
        <f>'ORÇAMENTO GERAL'!C23</f>
        <v>2</v>
      </c>
      <c r="B19" s="985" t="str">
        <f>'ORÇAMENTO GERAL'!D23</f>
        <v>DEMOLIÇÕES E RETIRADAS</v>
      </c>
      <c r="C19" s="981">
        <f>D19/$D$34</f>
        <v>0.0073</v>
      </c>
      <c r="D19" s="983">
        <f>'ORÇAMENTO GERAL'!K26</f>
        <v>13986.58</v>
      </c>
      <c r="E19" s="576"/>
      <c r="F19" s="577"/>
      <c r="G19" s="578">
        <v>0.3</v>
      </c>
      <c r="H19" s="577">
        <f>ROUND($D19*G19,2)</f>
        <v>4195.97</v>
      </c>
      <c r="I19" s="578">
        <v>0.3</v>
      </c>
      <c r="J19" s="577">
        <f>ROUND($D19*I19,2)</f>
        <v>4195.97</v>
      </c>
      <c r="K19" s="578">
        <v>0.2</v>
      </c>
      <c r="L19" s="577">
        <f>ROUND($D19*K19,2)</f>
        <v>2797.32</v>
      </c>
      <c r="M19" s="578">
        <v>0.2</v>
      </c>
      <c r="N19" s="577">
        <f>ROUND($D19*M19,2)</f>
        <v>2797.32</v>
      </c>
      <c r="O19" s="578"/>
      <c r="P19" s="577"/>
      <c r="Q19" s="579">
        <f t="shared" si="0"/>
        <v>1</v>
      </c>
    </row>
    <row r="20" spans="1:17" ht="6" customHeight="1">
      <c r="A20" s="979"/>
      <c r="B20" s="985"/>
      <c r="C20" s="981"/>
      <c r="D20" s="983"/>
      <c r="E20" s="585"/>
      <c r="F20" s="577"/>
      <c r="G20" s="582"/>
      <c r="H20" s="581"/>
      <c r="I20" s="583"/>
      <c r="J20" s="581"/>
      <c r="K20" s="583"/>
      <c r="L20" s="581"/>
      <c r="M20" s="583"/>
      <c r="N20" s="581"/>
      <c r="O20" s="715"/>
      <c r="P20" s="577"/>
      <c r="Q20" s="579">
        <f t="shared" si="0"/>
        <v>0</v>
      </c>
    </row>
    <row r="21" spans="1:17" ht="30" customHeight="1">
      <c r="A21" s="979">
        <f>'ORÇAMENTO GERAL'!C27</f>
        <v>3</v>
      </c>
      <c r="B21" s="985" t="str">
        <f>'ORÇAMENTO GERAL'!D27</f>
        <v>DISPOSITIVOS DE DRENAGEM SUPERFICIAL</v>
      </c>
      <c r="C21" s="981">
        <f>D21/$D$34</f>
        <v>0.1557</v>
      </c>
      <c r="D21" s="983">
        <f>'ORÇAMENTO GERAL'!K33</f>
        <v>298970.65</v>
      </c>
      <c r="E21" s="576"/>
      <c r="F21" s="577">
        <f>ROUND($D21*E21,2)</f>
        <v>0</v>
      </c>
      <c r="G21" s="584">
        <v>0.3</v>
      </c>
      <c r="H21" s="577">
        <f>ROUND($D21*G21,2)</f>
        <v>89691.2</v>
      </c>
      <c r="I21" s="584">
        <v>0.3</v>
      </c>
      <c r="J21" s="577">
        <f>ROUND($D21*I21,2)</f>
        <v>89691.2</v>
      </c>
      <c r="K21" s="584">
        <v>0.2</v>
      </c>
      <c r="L21" s="577">
        <f>ROUND($D21*K21,2)</f>
        <v>59794.13</v>
      </c>
      <c r="M21" s="584">
        <v>0.2</v>
      </c>
      <c r="N21" s="577">
        <f>ROUND($D21*M21,2)</f>
        <v>59794.13</v>
      </c>
      <c r="O21" s="584"/>
      <c r="P21" s="577">
        <f>ROUND($D21*O21,2)</f>
        <v>0</v>
      </c>
      <c r="Q21" s="579">
        <f t="shared" si="0"/>
        <v>1</v>
      </c>
    </row>
    <row r="22" spans="1:17" ht="6" customHeight="1">
      <c r="A22" s="979"/>
      <c r="B22" s="985"/>
      <c r="C22" s="981"/>
      <c r="D22" s="983"/>
      <c r="E22" s="576"/>
      <c r="F22" s="577"/>
      <c r="G22" s="582"/>
      <c r="H22" s="581"/>
      <c r="I22" s="583"/>
      <c r="J22" s="581"/>
      <c r="K22" s="583"/>
      <c r="L22" s="581"/>
      <c r="M22" s="583"/>
      <c r="N22" s="581"/>
      <c r="O22" s="715"/>
      <c r="P22" s="577"/>
      <c r="Q22" s="579">
        <f t="shared" si="0"/>
        <v>0</v>
      </c>
    </row>
    <row r="23" spans="1:17" ht="30" customHeight="1">
      <c r="A23" s="979">
        <f>'ORÇAMENTO GERAL'!C34</f>
        <v>4</v>
      </c>
      <c r="B23" s="985" t="str">
        <f>'ORÇAMENTO GERAL'!F34</f>
        <v>DISPOSITIVOS DE DRENAGEM PROFUNDA</v>
      </c>
      <c r="C23" s="981">
        <f>D23/$D$34</f>
        <v>0.4253</v>
      </c>
      <c r="D23" s="983">
        <f>'ORÇAMENTO GERAL'!K105</f>
        <v>816900.69</v>
      </c>
      <c r="E23" s="576">
        <v>0.3</v>
      </c>
      <c r="F23" s="577">
        <f>ROUND($D23*E23,2)</f>
        <v>245070.21</v>
      </c>
      <c r="G23" s="584">
        <v>0.3</v>
      </c>
      <c r="H23" s="577">
        <f>ROUND($D23*G23,2)</f>
        <v>245070.21</v>
      </c>
      <c r="I23" s="584">
        <v>0.2</v>
      </c>
      <c r="J23" s="577">
        <f>ROUND($D23*I23,2)</f>
        <v>163380.14</v>
      </c>
      <c r="K23" s="584">
        <v>0.2</v>
      </c>
      <c r="L23" s="577">
        <f>ROUND($D23*K23,2)</f>
        <v>163380.14</v>
      </c>
      <c r="M23" s="584"/>
      <c r="N23" s="577"/>
      <c r="O23" s="584"/>
      <c r="P23" s="577"/>
      <c r="Q23" s="579">
        <f t="shared" si="0"/>
        <v>1</v>
      </c>
    </row>
    <row r="24" spans="1:17" ht="6" customHeight="1">
      <c r="A24" s="979"/>
      <c r="B24" s="985"/>
      <c r="C24" s="981"/>
      <c r="D24" s="983"/>
      <c r="E24" s="580"/>
      <c r="F24" s="581"/>
      <c r="G24" s="582"/>
      <c r="H24" s="581"/>
      <c r="I24" s="583"/>
      <c r="J24" s="581"/>
      <c r="K24" s="583"/>
      <c r="L24" s="581"/>
      <c r="M24" s="715"/>
      <c r="N24" s="577"/>
      <c r="O24" s="715"/>
      <c r="P24" s="577"/>
      <c r="Q24" s="579">
        <f t="shared" si="0"/>
        <v>0</v>
      </c>
    </row>
    <row r="25" spans="1:17" ht="30" customHeight="1">
      <c r="A25" s="979">
        <f>'ORÇAMENTO GERAL'!C106</f>
        <v>5</v>
      </c>
      <c r="B25" s="985" t="str">
        <f>'ORÇAMENTO GERAL'!F106</f>
        <v>SERVIÇOS DE TERRAPLENAGEM</v>
      </c>
      <c r="C25" s="981">
        <f>D25/$D$34</f>
        <v>0.1085</v>
      </c>
      <c r="D25" s="983">
        <f>'ORÇAMENTO GERAL'!K111</f>
        <v>208347.26</v>
      </c>
      <c r="E25" s="576"/>
      <c r="F25" s="577">
        <f>ROUND($D25*E25,2)</f>
        <v>0</v>
      </c>
      <c r="G25" s="578">
        <v>0.2</v>
      </c>
      <c r="H25" s="577">
        <f>ROUND($D25*G25,2)</f>
        <v>41669.45</v>
      </c>
      <c r="I25" s="578">
        <v>0.2</v>
      </c>
      <c r="J25" s="577">
        <f>ROUND($D25*I25,2)</f>
        <v>41669.45</v>
      </c>
      <c r="K25" s="578">
        <v>0.2</v>
      </c>
      <c r="L25" s="577">
        <f>ROUND($D25*K25,2)</f>
        <v>41669.45</v>
      </c>
      <c r="M25" s="578">
        <v>0.2</v>
      </c>
      <c r="N25" s="577">
        <f>ROUND($D25*M25,2)</f>
        <v>41669.45</v>
      </c>
      <c r="O25" s="578">
        <v>0.2</v>
      </c>
      <c r="P25" s="577">
        <f>ROUND($D25*O25,2)</f>
        <v>41669.45</v>
      </c>
      <c r="Q25" s="579">
        <f t="shared" si="0"/>
        <v>1</v>
      </c>
    </row>
    <row r="26" spans="1:17" ht="6" customHeight="1">
      <c r="A26" s="979"/>
      <c r="B26" s="985"/>
      <c r="C26" s="981"/>
      <c r="D26" s="983"/>
      <c r="E26" s="585"/>
      <c r="F26" s="577"/>
      <c r="G26" s="582"/>
      <c r="H26" s="581"/>
      <c r="I26" s="583"/>
      <c r="J26" s="581"/>
      <c r="K26" s="583"/>
      <c r="L26" s="581"/>
      <c r="M26" s="583"/>
      <c r="N26" s="581"/>
      <c r="O26" s="583"/>
      <c r="P26" s="581"/>
      <c r="Q26" s="579">
        <f t="shared" si="0"/>
        <v>0</v>
      </c>
    </row>
    <row r="27" spans="1:17" ht="30" customHeight="1">
      <c r="A27" s="979">
        <f>'ORÇAMENTO GERAL'!C112</f>
        <v>6</v>
      </c>
      <c r="B27" s="985" t="str">
        <f>'ORÇAMENTO GERAL'!F112</f>
        <v>SERVIÇOS DE CAIXA PRIMÁRIA</v>
      </c>
      <c r="C27" s="981">
        <f>D27/$D$34</f>
        <v>0.2855</v>
      </c>
      <c r="D27" s="983">
        <f>'ORÇAMENTO GERAL'!K121</f>
        <v>548384.44</v>
      </c>
      <c r="E27" s="576"/>
      <c r="F27" s="577">
        <f>ROUND($D27*E27,2)</f>
        <v>0</v>
      </c>
      <c r="G27" s="584">
        <v>0.2</v>
      </c>
      <c r="H27" s="577">
        <f>ROUND($D27*G27,2)</f>
        <v>109676.89</v>
      </c>
      <c r="I27" s="584">
        <v>0.2</v>
      </c>
      <c r="J27" s="577">
        <f>ROUND($D27*I27,2)</f>
        <v>109676.89</v>
      </c>
      <c r="K27" s="584">
        <v>0.2</v>
      </c>
      <c r="L27" s="577">
        <f>ROUND($D27*K27,2)</f>
        <v>109676.89</v>
      </c>
      <c r="M27" s="584">
        <v>0.2</v>
      </c>
      <c r="N27" s="577">
        <f>ROUND($D27*M27,2)</f>
        <v>109676.89</v>
      </c>
      <c r="O27" s="584">
        <v>0.2</v>
      </c>
      <c r="P27" s="577">
        <f>ROUND($D27*O27,2)</f>
        <v>109676.89</v>
      </c>
      <c r="Q27" s="579">
        <f t="shared" si="0"/>
        <v>1</v>
      </c>
    </row>
    <row r="28" spans="1:17" ht="6" customHeight="1">
      <c r="A28" s="979"/>
      <c r="B28" s="985"/>
      <c r="C28" s="981"/>
      <c r="D28" s="983"/>
      <c r="E28" s="576"/>
      <c r="F28" s="577"/>
      <c r="G28" s="582"/>
      <c r="H28" s="581"/>
      <c r="I28" s="583"/>
      <c r="J28" s="581"/>
      <c r="K28" s="583"/>
      <c r="L28" s="581"/>
      <c r="M28" s="583"/>
      <c r="N28" s="581"/>
      <c r="O28" s="583"/>
      <c r="P28" s="581"/>
      <c r="Q28" s="579">
        <f t="shared" si="0"/>
        <v>0</v>
      </c>
    </row>
    <row r="29" spans="1:17" ht="30" customHeight="1" hidden="1">
      <c r="A29" s="979">
        <f>'ORÇAMENTO GERAL'!C122</f>
        <v>7</v>
      </c>
      <c r="B29" s="985" t="str">
        <f>'ORÇAMENTO GERAL'!F122</f>
        <v>SERVIÇOS DE REVESTIMENTO</v>
      </c>
      <c r="C29" s="981">
        <f>D29/$D$34</f>
        <v>0</v>
      </c>
      <c r="D29" s="983">
        <f>'ORÇAMENTO GERAL'!K131</f>
        <v>0</v>
      </c>
      <c r="E29" s="576"/>
      <c r="F29" s="577">
        <f>ROUND($D29*E29,2)</f>
        <v>0</v>
      </c>
      <c r="G29" s="584"/>
      <c r="H29" s="577">
        <f>ROUND($D29*G29,2)</f>
        <v>0</v>
      </c>
      <c r="I29" s="584">
        <v>0.4</v>
      </c>
      <c r="J29" s="577">
        <f>ROUND($D29*I29,2)</f>
        <v>0</v>
      </c>
      <c r="K29" s="584">
        <v>0.3</v>
      </c>
      <c r="L29" s="577">
        <f>ROUND($D29*K29,2)</f>
        <v>0</v>
      </c>
      <c r="M29" s="584">
        <v>0.15</v>
      </c>
      <c r="N29" s="577">
        <f>ROUND($D29*M29,2)</f>
        <v>0</v>
      </c>
      <c r="O29" s="584">
        <v>0.15</v>
      </c>
      <c r="P29" s="577">
        <f>ROUND($D29*O29,2)</f>
        <v>0</v>
      </c>
      <c r="Q29" s="579">
        <f t="shared" si="0"/>
        <v>1</v>
      </c>
    </row>
    <row r="30" spans="1:17" ht="6" customHeight="1" hidden="1">
      <c r="A30" s="979"/>
      <c r="B30" s="985"/>
      <c r="C30" s="981"/>
      <c r="D30" s="983"/>
      <c r="E30" s="586"/>
      <c r="F30" s="587"/>
      <c r="G30" s="588"/>
      <c r="H30" s="587"/>
      <c r="I30" s="589"/>
      <c r="J30" s="590"/>
      <c r="K30" s="589"/>
      <c r="L30" s="590"/>
      <c r="M30" s="589"/>
      <c r="N30" s="590"/>
      <c r="O30" s="589"/>
      <c r="P30" s="590"/>
      <c r="Q30" s="579">
        <f t="shared" si="0"/>
        <v>0</v>
      </c>
    </row>
    <row r="31" spans="1:17" ht="30" customHeight="1">
      <c r="A31" s="979">
        <v>7</v>
      </c>
      <c r="B31" s="985" t="str">
        <f>'ORÇAMENTO GERAL'!F140</f>
        <v>LIMPEZA FINAL</v>
      </c>
      <c r="C31" s="981">
        <f>D31/$D$34</f>
        <v>0.0118</v>
      </c>
      <c r="D31" s="983">
        <f>'ORÇAMENTO GERAL'!K142</f>
        <v>22613.31</v>
      </c>
      <c r="E31" s="576"/>
      <c r="F31" s="577">
        <f>ROUND($D31*E31,2)</f>
        <v>0</v>
      </c>
      <c r="G31" s="584"/>
      <c r="H31" s="577">
        <f>ROUND($D31*G31,2)</f>
        <v>0</v>
      </c>
      <c r="I31" s="584"/>
      <c r="J31" s="577"/>
      <c r="K31" s="584"/>
      <c r="L31" s="577"/>
      <c r="M31" s="584">
        <v>0.5</v>
      </c>
      <c r="N31" s="577">
        <f>ROUND($D31*M31,2)</f>
        <v>11306.66</v>
      </c>
      <c r="O31" s="584">
        <v>0.5</v>
      </c>
      <c r="P31" s="577">
        <f>ROUND($D31*O31,2)</f>
        <v>11306.66</v>
      </c>
      <c r="Q31" s="579">
        <f t="shared" si="0"/>
        <v>1</v>
      </c>
    </row>
    <row r="32" spans="1:17" ht="6" customHeight="1">
      <c r="A32" s="979"/>
      <c r="B32" s="985"/>
      <c r="C32" s="981"/>
      <c r="D32" s="983"/>
      <c r="E32" s="586"/>
      <c r="F32" s="587"/>
      <c r="G32" s="588"/>
      <c r="H32" s="587"/>
      <c r="I32" s="588"/>
      <c r="J32" s="587"/>
      <c r="K32" s="588"/>
      <c r="L32" s="587"/>
      <c r="M32" s="589"/>
      <c r="N32" s="590"/>
      <c r="O32" s="589"/>
      <c r="P32" s="590"/>
      <c r="Q32" s="579">
        <f t="shared" si="0"/>
        <v>0</v>
      </c>
    </row>
    <row r="33" spans="1:16" ht="14.25">
      <c r="A33" s="591"/>
      <c r="B33" s="592"/>
      <c r="C33" s="593"/>
      <c r="D33" s="594"/>
      <c r="E33" s="595"/>
      <c r="F33" s="596"/>
      <c r="G33" s="344"/>
      <c r="H33" s="596"/>
      <c r="I33" s="344"/>
      <c r="J33" s="596"/>
      <c r="K33" s="344"/>
      <c r="L33" s="596"/>
      <c r="M33" s="344"/>
      <c r="N33" s="596"/>
      <c r="O33" s="344"/>
      <c r="P33" s="596"/>
    </row>
    <row r="34" spans="1:16" ht="24.75" customHeight="1">
      <c r="A34" s="979" t="s">
        <v>24</v>
      </c>
      <c r="B34" s="571" t="s">
        <v>221</v>
      </c>
      <c r="C34" s="981">
        <f>ROUND(SUM(C17:C32),2)</f>
        <v>1</v>
      </c>
      <c r="D34" s="983">
        <f>ROUND(SUM(D17:D32),2)</f>
        <v>1920716.52</v>
      </c>
      <c r="E34" s="597">
        <f>F34/$D$34</f>
        <v>0.1291</v>
      </c>
      <c r="F34" s="575">
        <f>F17+F19+F21+F23+F25+F27+F29+F31</f>
        <v>247948.61</v>
      </c>
      <c r="G34" s="598">
        <f>H34/D34</f>
        <v>0.2562</v>
      </c>
      <c r="H34" s="575">
        <f>H17+H19+H21+H23+H25+H27+H29+H31</f>
        <v>492030.76</v>
      </c>
      <c r="I34" s="598">
        <f>J34/D34</f>
        <v>0.2136</v>
      </c>
      <c r="J34" s="575">
        <f>J17+J19+J21+J23+J25+J27+J29+J31</f>
        <v>410340.69</v>
      </c>
      <c r="K34" s="598">
        <f>L34/D34</f>
        <v>0.1973</v>
      </c>
      <c r="L34" s="575">
        <f>L17+L19+L21+L23+L25+L27+L29+L31</f>
        <v>379044.97</v>
      </c>
      <c r="M34" s="598">
        <f>N34/H34</f>
        <v>0.4613</v>
      </c>
      <c r="N34" s="575">
        <f>N17+N19+N21+N23+N25+N27+N29+N31</f>
        <v>226971.49</v>
      </c>
      <c r="O34" s="598">
        <f>P34/H34</f>
        <v>0.3341</v>
      </c>
      <c r="P34" s="575">
        <f>P17+P19+P21+P23+P25+P27+P29+P31</f>
        <v>164380.04</v>
      </c>
    </row>
    <row r="35" spans="1:16" ht="24.75" customHeight="1" thickBot="1">
      <c r="A35" s="980"/>
      <c r="B35" s="599" t="s">
        <v>222</v>
      </c>
      <c r="C35" s="982">
        <v>1</v>
      </c>
      <c r="D35" s="984">
        <v>528609.19</v>
      </c>
      <c r="E35" s="601">
        <f>F35/$D$34</f>
        <v>0.1291</v>
      </c>
      <c r="F35" s="600">
        <f>F34</f>
        <v>247948.61</v>
      </c>
      <c r="G35" s="602">
        <f>H35/$D$34</f>
        <v>0.3853</v>
      </c>
      <c r="H35" s="600">
        <f>F35+H34</f>
        <v>739979.37</v>
      </c>
      <c r="I35" s="602">
        <f>J35/$D$34</f>
        <v>0.5989</v>
      </c>
      <c r="J35" s="600">
        <f>H35+J34</f>
        <v>1150320.06</v>
      </c>
      <c r="K35" s="602">
        <f>L35/$D$34</f>
        <v>0.7962</v>
      </c>
      <c r="L35" s="600">
        <f>J35+L34</f>
        <v>1529365.03</v>
      </c>
      <c r="M35" s="602">
        <f>N35/$D$34</f>
        <v>0.9144</v>
      </c>
      <c r="N35" s="600">
        <f>L35+N34</f>
        <v>1756336.52</v>
      </c>
      <c r="O35" s="602">
        <f>P35/$D$34</f>
        <v>1</v>
      </c>
      <c r="P35" s="600">
        <f>N35+P34-0.04</f>
        <v>1920716.52</v>
      </c>
    </row>
    <row r="38" spans="2:16" ht="16.5">
      <c r="B38" s="635" t="s">
        <v>705</v>
      </c>
      <c r="C38" s="978" t="s">
        <v>706</v>
      </c>
      <c r="D38" s="978"/>
      <c r="E38" s="978"/>
      <c r="F38" s="978"/>
      <c r="G38" s="978"/>
      <c r="H38" s="978"/>
      <c r="I38" s="978"/>
      <c r="J38" s="978"/>
      <c r="K38" s="978"/>
      <c r="L38" s="978"/>
      <c r="M38" s="714"/>
      <c r="N38" s="714"/>
      <c r="O38" s="714"/>
      <c r="P38" s="714"/>
    </row>
    <row r="39" spans="2:16" ht="16.5">
      <c r="B39" s="634"/>
      <c r="C39" s="634"/>
      <c r="D39" s="634"/>
      <c r="E39" s="634"/>
      <c r="F39" s="634"/>
      <c r="G39" s="634"/>
      <c r="H39" s="634"/>
      <c r="I39" s="634"/>
      <c r="J39" s="634"/>
      <c r="K39" s="634"/>
      <c r="L39" s="634"/>
      <c r="M39" s="634"/>
      <c r="N39" s="634"/>
      <c r="O39" s="634"/>
      <c r="P39" s="634"/>
    </row>
  </sheetData>
  <sheetProtection/>
  <mergeCells count="56">
    <mergeCell ref="I15:J15"/>
    <mergeCell ref="A19:A20"/>
    <mergeCell ref="B19:B20"/>
    <mergeCell ref="G15:H15"/>
    <mergeCell ref="C19:C20"/>
    <mergeCell ref="D19:D20"/>
    <mergeCell ref="K15:L15"/>
    <mergeCell ref="A17:A18"/>
    <mergeCell ref="B17:B18"/>
    <mergeCell ref="C17:C18"/>
    <mergeCell ref="D17:D18"/>
    <mergeCell ref="A14:A16"/>
    <mergeCell ref="B14:B16"/>
    <mergeCell ref="C14:C16"/>
    <mergeCell ref="E15:F15"/>
    <mergeCell ref="D14:D16"/>
    <mergeCell ref="C29:C30"/>
    <mergeCell ref="A27:A28"/>
    <mergeCell ref="B27:B28"/>
    <mergeCell ref="C27:C28"/>
    <mergeCell ref="D21:D22"/>
    <mergeCell ref="A23:A24"/>
    <mergeCell ref="B23:B24"/>
    <mergeCell ref="C23:C24"/>
    <mergeCell ref="D23:D24"/>
    <mergeCell ref="A21:A22"/>
    <mergeCell ref="C31:C32"/>
    <mergeCell ref="B29:B30"/>
    <mergeCell ref="A10:P10"/>
    <mergeCell ref="A8:P8"/>
    <mergeCell ref="B21:B22"/>
    <mergeCell ref="C21:C22"/>
    <mergeCell ref="C25:C26"/>
    <mergeCell ref="B25:B26"/>
    <mergeCell ref="D27:D28"/>
    <mergeCell ref="A29:A30"/>
    <mergeCell ref="C38:L38"/>
    <mergeCell ref="A34:A35"/>
    <mergeCell ref="C34:C35"/>
    <mergeCell ref="D34:D35"/>
    <mergeCell ref="D31:D32"/>
    <mergeCell ref="A25:A26"/>
    <mergeCell ref="D29:D30"/>
    <mergeCell ref="D25:D26"/>
    <mergeCell ref="A31:A32"/>
    <mergeCell ref="B31:B32"/>
    <mergeCell ref="A1:P4"/>
    <mergeCell ref="A11:P11"/>
    <mergeCell ref="A12:P13"/>
    <mergeCell ref="E14:P14"/>
    <mergeCell ref="M15:N15"/>
    <mergeCell ref="O15:P15"/>
    <mergeCell ref="A5:P5"/>
    <mergeCell ref="A6:P6"/>
    <mergeCell ref="A7:P7"/>
    <mergeCell ref="B9:P9"/>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I37"/>
  <sheetViews>
    <sheetView view="pageBreakPreview" zoomScaleNormal="85" zoomScaleSheetLayoutView="100" zoomScalePageLayoutView="0" workbookViewId="0" topLeftCell="A5">
      <selection activeCell="G14" sqref="G14"/>
    </sheetView>
  </sheetViews>
  <sheetFormatPr defaultColWidth="9.140625" defaultRowHeight="12.75"/>
  <cols>
    <col min="1" max="1" width="9.28125" style="293" bestFit="1" customWidth="1"/>
    <col min="2" max="2" width="9.00390625" style="293" customWidth="1"/>
    <col min="3" max="3" width="56.7109375" style="293" customWidth="1"/>
    <col min="4" max="6" width="9.140625" style="293" customWidth="1"/>
    <col min="7" max="7" width="15.421875" style="293" bestFit="1" customWidth="1"/>
    <col min="8" max="16384" width="9.140625" style="293" customWidth="1"/>
  </cols>
  <sheetData>
    <row r="1" spans="1:7" s="275" customFormat="1" ht="15" customHeight="1">
      <c r="A1" s="1018"/>
      <c r="B1" s="1019"/>
      <c r="C1" s="1019"/>
      <c r="D1" s="1019"/>
      <c r="E1" s="1019"/>
      <c r="F1" s="1019"/>
      <c r="G1" s="1020"/>
    </row>
    <row r="2" spans="1:7" s="275" customFormat="1" ht="40.5" customHeight="1">
      <c r="A2" s="622"/>
      <c r="B2" s="623"/>
      <c r="C2" s="623"/>
      <c r="D2" s="623"/>
      <c r="E2" s="623"/>
      <c r="F2" s="623"/>
      <c r="G2" s="624"/>
    </row>
    <row r="3" spans="1:7" s="275" customFormat="1" ht="15" customHeight="1">
      <c r="A3" s="1021" t="s">
        <v>20</v>
      </c>
      <c r="B3" s="1022"/>
      <c r="C3" s="1022"/>
      <c r="D3" s="1022"/>
      <c r="E3" s="1022"/>
      <c r="F3" s="1022"/>
      <c r="G3" s="1023"/>
    </row>
    <row r="4" spans="1:7" s="275" customFormat="1" ht="15" customHeight="1">
      <c r="A4" s="1024" t="s">
        <v>194</v>
      </c>
      <c r="B4" s="1025"/>
      <c r="C4" s="1025"/>
      <c r="D4" s="1025"/>
      <c r="E4" s="1025"/>
      <c r="F4" s="1025"/>
      <c r="G4" s="1026"/>
    </row>
    <row r="5" spans="1:7" s="275" customFormat="1" ht="15" customHeight="1">
      <c r="A5" s="1024" t="s">
        <v>19</v>
      </c>
      <c r="B5" s="1025"/>
      <c r="C5" s="1025"/>
      <c r="D5" s="1025"/>
      <c r="E5" s="1025"/>
      <c r="F5" s="1025"/>
      <c r="G5" s="1026"/>
    </row>
    <row r="6" spans="1:7" s="277" customFormat="1" ht="13.5" customHeight="1">
      <c r="A6" s="1036"/>
      <c r="B6" s="1037"/>
      <c r="C6" s="1037"/>
      <c r="D6" s="1037"/>
      <c r="E6" s="1037"/>
      <c r="F6" s="1037"/>
      <c r="G6" s="1038"/>
    </row>
    <row r="7" spans="1:7" s="277" customFormat="1" ht="33" customHeight="1">
      <c r="A7" s="658" t="s">
        <v>691</v>
      </c>
      <c r="B7" s="1039" t="str">
        <f>'ORÇAMENTO GERAL'!D9</f>
        <v>EXECUÇÃO DOS SERVIÇOS DE DRENAGEM URBANA E TERRAPLENAGEM NA NS. DO CARMO, PASS. KENEDY, PASS. UBIRATAN MACIEL E PASS. ALEGRE - BAIRRO COQUEIRO  - NO MUNICÍPIO DE ANANINDEUA - PA.</v>
      </c>
      <c r="C7" s="1040"/>
      <c r="D7" s="1040"/>
      <c r="E7" s="1040"/>
      <c r="F7" s="1040"/>
      <c r="G7" s="1041"/>
    </row>
    <row r="8" spans="1:7" s="275" customFormat="1" ht="15" customHeight="1" thickBot="1">
      <c r="A8" s="1027"/>
      <c r="B8" s="1028"/>
      <c r="C8" s="1028"/>
      <c r="D8" s="1028"/>
      <c r="E8" s="1028"/>
      <c r="F8" s="1028"/>
      <c r="G8" s="1029"/>
    </row>
    <row r="9" spans="1:7" s="277" customFormat="1" ht="15" thickTop="1">
      <c r="A9" s="1030" t="s">
        <v>640</v>
      </c>
      <c r="B9" s="358" t="s">
        <v>193</v>
      </c>
      <c r="C9" s="1032" t="s">
        <v>686</v>
      </c>
      <c r="D9" s="1033"/>
      <c r="E9" s="1033"/>
      <c r="F9" s="1033"/>
      <c r="G9" s="361" t="s">
        <v>688</v>
      </c>
    </row>
    <row r="10" spans="1:7" s="277" customFormat="1" ht="15" thickBot="1">
      <c r="A10" s="1031"/>
      <c r="B10" s="359">
        <v>44866</v>
      </c>
      <c r="C10" s="1034"/>
      <c r="D10" s="1035"/>
      <c r="E10" s="1035"/>
      <c r="F10" s="1035"/>
      <c r="G10" s="362" t="s">
        <v>309</v>
      </c>
    </row>
    <row r="11" spans="1:7" s="277" customFormat="1" ht="11.25" customHeight="1" thickTop="1">
      <c r="A11" s="1004"/>
      <c r="B11" s="1005"/>
      <c r="C11" s="1005"/>
      <c r="D11" s="1005"/>
      <c r="E11" s="1005"/>
      <c r="F11" s="1005"/>
      <c r="G11" s="1006"/>
    </row>
    <row r="12" spans="1:7" s="208" customFormat="1" ht="19.5" customHeight="1">
      <c r="A12" s="263" t="s">
        <v>39</v>
      </c>
      <c r="B12" s="264" t="s">
        <v>282</v>
      </c>
      <c r="C12" s="265" t="s">
        <v>40</v>
      </c>
      <c r="D12" s="264" t="s">
        <v>41</v>
      </c>
      <c r="E12" s="265" t="s">
        <v>158</v>
      </c>
      <c r="F12" s="266" t="s">
        <v>42</v>
      </c>
      <c r="G12" s="267" t="s">
        <v>43</v>
      </c>
    </row>
    <row r="13" spans="1:7" s="277" customFormat="1" ht="19.5" customHeight="1">
      <c r="A13" s="1007" t="s">
        <v>38</v>
      </c>
      <c r="B13" s="1008"/>
      <c r="C13" s="1008"/>
      <c r="D13" s="1008"/>
      <c r="E13" s="1008"/>
      <c r="F13" s="1008"/>
      <c r="G13" s="1009"/>
    </row>
    <row r="14" spans="1:7" s="277" customFormat="1" ht="24.75" customHeight="1">
      <c r="A14" s="278">
        <v>1</v>
      </c>
      <c r="B14" s="312">
        <v>90778</v>
      </c>
      <c r="C14" s="334" t="s">
        <v>419</v>
      </c>
      <c r="D14" s="279" t="s">
        <v>46</v>
      </c>
      <c r="E14" s="332">
        <f>G35</f>
        <v>120</v>
      </c>
      <c r="F14" s="280">
        <v>103.34</v>
      </c>
      <c r="G14" s="282">
        <f>E14*F14</f>
        <v>12400.8</v>
      </c>
    </row>
    <row r="15" spans="1:7" s="277" customFormat="1" ht="24.75" customHeight="1">
      <c r="A15" s="278">
        <v>2</v>
      </c>
      <c r="B15" s="312">
        <v>90776</v>
      </c>
      <c r="C15" s="334" t="s">
        <v>420</v>
      </c>
      <c r="D15" s="279" t="s">
        <v>46</v>
      </c>
      <c r="E15" s="332">
        <f>G36</f>
        <v>420</v>
      </c>
      <c r="F15" s="280">
        <v>20.63</v>
      </c>
      <c r="G15" s="282">
        <f>E15*F15</f>
        <v>8664.6</v>
      </c>
    </row>
    <row r="16" spans="1:7" s="277" customFormat="1" ht="19.5" customHeight="1" hidden="1">
      <c r="A16" s="283"/>
      <c r="B16" s="284">
        <v>88326</v>
      </c>
      <c r="C16" s="330" t="s">
        <v>421</v>
      </c>
      <c r="D16" s="281"/>
      <c r="E16" s="281"/>
      <c r="F16" s="337"/>
      <c r="G16" s="282">
        <f>ROUND(F16*E16,2)</f>
        <v>0</v>
      </c>
    </row>
    <row r="17" spans="1:7" s="277" customFormat="1" ht="19.5" customHeight="1">
      <c r="A17" s="995" t="s">
        <v>48</v>
      </c>
      <c r="B17" s="996"/>
      <c r="C17" s="996"/>
      <c r="D17" s="996"/>
      <c r="E17" s="996"/>
      <c r="F17" s="996"/>
      <c r="G17" s="480">
        <f>SUM(G14:G15)</f>
        <v>21065.4</v>
      </c>
    </row>
    <row r="18" spans="1:7" s="277" customFormat="1" ht="19.5" customHeight="1">
      <c r="A18" s="1007" t="s">
        <v>699</v>
      </c>
      <c r="B18" s="1008"/>
      <c r="C18" s="1008"/>
      <c r="D18" s="1008"/>
      <c r="E18" s="1008"/>
      <c r="F18" s="1008"/>
      <c r="G18" s="1009"/>
    </row>
    <row r="19" spans="1:7" s="277" customFormat="1" ht="19.5" customHeight="1">
      <c r="A19" s="335"/>
      <c r="B19" s="336"/>
      <c r="C19" s="287"/>
      <c r="D19" s="287"/>
      <c r="E19" s="287"/>
      <c r="F19" s="287"/>
      <c r="G19" s="282">
        <f>E19*F19</f>
        <v>0</v>
      </c>
    </row>
    <row r="20" spans="1:7" s="277" customFormat="1" ht="19.5" customHeight="1">
      <c r="A20" s="995" t="s">
        <v>700</v>
      </c>
      <c r="B20" s="996"/>
      <c r="C20" s="996"/>
      <c r="D20" s="996"/>
      <c r="E20" s="996"/>
      <c r="F20" s="996"/>
      <c r="G20" s="360"/>
    </row>
    <row r="21" spans="1:7" s="277" customFormat="1" ht="19.5" customHeight="1">
      <c r="A21" s="997" t="s">
        <v>696</v>
      </c>
      <c r="B21" s="998"/>
      <c r="C21" s="998"/>
      <c r="D21" s="998"/>
      <c r="E21" s="998"/>
      <c r="F21" s="998"/>
      <c r="G21" s="999"/>
    </row>
    <row r="22" spans="1:7" s="277" customFormat="1" ht="19.5" customHeight="1">
      <c r="A22" s="335"/>
      <c r="B22" s="336"/>
      <c r="C22" s="287"/>
      <c r="D22" s="287"/>
      <c r="E22" s="287"/>
      <c r="F22" s="287"/>
      <c r="G22" s="282">
        <f>E22*F22</f>
        <v>0</v>
      </c>
    </row>
    <row r="23" spans="1:7" s="277" customFormat="1" ht="19.5" customHeight="1">
      <c r="A23" s="995" t="s">
        <v>701</v>
      </c>
      <c r="B23" s="996"/>
      <c r="C23" s="996"/>
      <c r="D23" s="996"/>
      <c r="E23" s="996"/>
      <c r="F23" s="996"/>
      <c r="G23" s="360"/>
    </row>
    <row r="24" spans="1:9" s="208" customFormat="1" ht="19.5" customHeight="1">
      <c r="A24" s="1000" t="s">
        <v>53</v>
      </c>
      <c r="B24" s="1001"/>
      <c r="C24" s="1001"/>
      <c r="D24" s="1001"/>
      <c r="E24" s="1001"/>
      <c r="F24" s="1001"/>
      <c r="G24" s="1002"/>
      <c r="H24" s="242"/>
      <c r="I24" s="202"/>
    </row>
    <row r="25" spans="1:9" s="208" customFormat="1" ht="19.5" customHeight="1">
      <c r="A25" s="131" t="s">
        <v>39</v>
      </c>
      <c r="B25" s="132"/>
      <c r="C25" s="132" t="s">
        <v>54</v>
      </c>
      <c r="D25" s="132" t="s">
        <v>43</v>
      </c>
      <c r="E25" s="132"/>
      <c r="F25" s="152"/>
      <c r="G25" s="133"/>
      <c r="H25" s="212"/>
      <c r="I25" s="202"/>
    </row>
    <row r="26" spans="1:9" s="208" customFormat="1" ht="19.5" customHeight="1">
      <c r="A26" s="131" t="s">
        <v>55</v>
      </c>
      <c r="B26" s="132"/>
      <c r="C26" s="138" t="s">
        <v>56</v>
      </c>
      <c r="D26" s="1003" t="s">
        <v>57</v>
      </c>
      <c r="E26" s="1003"/>
      <c r="F26" s="1003"/>
      <c r="G26" s="133">
        <f>G17</f>
        <v>21065.4</v>
      </c>
      <c r="H26" s="212"/>
      <c r="I26" s="202"/>
    </row>
    <row r="27" spans="1:9" s="208" customFormat="1" ht="19.5" customHeight="1">
      <c r="A27" s="131" t="s">
        <v>58</v>
      </c>
      <c r="B27" s="132"/>
      <c r="C27" s="138" t="s">
        <v>59</v>
      </c>
      <c r="D27" s="1003" t="s">
        <v>60</v>
      </c>
      <c r="E27" s="1003"/>
      <c r="F27" s="1003"/>
      <c r="G27" s="133">
        <f>G20</f>
        <v>0</v>
      </c>
      <c r="H27" s="212"/>
      <c r="I27" s="202"/>
    </row>
    <row r="28" spans="1:9" s="208" customFormat="1" ht="19.5" customHeight="1">
      <c r="A28" s="131" t="s">
        <v>16</v>
      </c>
      <c r="B28" s="132"/>
      <c r="C28" s="138" t="s">
        <v>61</v>
      </c>
      <c r="D28" s="1003" t="s">
        <v>62</v>
      </c>
      <c r="E28" s="1003"/>
      <c r="F28" s="1003"/>
      <c r="G28" s="133">
        <f>G23</f>
        <v>0</v>
      </c>
      <c r="H28" s="212"/>
      <c r="I28" s="202"/>
    </row>
    <row r="29" spans="1:9" s="208" customFormat="1" ht="19.5" customHeight="1">
      <c r="A29" s="131" t="s">
        <v>8</v>
      </c>
      <c r="B29" s="132"/>
      <c r="C29" s="153" t="s">
        <v>63</v>
      </c>
      <c r="D29" s="1016" t="s">
        <v>64</v>
      </c>
      <c r="E29" s="1016"/>
      <c r="F29" s="1016"/>
      <c r="G29" s="154">
        <f>G26+G27+G28</f>
        <v>21065.4</v>
      </c>
      <c r="H29" s="246">
        <v>596</v>
      </c>
      <c r="I29" s="202"/>
    </row>
    <row r="30" spans="1:9" s="208" customFormat="1" ht="19.5" customHeight="1">
      <c r="A30" s="131"/>
      <c r="B30" s="132"/>
      <c r="C30" s="153"/>
      <c r="D30" s="156" t="s">
        <v>205</v>
      </c>
      <c r="E30" s="157"/>
      <c r="F30" s="158">
        <v>0.2746</v>
      </c>
      <c r="G30" s="159">
        <f>G29*F30</f>
        <v>5784.56</v>
      </c>
      <c r="H30" s="251"/>
      <c r="I30" s="202"/>
    </row>
    <row r="31" spans="1:9" s="208" customFormat="1" ht="19.5" customHeight="1" thickBot="1">
      <c r="A31" s="161"/>
      <c r="B31" s="162"/>
      <c r="C31" s="162"/>
      <c r="D31" s="1017" t="s">
        <v>66</v>
      </c>
      <c r="E31" s="1017"/>
      <c r="F31" s="1017"/>
      <c r="G31" s="163">
        <f>G29+G30</f>
        <v>26849.96</v>
      </c>
      <c r="H31" s="255"/>
      <c r="I31" s="202"/>
    </row>
    <row r="32" ht="19.5" customHeight="1"/>
    <row r="33" spans="1:7" ht="19.5" customHeight="1">
      <c r="A33" s="1013" t="s">
        <v>248</v>
      </c>
      <c r="B33" s="1013"/>
      <c r="C33" s="1013"/>
      <c r="D33" s="1013"/>
      <c r="E33" s="1013"/>
      <c r="F33" s="1013"/>
      <c r="G33" s="1013"/>
    </row>
    <row r="34" spans="1:7" ht="19.5" customHeight="1">
      <c r="A34" s="1014" t="s">
        <v>249</v>
      </c>
      <c r="B34" s="1015"/>
      <c r="C34" s="343" t="s">
        <v>251</v>
      </c>
      <c r="D34" s="343" t="s">
        <v>252</v>
      </c>
      <c r="E34" s="1014" t="s">
        <v>253</v>
      </c>
      <c r="F34" s="1015"/>
      <c r="G34" s="347"/>
    </row>
    <row r="35" spans="1:7" ht="19.5" customHeight="1">
      <c r="A35" s="1010" t="s">
        <v>422</v>
      </c>
      <c r="B35" s="1010"/>
      <c r="C35" s="346">
        <v>2</v>
      </c>
      <c r="D35" s="343">
        <v>20</v>
      </c>
      <c r="E35" s="343">
        <v>3</v>
      </c>
      <c r="F35" s="347" t="s">
        <v>232</v>
      </c>
      <c r="G35" s="347">
        <f>ROUND((C35*D35*E35),2)</f>
        <v>120</v>
      </c>
    </row>
    <row r="36" spans="1:7" ht="19.5" customHeight="1">
      <c r="A36" s="1010" t="s">
        <v>423</v>
      </c>
      <c r="B36" s="1010"/>
      <c r="C36" s="346">
        <v>7</v>
      </c>
      <c r="D36" s="343">
        <v>20</v>
      </c>
      <c r="E36" s="343">
        <v>3</v>
      </c>
      <c r="F36" s="347" t="s">
        <v>232</v>
      </c>
      <c r="G36" s="347">
        <f>ROUND((C36*D36*E36),2)</f>
        <v>420</v>
      </c>
    </row>
    <row r="37" spans="1:7" ht="16.5" hidden="1">
      <c r="A37" s="1011" t="s">
        <v>424</v>
      </c>
      <c r="B37" s="1012"/>
      <c r="C37" s="294"/>
      <c r="D37" s="295">
        <v>20</v>
      </c>
      <c r="E37" s="295">
        <v>3</v>
      </c>
      <c r="F37" s="333" t="s">
        <v>232</v>
      </c>
      <c r="G37" s="333">
        <f>ROUND((C37*D37*E37),2)</f>
        <v>0</v>
      </c>
    </row>
  </sheetData>
  <sheetProtection/>
  <mergeCells count="28">
    <mergeCell ref="A1:G1"/>
    <mergeCell ref="A3:G3"/>
    <mergeCell ref="A4:G4"/>
    <mergeCell ref="A5:G5"/>
    <mergeCell ref="A8:G8"/>
    <mergeCell ref="A9:A10"/>
    <mergeCell ref="C9:F10"/>
    <mergeCell ref="A6:G6"/>
    <mergeCell ref="B7:G7"/>
    <mergeCell ref="D27:F27"/>
    <mergeCell ref="A35:B35"/>
    <mergeCell ref="A36:B36"/>
    <mergeCell ref="A37:B37"/>
    <mergeCell ref="A33:G33"/>
    <mergeCell ref="A34:B34"/>
    <mergeCell ref="E34:F34"/>
    <mergeCell ref="D28:F28"/>
    <mergeCell ref="D29:F29"/>
    <mergeCell ref="D31:F31"/>
    <mergeCell ref="A20:F20"/>
    <mergeCell ref="A21:G21"/>
    <mergeCell ref="A23:F23"/>
    <mergeCell ref="A24:G24"/>
    <mergeCell ref="D26:F26"/>
    <mergeCell ref="A11:G11"/>
    <mergeCell ref="A13:G13"/>
    <mergeCell ref="A17:F17"/>
    <mergeCell ref="A18:G18"/>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79" r:id="rId2"/>
  <drawing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H40"/>
  <sheetViews>
    <sheetView view="pageBreakPreview" zoomScaleSheetLayoutView="100" zoomScalePageLayoutView="0" workbookViewId="0" topLeftCell="A1">
      <selection activeCell="A11" sqref="A11:H11"/>
    </sheetView>
  </sheetViews>
  <sheetFormatPr defaultColWidth="9.140625" defaultRowHeight="12.75"/>
  <cols>
    <col min="1" max="1" width="10.7109375" style="125" customWidth="1"/>
    <col min="2" max="2" width="9.7109375" style="125" bestFit="1" customWidth="1"/>
    <col min="3" max="4" width="25.7109375" style="125" customWidth="1"/>
    <col min="5" max="6" width="11.7109375" style="125" customWidth="1"/>
    <col min="7" max="7" width="12.8515625" style="125" bestFit="1" customWidth="1"/>
    <col min="8" max="8" width="15.140625" style="125" customWidth="1"/>
    <col min="9" max="16384" width="9.140625" style="125" customWidth="1"/>
  </cols>
  <sheetData>
    <row r="1" spans="1:8" ht="14.25">
      <c r="A1" s="120"/>
      <c r="B1" s="121"/>
      <c r="C1" s="121"/>
      <c r="D1" s="121"/>
      <c r="E1" s="121"/>
      <c r="F1" s="121"/>
      <c r="G1" s="121"/>
      <c r="H1" s="122"/>
    </row>
    <row r="2" spans="1:8" ht="38.25" customHeight="1">
      <c r="A2" s="168"/>
      <c r="B2" s="169"/>
      <c r="C2" s="169"/>
      <c r="D2" s="169"/>
      <c r="E2" s="169"/>
      <c r="F2" s="169"/>
      <c r="G2" s="169"/>
      <c r="H2" s="170"/>
    </row>
    <row r="3" spans="1:8" ht="14.25">
      <c r="A3" s="1042" t="s">
        <v>20</v>
      </c>
      <c r="B3" s="1043"/>
      <c r="C3" s="1043"/>
      <c r="D3" s="1043"/>
      <c r="E3" s="1043"/>
      <c r="F3" s="1043"/>
      <c r="G3" s="1043"/>
      <c r="H3" s="1044"/>
    </row>
    <row r="4" spans="1:8" ht="14.25">
      <c r="A4" s="959" t="s">
        <v>194</v>
      </c>
      <c r="B4" s="960"/>
      <c r="C4" s="960"/>
      <c r="D4" s="960"/>
      <c r="E4" s="960"/>
      <c r="F4" s="960"/>
      <c r="G4" s="960"/>
      <c r="H4" s="1045"/>
    </row>
    <row r="5" spans="1:8" ht="14.25">
      <c r="A5" s="1046" t="s">
        <v>19</v>
      </c>
      <c r="B5" s="1047"/>
      <c r="C5" s="1047"/>
      <c r="D5" s="1047"/>
      <c r="E5" s="1047"/>
      <c r="F5" s="1047"/>
      <c r="G5" s="1047"/>
      <c r="H5" s="1048"/>
    </row>
    <row r="6" spans="1:8" ht="14.25">
      <c r="A6" s="628"/>
      <c r="B6" s="629"/>
      <c r="C6" s="629"/>
      <c r="D6" s="629"/>
      <c r="E6" s="629"/>
      <c r="F6" s="629"/>
      <c r="G6" s="629"/>
      <c r="H6" s="630"/>
    </row>
    <row r="7" spans="1:8" ht="29.25" customHeight="1">
      <c r="A7" s="659" t="s">
        <v>691</v>
      </c>
      <c r="B7" s="1058" t="str">
        <f>'ORÇAMENTO GERAL'!D9</f>
        <v>EXECUÇÃO DOS SERVIÇOS DE DRENAGEM URBANA E TERRAPLENAGEM NA NS. DO CARMO, PASS. KENEDY, PASS. UBIRATAN MACIEL E PASS. ALEGRE - BAIRRO COQUEIRO  - NO MUNICÍPIO DE ANANINDEUA - PA.</v>
      </c>
      <c r="C7" s="1059"/>
      <c r="D7" s="1059"/>
      <c r="E7" s="1059"/>
      <c r="F7" s="1059"/>
      <c r="G7" s="1059"/>
      <c r="H7" s="1060"/>
    </row>
    <row r="8" spans="1:8" ht="15" thickBot="1">
      <c r="A8" s="1049"/>
      <c r="B8" s="1050"/>
      <c r="C8" s="1050"/>
      <c r="D8" s="1050"/>
      <c r="E8" s="1050"/>
      <c r="F8" s="1050"/>
      <c r="G8" s="1050"/>
      <c r="H8" s="1051"/>
    </row>
    <row r="9" spans="1:8" ht="15" thickTop="1">
      <c r="A9" s="1052" t="s">
        <v>640</v>
      </c>
      <c r="B9" s="363" t="s">
        <v>193</v>
      </c>
      <c r="C9" s="1054" t="s">
        <v>687</v>
      </c>
      <c r="D9" s="1055"/>
      <c r="E9" s="1055"/>
      <c r="F9" s="1055"/>
      <c r="G9" s="1055"/>
      <c r="H9" s="365" t="s">
        <v>689</v>
      </c>
    </row>
    <row r="10" spans="1:8" ht="15" thickBot="1">
      <c r="A10" s="1053"/>
      <c r="B10" s="359">
        <v>44866</v>
      </c>
      <c r="C10" s="1056"/>
      <c r="D10" s="1057"/>
      <c r="E10" s="1057"/>
      <c r="F10" s="1057"/>
      <c r="G10" s="1057"/>
      <c r="H10" s="362" t="s">
        <v>309</v>
      </c>
    </row>
    <row r="11" spans="1:8" ht="9.75" customHeight="1" thickTop="1">
      <c r="A11" s="1073"/>
      <c r="B11" s="1074"/>
      <c r="C11" s="1074"/>
      <c r="D11" s="1074"/>
      <c r="E11" s="1074"/>
      <c r="F11" s="1074"/>
      <c r="G11" s="1074"/>
      <c r="H11" s="1075"/>
    </row>
    <row r="12" spans="1:8" s="130" customFormat="1" ht="19.5" customHeight="1">
      <c r="A12" s="263" t="s">
        <v>39</v>
      </c>
      <c r="B12" s="264" t="s">
        <v>282</v>
      </c>
      <c r="C12" s="1064" t="s">
        <v>40</v>
      </c>
      <c r="D12" s="1065"/>
      <c r="E12" s="264" t="s">
        <v>41</v>
      </c>
      <c r="F12" s="265" t="s">
        <v>158</v>
      </c>
      <c r="G12" s="266" t="s">
        <v>42</v>
      </c>
      <c r="H12" s="267" t="s">
        <v>43</v>
      </c>
    </row>
    <row r="13" spans="1:8" s="130" customFormat="1" ht="19.5" customHeight="1">
      <c r="A13" s="1061" t="s">
        <v>38</v>
      </c>
      <c r="B13" s="1062"/>
      <c r="C13" s="1062"/>
      <c r="D13" s="1062"/>
      <c r="E13" s="1062"/>
      <c r="F13" s="1062"/>
      <c r="G13" s="1062"/>
      <c r="H13" s="1063"/>
    </row>
    <row r="14" spans="1:8" s="130" customFormat="1" ht="28.5" customHeight="1">
      <c r="A14" s="135">
        <v>1</v>
      </c>
      <c r="B14" s="136" t="s">
        <v>44</v>
      </c>
      <c r="C14" s="1066" t="s">
        <v>45</v>
      </c>
      <c r="D14" s="1067"/>
      <c r="E14" s="138" t="s">
        <v>46</v>
      </c>
      <c r="F14" s="139">
        <f>H39</f>
        <v>240</v>
      </c>
      <c r="G14" s="140">
        <v>22.48</v>
      </c>
      <c r="H14" s="141">
        <f>F14*G14</f>
        <v>5395.2</v>
      </c>
    </row>
    <row r="15" spans="1:8" s="130" customFormat="1" ht="28.5" customHeight="1">
      <c r="A15" s="135">
        <v>2</v>
      </c>
      <c r="B15" s="136" t="s">
        <v>246</v>
      </c>
      <c r="C15" s="1066" t="s">
        <v>247</v>
      </c>
      <c r="D15" s="1067"/>
      <c r="E15" s="138" t="s">
        <v>46</v>
      </c>
      <c r="F15" s="139">
        <f>H40</f>
        <v>240</v>
      </c>
      <c r="G15" s="140">
        <v>11.17</v>
      </c>
      <c r="H15" s="141">
        <f>F15*G15</f>
        <v>2680.8</v>
      </c>
    </row>
    <row r="16" spans="1:8" s="130" customFormat="1" ht="19.5" customHeight="1" hidden="1">
      <c r="A16" s="135">
        <v>3</v>
      </c>
      <c r="B16" s="148"/>
      <c r="C16" s="145"/>
      <c r="D16" s="145"/>
      <c r="E16" s="138"/>
      <c r="F16" s="139"/>
      <c r="G16" s="140"/>
      <c r="H16" s="141"/>
    </row>
    <row r="17" spans="1:8" s="130" customFormat="1" ht="19.5" customHeight="1" hidden="1">
      <c r="A17" s="135">
        <v>4</v>
      </c>
      <c r="B17" s="148"/>
      <c r="C17" s="145"/>
      <c r="D17" s="145"/>
      <c r="E17" s="138"/>
      <c r="F17" s="139"/>
      <c r="G17" s="140"/>
      <c r="H17" s="141"/>
    </row>
    <row r="18" spans="1:8" s="130" customFormat="1" ht="19.5" customHeight="1">
      <c r="A18" s="995" t="s">
        <v>48</v>
      </c>
      <c r="B18" s="996"/>
      <c r="C18" s="996"/>
      <c r="D18" s="996"/>
      <c r="E18" s="996"/>
      <c r="F18" s="996"/>
      <c r="G18" s="996"/>
      <c r="H18" s="660">
        <f>SUM(H14:H17)</f>
        <v>8076</v>
      </c>
    </row>
    <row r="19" spans="1:8" s="130" customFormat="1" ht="19.5" customHeight="1">
      <c r="A19" s="1007" t="s">
        <v>699</v>
      </c>
      <c r="B19" s="1008"/>
      <c r="C19" s="1008"/>
      <c r="D19" s="1008"/>
      <c r="E19" s="1008"/>
      <c r="F19" s="1008"/>
      <c r="G19" s="1008"/>
      <c r="H19" s="1009"/>
    </row>
    <row r="20" spans="1:8" s="130" customFormat="1" ht="19.5" customHeight="1">
      <c r="A20" s="144" t="s">
        <v>39</v>
      </c>
      <c r="B20" s="138"/>
      <c r="C20" s="1071" t="s">
        <v>40</v>
      </c>
      <c r="D20" s="1072"/>
      <c r="E20" s="138" t="s">
        <v>41</v>
      </c>
      <c r="F20" s="145" t="s">
        <v>158</v>
      </c>
      <c r="G20" s="146" t="s">
        <v>42</v>
      </c>
      <c r="H20" s="147" t="s">
        <v>43</v>
      </c>
    </row>
    <row r="21" spans="1:8" s="130" customFormat="1" ht="19.5" customHeight="1">
      <c r="A21" s="135">
        <v>1</v>
      </c>
      <c r="B21" s="148"/>
      <c r="C21" s="1071"/>
      <c r="D21" s="1072"/>
      <c r="E21" s="138"/>
      <c r="F21" s="139"/>
      <c r="G21" s="140"/>
      <c r="H21" s="141">
        <f>F21*G21</f>
        <v>0</v>
      </c>
    </row>
    <row r="22" spans="1:8" s="130" customFormat="1" ht="19.5" customHeight="1">
      <c r="A22" s="995" t="s">
        <v>700</v>
      </c>
      <c r="B22" s="996"/>
      <c r="C22" s="996"/>
      <c r="D22" s="996"/>
      <c r="E22" s="996"/>
      <c r="F22" s="996"/>
      <c r="G22" s="996"/>
      <c r="H22" s="660">
        <f>SUM(H21:H21)</f>
        <v>0</v>
      </c>
    </row>
    <row r="23" spans="1:8" s="130" customFormat="1" ht="19.5" customHeight="1">
      <c r="A23" s="1007" t="s">
        <v>696</v>
      </c>
      <c r="B23" s="1008"/>
      <c r="C23" s="1008"/>
      <c r="D23" s="1008"/>
      <c r="E23" s="1008"/>
      <c r="F23" s="1008"/>
      <c r="G23" s="1008"/>
      <c r="H23" s="1009"/>
    </row>
    <row r="24" spans="1:8" s="130" customFormat="1" ht="19.5" customHeight="1">
      <c r="A24" s="144" t="s">
        <v>39</v>
      </c>
      <c r="B24" s="138"/>
      <c r="C24" s="1071" t="s">
        <v>40</v>
      </c>
      <c r="D24" s="1072"/>
      <c r="E24" s="138" t="s">
        <v>41</v>
      </c>
      <c r="F24" s="145" t="s">
        <v>158</v>
      </c>
      <c r="G24" s="146" t="s">
        <v>42</v>
      </c>
      <c r="H24" s="147" t="s">
        <v>43</v>
      </c>
    </row>
    <row r="25" spans="1:8" s="130" customFormat="1" ht="19.5" customHeight="1">
      <c r="A25" s="135">
        <v>1</v>
      </c>
      <c r="B25" s="171"/>
      <c r="C25" s="1071"/>
      <c r="D25" s="1072"/>
      <c r="E25" s="138"/>
      <c r="F25" s="139"/>
      <c r="G25" s="140"/>
      <c r="H25" s="141">
        <f>F25*G25</f>
        <v>0</v>
      </c>
    </row>
    <row r="26" spans="1:8" s="130" customFormat="1" ht="19.5" customHeight="1">
      <c r="A26" s="1068" t="s">
        <v>701</v>
      </c>
      <c r="B26" s="1069"/>
      <c r="C26" s="1069"/>
      <c r="D26" s="1069"/>
      <c r="E26" s="1069"/>
      <c r="F26" s="1069"/>
      <c r="G26" s="1070"/>
      <c r="H26" s="660">
        <f>SUM(H25:H25)</f>
        <v>0</v>
      </c>
    </row>
    <row r="27" spans="1:8" s="130" customFormat="1" ht="19.5" customHeight="1">
      <c r="A27" s="1081" t="s">
        <v>53</v>
      </c>
      <c r="B27" s="1082"/>
      <c r="C27" s="1082"/>
      <c r="D27" s="1082"/>
      <c r="E27" s="1082"/>
      <c r="F27" s="1082"/>
      <c r="G27" s="1082"/>
      <c r="H27" s="1083"/>
    </row>
    <row r="28" spans="1:8" s="130" customFormat="1" ht="19.5" customHeight="1">
      <c r="A28" s="144" t="s">
        <v>39</v>
      </c>
      <c r="B28" s="138"/>
      <c r="C28" s="1079" t="s">
        <v>54</v>
      </c>
      <c r="D28" s="1080"/>
      <c r="E28" s="138" t="s">
        <v>43</v>
      </c>
      <c r="F28" s="138"/>
      <c r="G28" s="172"/>
      <c r="H28" s="147"/>
    </row>
    <row r="29" spans="1:8" s="130" customFormat="1" ht="19.5" customHeight="1">
      <c r="A29" s="144" t="s">
        <v>55</v>
      </c>
      <c r="B29" s="138"/>
      <c r="C29" s="1079" t="s">
        <v>56</v>
      </c>
      <c r="D29" s="1080"/>
      <c r="E29" s="1084" t="s">
        <v>57</v>
      </c>
      <c r="F29" s="1084"/>
      <c r="G29" s="1084"/>
      <c r="H29" s="147">
        <f>H18</f>
        <v>8076</v>
      </c>
    </row>
    <row r="30" spans="1:8" s="130" customFormat="1" ht="19.5" customHeight="1">
      <c r="A30" s="144" t="s">
        <v>58</v>
      </c>
      <c r="B30" s="138"/>
      <c r="C30" s="1079" t="s">
        <v>59</v>
      </c>
      <c r="D30" s="1080"/>
      <c r="E30" s="1084" t="s">
        <v>60</v>
      </c>
      <c r="F30" s="1084"/>
      <c r="G30" s="1084"/>
      <c r="H30" s="147">
        <f>H22</f>
        <v>0</v>
      </c>
    </row>
    <row r="31" spans="1:8" s="130" customFormat="1" ht="19.5" customHeight="1">
      <c r="A31" s="144" t="s">
        <v>16</v>
      </c>
      <c r="B31" s="138"/>
      <c r="C31" s="1079" t="s">
        <v>61</v>
      </c>
      <c r="D31" s="1080"/>
      <c r="E31" s="1084" t="s">
        <v>62</v>
      </c>
      <c r="F31" s="1084"/>
      <c r="G31" s="1084"/>
      <c r="H31" s="147">
        <f>H26</f>
        <v>0</v>
      </c>
    </row>
    <row r="32" spans="1:8" s="130" customFormat="1" ht="19.5" customHeight="1">
      <c r="A32" s="144" t="s">
        <v>8</v>
      </c>
      <c r="B32" s="138"/>
      <c r="C32" s="1079" t="s">
        <v>63</v>
      </c>
      <c r="D32" s="1080"/>
      <c r="E32" s="1085" t="s">
        <v>64</v>
      </c>
      <c r="F32" s="1085"/>
      <c r="G32" s="1085"/>
      <c r="H32" s="154">
        <f>H29+H30+H31</f>
        <v>8076</v>
      </c>
    </row>
    <row r="33" spans="1:8" s="130" customFormat="1" ht="19.5" customHeight="1">
      <c r="A33" s="144"/>
      <c r="B33" s="138"/>
      <c r="C33" s="1079"/>
      <c r="D33" s="1080"/>
      <c r="E33" s="156" t="s">
        <v>205</v>
      </c>
      <c r="F33" s="157"/>
      <c r="G33" s="158">
        <v>0.2746</v>
      </c>
      <c r="H33" s="173">
        <f>G33*H32</f>
        <v>2217.67</v>
      </c>
    </row>
    <row r="34" spans="1:8" s="130" customFormat="1" ht="19.5" customHeight="1" thickBot="1">
      <c r="A34" s="161"/>
      <c r="B34" s="162"/>
      <c r="C34" s="1086"/>
      <c r="D34" s="1087"/>
      <c r="E34" s="1017" t="s">
        <v>66</v>
      </c>
      <c r="F34" s="1017"/>
      <c r="G34" s="1017"/>
      <c r="H34" s="163">
        <f>H32+H33</f>
        <v>10293.67</v>
      </c>
    </row>
    <row r="35" spans="1:8" ht="14.25">
      <c r="A35" s="338"/>
      <c r="B35" s="165"/>
      <c r="C35" s="165"/>
      <c r="D35" s="165"/>
      <c r="E35" s="166"/>
      <c r="F35" s="166"/>
      <c r="G35" s="166"/>
      <c r="H35" s="339"/>
    </row>
    <row r="36" spans="1:8" ht="14.25">
      <c r="A36" s="340"/>
      <c r="B36" s="341"/>
      <c r="C36" s="341"/>
      <c r="D36" s="341"/>
      <c r="E36" s="341"/>
      <c r="F36" s="341"/>
      <c r="G36" s="341"/>
      <c r="H36" s="342"/>
    </row>
    <row r="37" spans="1:8" ht="14.25">
      <c r="A37" s="1076" t="s">
        <v>248</v>
      </c>
      <c r="B37" s="1077"/>
      <c r="C37" s="1077"/>
      <c r="D37" s="1077"/>
      <c r="E37" s="1077"/>
      <c r="F37" s="1077"/>
      <c r="G37" s="1077"/>
      <c r="H37" s="1078"/>
    </row>
    <row r="38" spans="1:8" ht="14.25">
      <c r="A38" s="1088" t="s">
        <v>249</v>
      </c>
      <c r="B38" s="1015"/>
      <c r="C38" s="298" t="s">
        <v>250</v>
      </c>
      <c r="D38" s="298" t="s">
        <v>251</v>
      </c>
      <c r="E38" s="343" t="s">
        <v>252</v>
      </c>
      <c r="F38" s="1089" t="s">
        <v>253</v>
      </c>
      <c r="G38" s="1090"/>
      <c r="H38" s="345"/>
    </row>
    <row r="39" spans="1:8" ht="14.25">
      <c r="A39" s="1091" t="s">
        <v>254</v>
      </c>
      <c r="B39" s="1010"/>
      <c r="C39" s="346">
        <v>1</v>
      </c>
      <c r="D39" s="346">
        <v>4</v>
      </c>
      <c r="E39" s="343">
        <v>20</v>
      </c>
      <c r="F39" s="343">
        <v>3</v>
      </c>
      <c r="G39" s="347" t="s">
        <v>232</v>
      </c>
      <c r="H39" s="348">
        <f>ROUND((C39*D39*E39*F39),2)</f>
        <v>240</v>
      </c>
    </row>
    <row r="40" spans="1:8" ht="27.75" customHeight="1" thickBot="1">
      <c r="A40" s="1092" t="s">
        <v>255</v>
      </c>
      <c r="B40" s="1093"/>
      <c r="C40" s="349">
        <v>1</v>
      </c>
      <c r="D40" s="349">
        <v>4</v>
      </c>
      <c r="E40" s="350">
        <v>20</v>
      </c>
      <c r="F40" s="350">
        <v>3</v>
      </c>
      <c r="G40" s="351" t="s">
        <v>232</v>
      </c>
      <c r="H40" s="352">
        <f>ROUND((C40*D40*E40*F40),2)</f>
        <v>240</v>
      </c>
    </row>
  </sheetData>
  <sheetProtection/>
  <mergeCells count="39">
    <mergeCell ref="C33:D33"/>
    <mergeCell ref="C34:D34"/>
    <mergeCell ref="A38:B38"/>
    <mergeCell ref="F38:G38"/>
    <mergeCell ref="A39:B39"/>
    <mergeCell ref="A40:B40"/>
    <mergeCell ref="A27:H27"/>
    <mergeCell ref="E29:G29"/>
    <mergeCell ref="E30:G30"/>
    <mergeCell ref="E31:G31"/>
    <mergeCell ref="E32:G32"/>
    <mergeCell ref="C28:D28"/>
    <mergeCell ref="A11:H11"/>
    <mergeCell ref="E34:G34"/>
    <mergeCell ref="A23:H23"/>
    <mergeCell ref="C24:D24"/>
    <mergeCell ref="C25:D25"/>
    <mergeCell ref="A37:H37"/>
    <mergeCell ref="C29:D29"/>
    <mergeCell ref="C30:D30"/>
    <mergeCell ref="C31:D31"/>
    <mergeCell ref="C32:D32"/>
    <mergeCell ref="A13:H13"/>
    <mergeCell ref="C12:D12"/>
    <mergeCell ref="C14:D14"/>
    <mergeCell ref="C15:D15"/>
    <mergeCell ref="A18:G18"/>
    <mergeCell ref="A26:G26"/>
    <mergeCell ref="A19:H19"/>
    <mergeCell ref="C20:D20"/>
    <mergeCell ref="C21:D21"/>
    <mergeCell ref="A22:G22"/>
    <mergeCell ref="A3:H3"/>
    <mergeCell ref="A4:H4"/>
    <mergeCell ref="A5:H5"/>
    <mergeCell ref="A8:H8"/>
    <mergeCell ref="A9:A10"/>
    <mergeCell ref="C9:G10"/>
    <mergeCell ref="B7:H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H41"/>
  <sheetViews>
    <sheetView view="pageBreakPreview" zoomScale="85" zoomScaleSheetLayoutView="85" zoomScalePageLayoutView="0" workbookViewId="0" topLeftCell="A1">
      <selection activeCell="C6" sqref="C6"/>
    </sheetView>
  </sheetViews>
  <sheetFormatPr defaultColWidth="9.140625" defaultRowHeight="12.75"/>
  <cols>
    <col min="1" max="1" width="9.28125" style="293" bestFit="1" customWidth="1"/>
    <col min="2" max="2" width="9.28125" style="293" customWidth="1"/>
    <col min="3" max="3" width="52.140625" style="293" customWidth="1"/>
    <col min="4" max="7" width="20.7109375" style="293" customWidth="1"/>
    <col min="8" max="16384" width="9.140625" style="293" customWidth="1"/>
  </cols>
  <sheetData>
    <row r="1" spans="1:7" s="275" customFormat="1" ht="14.25">
      <c r="A1" s="1018"/>
      <c r="B1" s="1019"/>
      <c r="C1" s="1019"/>
      <c r="D1" s="1019"/>
      <c r="E1" s="1019"/>
      <c r="F1" s="1019"/>
      <c r="G1" s="1020"/>
    </row>
    <row r="2" spans="1:7" s="275" customFormat="1" ht="49.5" customHeight="1">
      <c r="A2" s="622"/>
      <c r="B2" s="623"/>
      <c r="C2" s="623"/>
      <c r="D2" s="623"/>
      <c r="E2" s="623"/>
      <c r="F2" s="623"/>
      <c r="G2" s="624"/>
    </row>
    <row r="3" spans="1:7" s="275" customFormat="1" ht="19.5" customHeight="1">
      <c r="A3" s="1021" t="s">
        <v>20</v>
      </c>
      <c r="B3" s="1022"/>
      <c r="C3" s="1022"/>
      <c r="D3" s="1022"/>
      <c r="E3" s="1022"/>
      <c r="F3" s="1022"/>
      <c r="G3" s="1023"/>
    </row>
    <row r="4" spans="1:7" s="275" customFormat="1" ht="19.5" customHeight="1">
      <c r="A4" s="1024" t="s">
        <v>194</v>
      </c>
      <c r="B4" s="1025"/>
      <c r="C4" s="1025"/>
      <c r="D4" s="1025"/>
      <c r="E4" s="1025"/>
      <c r="F4" s="1025"/>
      <c r="G4" s="1026"/>
    </row>
    <row r="5" spans="1:7" s="275" customFormat="1" ht="19.5" customHeight="1">
      <c r="A5" s="1024" t="s">
        <v>19</v>
      </c>
      <c r="B5" s="1025"/>
      <c r="C5" s="1025"/>
      <c r="D5" s="1025"/>
      <c r="E5" s="1025"/>
      <c r="F5" s="1025"/>
      <c r="G5" s="1026"/>
    </row>
    <row r="6" spans="1:7" s="275" customFormat="1" ht="13.5" customHeight="1">
      <c r="A6" s="625"/>
      <c r="B6" s="626"/>
      <c r="C6" s="626"/>
      <c r="D6" s="626"/>
      <c r="E6" s="626"/>
      <c r="F6" s="626"/>
      <c r="G6" s="627"/>
    </row>
    <row r="7" spans="1:7" s="277" customFormat="1" ht="29.25" customHeight="1">
      <c r="A7" s="658" t="s">
        <v>691</v>
      </c>
      <c r="B7" s="1039" t="str">
        <f>'ORÇAMENTO GERAL'!D9</f>
        <v>EXECUÇÃO DOS SERVIÇOS DE DRENAGEM URBANA E TERRAPLENAGEM NA NS. DO CARMO, PASS. KENEDY, PASS. UBIRATAN MACIEL E PASS. ALEGRE - BAIRRO COQUEIRO  - NO MUNICÍPIO DE ANANINDEUA - PA.</v>
      </c>
      <c r="C7" s="1040"/>
      <c r="D7" s="1040"/>
      <c r="E7" s="1040"/>
      <c r="F7" s="1040"/>
      <c r="G7" s="1041"/>
    </row>
    <row r="8" spans="1:7" s="275" customFormat="1" ht="15" thickBot="1">
      <c r="A8" s="1094"/>
      <c r="B8" s="1095"/>
      <c r="C8" s="1095"/>
      <c r="D8" s="1095"/>
      <c r="E8" s="1095"/>
      <c r="F8" s="1095"/>
      <c r="G8" s="1096"/>
    </row>
    <row r="9" spans="1:7" s="277" customFormat="1" ht="19.5" customHeight="1" thickTop="1">
      <c r="A9" s="1097" t="s">
        <v>641</v>
      </c>
      <c r="B9" s="1099" t="s">
        <v>690</v>
      </c>
      <c r="C9" s="1101" t="s">
        <v>657</v>
      </c>
      <c r="D9" s="1102"/>
      <c r="E9" s="1102"/>
      <c r="F9" s="1103"/>
      <c r="G9" s="661" t="s">
        <v>693</v>
      </c>
    </row>
    <row r="10" spans="1:7" s="277" customFormat="1" ht="19.5" customHeight="1" thickBot="1">
      <c r="A10" s="1098"/>
      <c r="B10" s="1100"/>
      <c r="C10" s="1104"/>
      <c r="D10" s="1105"/>
      <c r="E10" s="1105"/>
      <c r="F10" s="1106"/>
      <c r="G10" s="478" t="s">
        <v>608</v>
      </c>
    </row>
    <row r="11" spans="1:7" s="277" customFormat="1" ht="14.25" customHeight="1" thickTop="1">
      <c r="A11" s="1123"/>
      <c r="B11" s="1124"/>
      <c r="C11" s="1124"/>
      <c r="D11" s="1124"/>
      <c r="E11" s="1124"/>
      <c r="F11" s="1124"/>
      <c r="G11" s="1125"/>
    </row>
    <row r="12" spans="1:7" s="370" customFormat="1" ht="24.75" customHeight="1">
      <c r="A12" s="662" t="s">
        <v>39</v>
      </c>
      <c r="B12" s="366" t="s">
        <v>282</v>
      </c>
      <c r="C12" s="367" t="s">
        <v>40</v>
      </c>
      <c r="D12" s="366" t="s">
        <v>41</v>
      </c>
      <c r="E12" s="368" t="s">
        <v>158</v>
      </c>
      <c r="F12" s="369" t="s">
        <v>42</v>
      </c>
      <c r="G12" s="663" t="s">
        <v>43</v>
      </c>
    </row>
    <row r="13" spans="1:7" s="371" customFormat="1" ht="24.75" customHeight="1">
      <c r="A13" s="1108" t="s">
        <v>38</v>
      </c>
      <c r="B13" s="1109"/>
      <c r="C13" s="1109"/>
      <c r="D13" s="1109"/>
      <c r="E13" s="1109"/>
      <c r="F13" s="1109"/>
      <c r="G13" s="1110"/>
    </row>
    <row r="14" spans="1:7" s="371" customFormat="1" ht="24.75" customHeight="1">
      <c r="A14" s="664">
        <v>1</v>
      </c>
      <c r="B14" s="372" t="s">
        <v>47</v>
      </c>
      <c r="C14" s="373" t="s">
        <v>196</v>
      </c>
      <c r="D14" s="372" t="s">
        <v>239</v>
      </c>
      <c r="E14" s="374" t="s">
        <v>404</v>
      </c>
      <c r="F14" s="375">
        <v>19.21</v>
      </c>
      <c r="G14" s="665">
        <f>E14*F14</f>
        <v>3.07</v>
      </c>
    </row>
    <row r="15" spans="1:7" s="371" customFormat="1" ht="24.75" customHeight="1">
      <c r="A15" s="1111" t="s">
        <v>48</v>
      </c>
      <c r="B15" s="1112"/>
      <c r="C15" s="1112"/>
      <c r="D15" s="1112"/>
      <c r="E15" s="1112"/>
      <c r="F15" s="1112"/>
      <c r="G15" s="666">
        <f>SUM(G14:G14)</f>
        <v>3.07</v>
      </c>
    </row>
    <row r="16" spans="1:7" s="371" customFormat="1" ht="24.75" customHeight="1">
      <c r="A16" s="1113" t="s">
        <v>695</v>
      </c>
      <c r="B16" s="1114"/>
      <c r="C16" s="1114"/>
      <c r="D16" s="1114"/>
      <c r="E16" s="1114"/>
      <c r="F16" s="1114"/>
      <c r="G16" s="1115"/>
    </row>
    <row r="17" spans="1:7" s="371" customFormat="1" ht="24.75" customHeight="1">
      <c r="A17" s="664">
        <v>1</v>
      </c>
      <c r="B17" s="372">
        <v>4734</v>
      </c>
      <c r="C17" s="376" t="s">
        <v>240</v>
      </c>
      <c r="D17" s="372" t="s">
        <v>202</v>
      </c>
      <c r="E17" s="374">
        <f>1-E18</f>
        <v>0.31</v>
      </c>
      <c r="F17" s="375">
        <v>621.31</v>
      </c>
      <c r="G17" s="665">
        <f>E17*F17</f>
        <v>192.61</v>
      </c>
    </row>
    <row r="18" spans="1:7" s="371" customFormat="1" ht="24.75" customHeight="1">
      <c r="A18" s="667">
        <v>2</v>
      </c>
      <c r="B18" s="377" t="s">
        <v>643</v>
      </c>
      <c r="C18" s="378" t="s">
        <v>579</v>
      </c>
      <c r="D18" s="372" t="s">
        <v>202</v>
      </c>
      <c r="E18" s="374">
        <v>0.69</v>
      </c>
      <c r="F18" s="375">
        <v>61.25</v>
      </c>
      <c r="G18" s="665">
        <f>E18*F18</f>
        <v>42.26</v>
      </c>
    </row>
    <row r="19" spans="1:7" s="371" customFormat="1" ht="24.75" customHeight="1">
      <c r="A19" s="1116" t="s">
        <v>697</v>
      </c>
      <c r="B19" s="1117"/>
      <c r="C19" s="1117"/>
      <c r="D19" s="1117"/>
      <c r="E19" s="1117"/>
      <c r="F19" s="1117"/>
      <c r="G19" s="666">
        <f>SUM(G17:G18)</f>
        <v>234.87</v>
      </c>
    </row>
    <row r="20" spans="1:7" s="371" customFormat="1" ht="24.75" customHeight="1">
      <c r="A20" s="1108" t="s">
        <v>696</v>
      </c>
      <c r="B20" s="1109"/>
      <c r="C20" s="1109"/>
      <c r="D20" s="1109"/>
      <c r="E20" s="1109"/>
      <c r="F20" s="1109"/>
      <c r="G20" s="1110"/>
    </row>
    <row r="21" spans="1:7" s="371" customFormat="1" ht="24.75" customHeight="1">
      <c r="A21" s="664">
        <v>1</v>
      </c>
      <c r="B21" s="372" t="s">
        <v>241</v>
      </c>
      <c r="C21" s="379" t="s">
        <v>242</v>
      </c>
      <c r="D21" s="372" t="s">
        <v>181</v>
      </c>
      <c r="E21" s="374" t="s">
        <v>405</v>
      </c>
      <c r="F21" s="375">
        <v>163.44</v>
      </c>
      <c r="G21" s="665">
        <f>E21*F21</f>
        <v>1.96</v>
      </c>
    </row>
    <row r="22" spans="1:7" s="371" customFormat="1" ht="24.75" customHeight="1">
      <c r="A22" s="664">
        <v>2</v>
      </c>
      <c r="B22" s="372" t="s">
        <v>243</v>
      </c>
      <c r="C22" s="379" t="s">
        <v>244</v>
      </c>
      <c r="D22" s="372" t="s">
        <v>183</v>
      </c>
      <c r="E22" s="374" t="s">
        <v>288</v>
      </c>
      <c r="F22" s="375">
        <v>58.52</v>
      </c>
      <c r="G22" s="665">
        <f aca="true" t="shared" si="0" ref="G22:G32">E22*F22</f>
        <v>1.64</v>
      </c>
    </row>
    <row r="23" spans="1:7" s="371" customFormat="1" ht="24.75" customHeight="1">
      <c r="A23" s="664">
        <v>3</v>
      </c>
      <c r="B23" s="372" t="s">
        <v>284</v>
      </c>
      <c r="C23" s="379" t="s">
        <v>285</v>
      </c>
      <c r="D23" s="372" t="s">
        <v>181</v>
      </c>
      <c r="E23" s="374" t="s">
        <v>245</v>
      </c>
      <c r="F23" s="375">
        <v>316.33</v>
      </c>
      <c r="G23" s="665">
        <f t="shared" si="0"/>
        <v>1.27</v>
      </c>
    </row>
    <row r="24" spans="1:7" s="371" customFormat="1" ht="24.75" customHeight="1">
      <c r="A24" s="664">
        <v>4</v>
      </c>
      <c r="B24" s="372" t="s">
        <v>286</v>
      </c>
      <c r="C24" s="379" t="s">
        <v>287</v>
      </c>
      <c r="D24" s="372" t="s">
        <v>183</v>
      </c>
      <c r="E24" s="374" t="s">
        <v>406</v>
      </c>
      <c r="F24" s="375">
        <v>55.39</v>
      </c>
      <c r="G24" s="665">
        <f t="shared" si="0"/>
        <v>1.99</v>
      </c>
    </row>
    <row r="25" spans="1:7" s="371" customFormat="1" ht="24.75" customHeight="1">
      <c r="A25" s="664">
        <v>5</v>
      </c>
      <c r="B25" s="372" t="s">
        <v>410</v>
      </c>
      <c r="C25" s="379" t="s">
        <v>411</v>
      </c>
      <c r="D25" s="372" t="s">
        <v>181</v>
      </c>
      <c r="E25" s="374" t="s">
        <v>291</v>
      </c>
      <c r="F25" s="375">
        <v>5.9</v>
      </c>
      <c r="G25" s="665">
        <f t="shared" si="0"/>
        <v>0.05</v>
      </c>
    </row>
    <row r="26" spans="1:7" s="371" customFormat="1" ht="24.75" customHeight="1">
      <c r="A26" s="664">
        <v>6</v>
      </c>
      <c r="B26" s="372" t="s">
        <v>412</v>
      </c>
      <c r="C26" s="379" t="s">
        <v>413</v>
      </c>
      <c r="D26" s="372" t="s">
        <v>183</v>
      </c>
      <c r="E26" s="374" t="s">
        <v>407</v>
      </c>
      <c r="F26" s="375">
        <v>3.67</v>
      </c>
      <c r="G26" s="665">
        <f t="shared" si="0"/>
        <v>0.12</v>
      </c>
    </row>
    <row r="27" spans="1:7" s="371" customFormat="1" ht="24.75" customHeight="1">
      <c r="A27" s="664">
        <v>7</v>
      </c>
      <c r="B27" s="372" t="s">
        <v>289</v>
      </c>
      <c r="C27" s="379" t="s">
        <v>290</v>
      </c>
      <c r="D27" s="372" t="s">
        <v>181</v>
      </c>
      <c r="E27" s="374" t="s">
        <v>291</v>
      </c>
      <c r="F27" s="375">
        <v>247.37</v>
      </c>
      <c r="G27" s="665">
        <f t="shared" si="0"/>
        <v>1.98</v>
      </c>
    </row>
    <row r="28" spans="1:7" s="371" customFormat="1" ht="24.75" customHeight="1">
      <c r="A28" s="664">
        <v>8</v>
      </c>
      <c r="B28" s="372" t="s">
        <v>292</v>
      </c>
      <c r="C28" s="379" t="s">
        <v>293</v>
      </c>
      <c r="D28" s="372" t="s">
        <v>183</v>
      </c>
      <c r="E28" s="374" t="s">
        <v>407</v>
      </c>
      <c r="F28" s="375">
        <v>80.38</v>
      </c>
      <c r="G28" s="665">
        <f t="shared" si="0"/>
        <v>2.57</v>
      </c>
    </row>
    <row r="29" spans="1:7" s="371" customFormat="1" ht="24.75" customHeight="1">
      <c r="A29" s="664">
        <v>9</v>
      </c>
      <c r="B29" s="372" t="s">
        <v>414</v>
      </c>
      <c r="C29" s="379" t="s">
        <v>276</v>
      </c>
      <c r="D29" s="372" t="s">
        <v>181</v>
      </c>
      <c r="E29" s="374" t="s">
        <v>291</v>
      </c>
      <c r="F29" s="375">
        <v>129.56</v>
      </c>
      <c r="G29" s="665">
        <f t="shared" si="0"/>
        <v>1.04</v>
      </c>
    </row>
    <row r="30" spans="1:7" s="371" customFormat="1" ht="24.75" customHeight="1">
      <c r="A30" s="664">
        <v>10</v>
      </c>
      <c r="B30" s="372" t="s">
        <v>415</v>
      </c>
      <c r="C30" s="379" t="s">
        <v>277</v>
      </c>
      <c r="D30" s="372" t="s">
        <v>183</v>
      </c>
      <c r="E30" s="374" t="s">
        <v>407</v>
      </c>
      <c r="F30" s="375">
        <v>38.02</v>
      </c>
      <c r="G30" s="665">
        <f t="shared" si="0"/>
        <v>1.22</v>
      </c>
    </row>
    <row r="31" spans="1:7" s="371" customFormat="1" ht="24.75" customHeight="1">
      <c r="A31" s="664">
        <v>11</v>
      </c>
      <c r="B31" s="372" t="s">
        <v>294</v>
      </c>
      <c r="C31" s="379" t="s">
        <v>295</v>
      </c>
      <c r="D31" s="372" t="s">
        <v>181</v>
      </c>
      <c r="E31" s="374" t="s">
        <v>408</v>
      </c>
      <c r="F31" s="375">
        <v>222.28</v>
      </c>
      <c r="G31" s="665">
        <f t="shared" si="0"/>
        <v>1.11</v>
      </c>
    </row>
    <row r="32" spans="1:7" s="371" customFormat="1" ht="24.75" customHeight="1">
      <c r="A32" s="664">
        <v>12</v>
      </c>
      <c r="B32" s="372" t="s">
        <v>296</v>
      </c>
      <c r="C32" s="379" t="s">
        <v>297</v>
      </c>
      <c r="D32" s="372" t="s">
        <v>183</v>
      </c>
      <c r="E32" s="374" t="s">
        <v>409</v>
      </c>
      <c r="F32" s="375">
        <v>82.97</v>
      </c>
      <c r="G32" s="665">
        <f t="shared" si="0"/>
        <v>2.9</v>
      </c>
    </row>
    <row r="33" spans="1:7" s="371" customFormat="1" ht="24.75" customHeight="1">
      <c r="A33" s="1116" t="s">
        <v>698</v>
      </c>
      <c r="B33" s="1117"/>
      <c r="C33" s="1117"/>
      <c r="D33" s="1117"/>
      <c r="E33" s="1117"/>
      <c r="F33" s="1117"/>
      <c r="G33" s="666">
        <f>SUM(G21:G32)</f>
        <v>17.85</v>
      </c>
    </row>
    <row r="34" spans="1:8" s="370" customFormat="1" ht="24.75" customHeight="1">
      <c r="A34" s="1118" t="s">
        <v>53</v>
      </c>
      <c r="B34" s="1119"/>
      <c r="C34" s="1119"/>
      <c r="D34" s="1119"/>
      <c r="E34" s="1119"/>
      <c r="F34" s="1119"/>
      <c r="G34" s="1120"/>
      <c r="H34" s="380"/>
    </row>
    <row r="35" spans="1:8" s="370" customFormat="1" ht="24.75" customHeight="1">
      <c r="A35" s="668" t="s">
        <v>39</v>
      </c>
      <c r="B35" s="381"/>
      <c r="C35" s="381" t="s">
        <v>54</v>
      </c>
      <c r="D35" s="381" t="s">
        <v>43</v>
      </c>
      <c r="E35" s="381"/>
      <c r="F35" s="382"/>
      <c r="G35" s="669"/>
      <c r="H35" s="380"/>
    </row>
    <row r="36" spans="1:8" s="370" customFormat="1" ht="24.75" customHeight="1">
      <c r="A36" s="668" t="s">
        <v>55</v>
      </c>
      <c r="B36" s="381"/>
      <c r="C36" s="383" t="s">
        <v>56</v>
      </c>
      <c r="D36" s="1121" t="s">
        <v>57</v>
      </c>
      <c r="E36" s="1121"/>
      <c r="F36" s="1121"/>
      <c r="G36" s="669">
        <f>G15</f>
        <v>3.07</v>
      </c>
      <c r="H36" s="380"/>
    </row>
    <row r="37" spans="1:8" s="370" customFormat="1" ht="24.75" customHeight="1">
      <c r="A37" s="668" t="s">
        <v>58</v>
      </c>
      <c r="B37" s="381"/>
      <c r="C37" s="383" t="s">
        <v>59</v>
      </c>
      <c r="D37" s="1121" t="s">
        <v>60</v>
      </c>
      <c r="E37" s="1121"/>
      <c r="F37" s="1121"/>
      <c r="G37" s="669">
        <f>G19</f>
        <v>234.87</v>
      </c>
      <c r="H37" s="380"/>
    </row>
    <row r="38" spans="1:8" s="370" customFormat="1" ht="24.75" customHeight="1">
      <c r="A38" s="668" t="s">
        <v>16</v>
      </c>
      <c r="B38" s="381"/>
      <c r="C38" s="383" t="s">
        <v>61</v>
      </c>
      <c r="D38" s="1121" t="s">
        <v>62</v>
      </c>
      <c r="E38" s="1121"/>
      <c r="F38" s="1121"/>
      <c r="G38" s="669">
        <f>G33</f>
        <v>17.85</v>
      </c>
      <c r="H38" s="380"/>
    </row>
    <row r="39" spans="1:8" s="370" customFormat="1" ht="24.75" customHeight="1">
      <c r="A39" s="668" t="s">
        <v>8</v>
      </c>
      <c r="B39" s="381"/>
      <c r="C39" s="384" t="s">
        <v>63</v>
      </c>
      <c r="D39" s="1122" t="s">
        <v>64</v>
      </c>
      <c r="E39" s="1122"/>
      <c r="F39" s="1122"/>
      <c r="G39" s="670">
        <f>G36+G37+G38</f>
        <v>255.79</v>
      </c>
      <c r="H39" s="380"/>
    </row>
    <row r="40" spans="1:8" s="370" customFormat="1" ht="24.75" customHeight="1">
      <c r="A40" s="668"/>
      <c r="B40" s="381"/>
      <c r="C40" s="384"/>
      <c r="D40" s="385" t="s">
        <v>205</v>
      </c>
      <c r="E40" s="385"/>
      <c r="F40" s="386">
        <v>0.2746</v>
      </c>
      <c r="G40" s="671">
        <f>G39*F40</f>
        <v>70.24</v>
      </c>
      <c r="H40" s="380"/>
    </row>
    <row r="41" spans="1:8" s="370" customFormat="1" ht="24.75" customHeight="1" thickBot="1">
      <c r="A41" s="672"/>
      <c r="B41" s="673"/>
      <c r="C41" s="673"/>
      <c r="D41" s="1107" t="s">
        <v>66</v>
      </c>
      <c r="E41" s="1107"/>
      <c r="F41" s="1107"/>
      <c r="G41" s="674">
        <f>G39+G40</f>
        <v>326.03</v>
      </c>
      <c r="H41" s="380"/>
    </row>
  </sheetData>
  <sheetProtection/>
  <mergeCells count="22">
    <mergeCell ref="A34:G34"/>
    <mergeCell ref="D36:F36"/>
    <mergeCell ref="D37:F37"/>
    <mergeCell ref="D39:F39"/>
    <mergeCell ref="D38:F38"/>
    <mergeCell ref="A11:G11"/>
    <mergeCell ref="A9:A10"/>
    <mergeCell ref="B9:B10"/>
    <mergeCell ref="C9:F10"/>
    <mergeCell ref="D41:F41"/>
    <mergeCell ref="A13:G13"/>
    <mergeCell ref="A15:F15"/>
    <mergeCell ref="A16:G16"/>
    <mergeCell ref="A19:F19"/>
    <mergeCell ref="A20:G20"/>
    <mergeCell ref="A33:F33"/>
    <mergeCell ref="A1:G1"/>
    <mergeCell ref="A3:G3"/>
    <mergeCell ref="A4:G4"/>
    <mergeCell ref="A5:G5"/>
    <mergeCell ref="A8:G8"/>
    <mergeCell ref="B7:G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USER001</cp:lastModifiedBy>
  <cp:lastPrinted>2023-02-16T18:36:30Z</cp:lastPrinted>
  <dcterms:created xsi:type="dcterms:W3CDTF">2005-01-22T11:41:57Z</dcterms:created>
  <dcterms:modified xsi:type="dcterms:W3CDTF">2023-02-16T18:36:33Z</dcterms:modified>
  <cp:category/>
  <cp:version/>
  <cp:contentType/>
  <cp:contentStatus/>
</cp:coreProperties>
</file>