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firstSheet="1" activeTab="2"/>
  </bookViews>
  <sheets>
    <sheet name="DADOS" sheetId="1" state="hidden" r:id="rId1"/>
    <sheet name="ORÇAMENTO GERAL" sheetId="2" r:id="rId2"/>
    <sheet name="MC-DRE" sheetId="3" r:id="rId3"/>
    <sheet name="MC-TER" sheetId="4" r:id="rId4"/>
    <sheet name="MC-PAV" sheetId="5" r:id="rId5"/>
    <sheet name="CPU-1" sheetId="6" state="hidden" r:id="rId6"/>
    <sheet name="CRONOGRAMA" sheetId="7" r:id="rId7"/>
    <sheet name="CPU-I" sheetId="8" r:id="rId8"/>
    <sheet name="CPU-II" sheetId="9" r:id="rId9"/>
    <sheet name="CPU-III" sheetId="10" r:id="rId10"/>
    <sheet name="CPU-V" sheetId="11" state="hidden" r:id="rId11"/>
    <sheet name="CPU-VI" sheetId="12" state="hidden" r:id="rId12"/>
    <sheet name="CPU-VII" sheetId="13" state="hidden" r:id="rId13"/>
    <sheet name="LS" sheetId="14" r:id="rId14"/>
    <sheet name="BDI" sheetId="15" r:id="rId15"/>
    <sheet name="CPU-cbuq" sheetId="16" state="hidden" r:id="rId16"/>
    <sheet name="PV PARA REDE 600" sheetId="17" state="hidden" r:id="rId17"/>
  </sheets>
  <externalReferences>
    <externalReference r:id="rId20"/>
  </externalReferences>
  <definedNames>
    <definedName name="_xlnm.Print_Area" localSheetId="14">'BDI'!$A$1:$H$50</definedName>
    <definedName name="_xlnm.Print_Area" localSheetId="5">'CPU-1'!$A$1:$G$36</definedName>
    <definedName name="_xlnm.Print_Area" localSheetId="15">'CPU-cbuq'!$A$1:$G$46</definedName>
    <definedName name="_xlnm.Print_Area" localSheetId="7">'CPU-I'!$A$1:$H$40</definedName>
    <definedName name="_xlnm.Print_Area" localSheetId="8">'CPU-II'!$A$1:$G$41</definedName>
    <definedName name="_xlnm.Print_Area" localSheetId="9">'CPU-III'!$A$1:$G$41</definedName>
    <definedName name="_xlnm.Print_Area" localSheetId="10">'CPU-V'!$A$1:$G$42</definedName>
    <definedName name="_xlnm.Print_Area" localSheetId="11">'CPU-VI'!$A$1:$G$42</definedName>
    <definedName name="_xlnm.Print_Area" localSheetId="12">'CPU-VII'!$A$1:$G$46</definedName>
    <definedName name="_xlnm.Print_Area" localSheetId="6">'CRONOGRAMA'!$A$1:$P$32</definedName>
    <definedName name="_xlnm.Print_Area" localSheetId="0">'DADOS'!$A$1:$O$32</definedName>
    <definedName name="_xlnm.Print_Area" localSheetId="13">'LS'!$A$1:$F$52</definedName>
    <definedName name="_xlnm.Print_Area" localSheetId="2">'MC-DRE'!$A$1:$Q$229</definedName>
    <definedName name="_xlnm.Print_Area" localSheetId="4">'MC-PAV'!$A$1:$W$38</definedName>
    <definedName name="_xlnm.Print_Area" localSheetId="3">'MC-TER'!$A$1:$Y$40</definedName>
    <definedName name="_xlnm.Print_Area" localSheetId="1">'ORÇAMENTO GERAL'!$C$1:$K$151</definedName>
    <definedName name="_xlnm.Print_Titles" localSheetId="2">'MC-DRE'!$1:$12</definedName>
    <definedName name="_xlnm.Print_Titles" localSheetId="4">'MC-PAV'!$1:$16</definedName>
    <definedName name="_xlnm.Print_Titles" localSheetId="1">'ORÇAMENTO GERAL'!$5:$15</definedName>
  </definedNames>
  <calcPr fullCalcOnLoad="1" fullPrecision="0"/>
</workbook>
</file>

<file path=xl/comments1.xml><?xml version="1.0" encoding="utf-8"?>
<comments xmlns="http://schemas.openxmlformats.org/spreadsheetml/2006/main">
  <authors>
    <author>jeniffer nascimento</author>
  </authors>
  <commentList>
    <comment ref="R12" authorId="0">
      <text>
        <r>
          <rPr>
            <b/>
            <sz val="9"/>
            <rFont val="Segoe UI"/>
            <family val="2"/>
          </rPr>
          <t>jeniffer nascimento:</t>
        </r>
        <r>
          <rPr>
            <sz val="9"/>
            <rFont val="Segoe UI"/>
            <family val="2"/>
          </rPr>
          <t xml:space="preserve">
ATUALIZAR CONFORME QTDE DE RUAS
</t>
        </r>
      </text>
    </comment>
  </commentList>
</comments>
</file>

<file path=xl/comments13.xml><?xml version="1.0" encoding="utf-8"?>
<comments xmlns="http://schemas.openxmlformats.org/spreadsheetml/2006/main">
  <authors>
    <author>jeniffer nascimento</author>
  </authors>
  <commentList>
    <comment ref="B10" authorId="0">
      <text>
        <r>
          <rPr>
            <b/>
            <sz val="9"/>
            <rFont val="Segoe UI"/>
            <family val="2"/>
          </rPr>
          <t>jeniffer nascimento:</t>
        </r>
        <r>
          <rPr>
            <sz val="9"/>
            <rFont val="Segoe UI"/>
            <family val="2"/>
          </rPr>
          <t xml:space="preserve">
ATUALIZAR JANEIRO-23
</t>
        </r>
      </text>
    </comment>
  </commentList>
</comments>
</file>

<file path=xl/comments17.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9.xml><?xml version="1.0" encoding="utf-8"?>
<comments xmlns="http://schemas.openxmlformats.org/spreadsheetml/2006/main">
  <authors>
    <author>jeniffer nascimento</author>
  </authors>
  <commentList>
    <comment ref="F18" authorId="0">
      <text>
        <r>
          <rPr>
            <b/>
            <sz val="9"/>
            <rFont val="Segoe UI"/>
            <family val="2"/>
          </rPr>
          <t>jeniffer nascimento:</t>
        </r>
        <r>
          <rPr>
            <sz val="9"/>
            <rFont val="Segoe UI"/>
            <family val="2"/>
          </rPr>
          <t xml:space="preserve">
SEDOP FEV-23
</t>
        </r>
      </text>
    </comment>
  </commentList>
</comments>
</file>

<file path=xl/sharedStrings.xml><?xml version="1.0" encoding="utf-8"?>
<sst xmlns="http://schemas.openxmlformats.org/spreadsheetml/2006/main" count="1992" uniqueCount="819">
  <si>
    <t>m³</t>
  </si>
  <si>
    <t>SERVIÇOS PRELIMINARES</t>
  </si>
  <si>
    <t>m²</t>
  </si>
  <si>
    <t>m</t>
  </si>
  <si>
    <t>2.1</t>
  </si>
  <si>
    <t>DESCRIÇÃO</t>
  </si>
  <si>
    <t>ITEM</t>
  </si>
  <si>
    <t>2.2</t>
  </si>
  <si>
    <t>D</t>
  </si>
  <si>
    <t>TOTAL DO  ITEM 1:</t>
  </si>
  <si>
    <t>3.1</t>
  </si>
  <si>
    <t>LIMPEZA FINAL</t>
  </si>
  <si>
    <t>TOTAL DO ITEM 3:</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</si>
  <si>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</si>
  <si>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</si>
  <si>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</si>
  <si>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</si>
  <si>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</si>
  <si>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</si>
  <si>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</si>
  <si>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</si>
  <si>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</si>
  <si>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</si>
  <si>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</si>
  <si>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</si>
  <si>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</si>
  <si>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</si>
  <si>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</si>
  <si>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</si>
  <si>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</si>
  <si>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</si>
  <si>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</si>
  <si>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</si>
  <si>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</si>
  <si>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4.1</t>
  </si>
  <si>
    <t>4.2</t>
  </si>
  <si>
    <t>4.3</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</si>
  <si>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</si>
  <si>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</si>
  <si>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</si>
  <si>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</si>
  <si>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</si>
  <si>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</si>
  <si>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</si>
  <si>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</si>
  <si>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</si>
  <si>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</si>
  <si>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</si>
  <si>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</si>
  <si>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</si>
  <si>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</si>
  <si>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</si>
  <si>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</si>
  <si>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</si>
  <si>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</si>
  <si>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</si>
  <si>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</si>
  <si>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</si>
  <si>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</si>
  <si>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</si>
  <si>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</si>
  <si>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</si>
  <si>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</si>
  <si>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</si>
  <si>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</si>
  <si>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</si>
  <si>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</si>
  <si>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</si>
  <si>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</si>
  <si>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</si>
  <si>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</si>
  <si>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</si>
  <si>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</si>
  <si>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</si>
  <si>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</si>
  <si>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</si>
  <si>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</si>
  <si>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</si>
  <si>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</si>
  <si>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</si>
  <si>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</si>
  <si>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</si>
  <si>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</si>
  <si>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</si>
  <si>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</si>
  <si>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</si>
  <si>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</si>
  <si>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</si>
  <si>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</si>
  <si>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</si>
  <si>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</si>
  <si>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</si>
  <si>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</si>
  <si>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</si>
  <si>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</si>
  <si>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</si>
  <si>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</si>
  <si>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</si>
  <si>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</si>
  <si>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</si>
  <si>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</si>
  <si>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</si>
  <si>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</si>
  <si>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</si>
  <si>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</si>
  <si>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</si>
  <si>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</si>
  <si>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</si>
  <si>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</si>
  <si>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</si>
  <si>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</si>
  <si>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</si>
  <si>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</si>
  <si>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</si>
  <si>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</si>
  <si>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</si>
  <si>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</si>
  <si>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</si>
  <si>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</si>
  <si>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</si>
  <si>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</si>
  <si>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</si>
  <si>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</si>
  <si>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</si>
  <si>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</si>
  <si>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</si>
  <si>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</si>
  <si>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</si>
  <si>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</si>
  <si>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</si>
  <si>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</si>
  <si>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</si>
  <si>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</si>
  <si>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</si>
  <si>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</si>
  <si>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</si>
  <si>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</si>
  <si>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</si>
  <si>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</si>
  <si>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</si>
  <si>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</si>
  <si>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</si>
  <si>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</si>
  <si>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</si>
  <si>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</si>
  <si>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</si>
  <si>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</si>
  <si>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</si>
  <si>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</si>
  <si>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</si>
  <si>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</si>
  <si>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</si>
  <si>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</si>
  <si>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</si>
  <si>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</si>
  <si>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</si>
  <si>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</si>
  <si>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</si>
  <si>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</si>
  <si>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</si>
  <si>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</si>
  <si>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</si>
  <si>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</si>
  <si>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</si>
  <si>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</si>
  <si>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</si>
  <si>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</si>
  <si>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</si>
  <si>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</si>
  <si>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</si>
  <si>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</si>
  <si>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</si>
  <si>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</si>
  <si>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</si>
  <si>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</si>
  <si>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</si>
  <si>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</si>
  <si>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</si>
  <si>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</si>
  <si>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</si>
  <si>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</si>
  <si>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</si>
  <si>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</si>
  <si>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</si>
  <si>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</si>
  <si>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</si>
  <si>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</si>
  <si>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</si>
  <si>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</si>
  <si>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</si>
  <si>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</si>
  <si>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</si>
  <si>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</si>
  <si>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</si>
  <si>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</si>
  <si>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</si>
  <si>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</si>
  <si>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</si>
  <si>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</si>
  <si>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</si>
  <si>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</si>
  <si>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</si>
  <si>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</si>
  <si>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</si>
  <si>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</si>
  <si>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</si>
  <si>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</si>
  <si>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</si>
  <si>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</si>
  <si>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</si>
  <si>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</si>
  <si>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</si>
  <si>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</si>
  <si>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</si>
  <si>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</si>
  <si>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</si>
  <si>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</si>
  <si>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</si>
  <si>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</si>
  <si>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</si>
  <si>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</si>
  <si>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</si>
  <si>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</si>
  <si>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</si>
  <si>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</si>
  <si>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</si>
  <si>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</si>
  <si>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3.4</t>
  </si>
  <si>
    <t>020018</t>
  </si>
  <si>
    <t>Demolição manual de concreto simples (para execução de calçada)</t>
  </si>
  <si>
    <t>VIA</t>
  </si>
  <si>
    <t>=</t>
  </si>
  <si>
    <t>L=</t>
  </si>
  <si>
    <t>Quantidade (un)</t>
  </si>
  <si>
    <t>Preparo de fundo de vala com largura menor que 1.5 m (acerto do solo natural). AF_08/2020</t>
  </si>
  <si>
    <t xml:space="preserve">Execução de boca de lobo  </t>
  </si>
  <si>
    <t xml:space="preserve">Execução de poço de visita </t>
  </si>
  <si>
    <t>m³Xkm</t>
  </si>
  <si>
    <t>H</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</si>
  <si>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</si>
  <si>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</si>
  <si>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</si>
  <si>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</si>
  <si>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</si>
  <si>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</si>
  <si>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</si>
  <si>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</si>
  <si>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</si>
  <si>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</si>
  <si>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</si>
  <si>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</si>
  <si>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</si>
  <si>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</si>
  <si>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</si>
  <si>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</si>
  <si>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</si>
  <si>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</si>
  <si>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</si>
  <si>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</si>
  <si>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</si>
  <si>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</si>
  <si>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</si>
  <si>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</si>
  <si>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</si>
  <si>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</si>
  <si>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</si>
  <si>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</si>
  <si>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</si>
  <si>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</si>
  <si>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</si>
  <si>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</si>
  <si>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</si>
  <si>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</si>
  <si>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</si>
  <si>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</si>
  <si>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</si>
  <si>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</si>
  <si>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</si>
  <si>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</si>
  <si>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</si>
  <si>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</si>
  <si>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</si>
  <si>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</si>
  <si>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</si>
  <si>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</si>
  <si>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</si>
  <si>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</si>
  <si>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</si>
  <si>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</si>
  <si>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</si>
  <si>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</si>
  <si>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</si>
  <si>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</si>
  <si>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</si>
  <si>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</si>
  <si>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</si>
  <si>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</si>
  <si>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</si>
  <si>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</si>
  <si>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</si>
  <si>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</si>
  <si>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</si>
  <si>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</si>
  <si>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</si>
  <si>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</si>
  <si>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</si>
  <si>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</si>
  <si>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</si>
  <si>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</si>
  <si>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</si>
  <si>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</si>
  <si>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</si>
  <si>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</si>
  <si>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</si>
  <si>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</si>
  <si>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</si>
  <si>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</si>
  <si>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</si>
  <si>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</si>
  <si>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</si>
  <si>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</si>
  <si>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</si>
  <si>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</si>
  <si>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</si>
  <si>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</si>
  <si>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</si>
  <si>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</si>
  <si>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</si>
  <si>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</si>
  <si>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</si>
  <si>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</si>
  <si>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</si>
  <si>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</si>
  <si>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</si>
  <si>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</si>
  <si>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</si>
  <si>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</si>
  <si>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</si>
  <si>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</si>
  <si>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</si>
  <si>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</si>
  <si>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</si>
  <si>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</si>
  <si>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</si>
  <si>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</si>
  <si>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</si>
  <si>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</si>
  <si>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</si>
  <si>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</si>
  <si>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</si>
  <si>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</si>
  <si>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4.4</t>
  </si>
  <si>
    <t>93591</t>
  </si>
  <si>
    <t>Transporte com caminhão basculante 14 m³, em via urbana em leito natural. AF_07/2020</t>
  </si>
  <si>
    <t>Ø 400</t>
  </si>
  <si>
    <t>LARGURA</t>
  </si>
  <si>
    <t>(m)</t>
  </si>
  <si>
    <t>TRECHO</t>
  </si>
  <si>
    <t>BAIRRO</t>
  </si>
  <si>
    <t>(und.)</t>
  </si>
  <si>
    <t>PROFUNDIDADE</t>
  </si>
  <si>
    <t>TOTAL (A)</t>
  </si>
  <si>
    <t>PREPARO DE FUNDO</t>
  </si>
  <si>
    <t>VOLUME TUBOS</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</si>
  <si>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</si>
  <si>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</si>
  <si>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</si>
  <si>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</si>
  <si>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</si>
  <si>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</si>
  <si>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</si>
  <si>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</si>
  <si>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</si>
  <si>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</si>
  <si>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</si>
  <si>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</si>
  <si>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</si>
  <si>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</si>
  <si>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</si>
  <si>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</si>
  <si>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</si>
  <si>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</si>
  <si>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</si>
  <si>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CBUQ</t>
  </si>
  <si>
    <t>RUAS</t>
  </si>
  <si>
    <t>ESPESSURA (m)</t>
  </si>
  <si>
    <t>LARGURA (m)</t>
  </si>
  <si>
    <t>DEMOLIÇÃO (m³)</t>
  </si>
  <si>
    <t>EXTENSÃO (m)</t>
  </si>
  <si>
    <t>CALÇADA  (m²)</t>
  </si>
  <si>
    <t>PASSEIO</t>
  </si>
  <si>
    <t>D = A x C x esp</t>
  </si>
  <si>
    <t>ESCAVAÇÃO PARA MEIO FIO (m³)</t>
  </si>
  <si>
    <t>LIMPEZA MECANIZADA (m²)</t>
  </si>
  <si>
    <t>IMPRIMAÇAO (m²)</t>
  </si>
  <si>
    <t>PINT. LIG.  (m²)</t>
  </si>
  <si>
    <t>MEMÓRIA DE CÁLCULO PARA INFRAESTRUTURA</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</si>
  <si>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</si>
  <si>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</si>
  <si>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</si>
  <si>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</si>
  <si>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</si>
  <si>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</si>
  <si>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</si>
  <si>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</si>
  <si>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</si>
  <si>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</si>
  <si>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</si>
  <si>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</si>
  <si>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</si>
  <si>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1.3</t>
  </si>
  <si>
    <t>I</t>
  </si>
  <si>
    <t>ENGENHEIRO CIVIL DE OBRA PLENO COM ENCARGOS COMPLEMENTARES</t>
  </si>
  <si>
    <t>ENCARREGADO GERAL COM ENCARGOS COMPLEMENTARES</t>
  </si>
  <si>
    <t>VIGIA NOTURNO COM ENCARGOS COMPLEMENTARES</t>
  </si>
  <si>
    <t>Engenheiro Civil</t>
  </si>
  <si>
    <t>Encarregado Geral</t>
  </si>
  <si>
    <t>Vigia noturno</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</si>
  <si>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</si>
  <si>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</si>
  <si>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</si>
  <si>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</si>
  <si>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</si>
  <si>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</si>
  <si>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</si>
  <si>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</si>
  <si>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</si>
  <si>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</si>
  <si>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</si>
  <si>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</si>
  <si>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</si>
  <si>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</si>
  <si>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</si>
  <si>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</si>
  <si>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</si>
  <si>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</si>
  <si>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</si>
  <si>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</si>
  <si>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</si>
  <si>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</si>
  <si>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</si>
  <si>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</si>
  <si>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</si>
  <si>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</si>
  <si>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</si>
  <si>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</si>
  <si>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</si>
  <si>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</si>
  <si>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</si>
  <si>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</si>
  <si>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</si>
  <si>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</si>
  <si>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</si>
  <si>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</si>
  <si>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</si>
  <si>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</si>
  <si>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</si>
  <si>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</si>
  <si>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</si>
  <si>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</si>
  <si>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</si>
  <si>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</si>
  <si>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4.5</t>
  </si>
  <si>
    <t>4.5.1</t>
  </si>
  <si>
    <t>4.5.2</t>
  </si>
  <si>
    <t>4.5.3</t>
  </si>
  <si>
    <t>4.5.4</t>
  </si>
  <si>
    <t>4.5.5</t>
  </si>
  <si>
    <t>4.5.6</t>
  </si>
  <si>
    <t>4.5.7</t>
  </si>
  <si>
    <t>4.6</t>
  </si>
  <si>
    <t>4.6.1</t>
  </si>
  <si>
    <t>4.6.2</t>
  </si>
  <si>
    <t>4.6.3</t>
  </si>
  <si>
    <t>4.6.4</t>
  </si>
  <si>
    <t>4.6.5</t>
  </si>
  <si>
    <t>4.6.6</t>
  </si>
  <si>
    <t>4.6.7</t>
  </si>
  <si>
    <t>4.7</t>
  </si>
  <si>
    <t>4.7.1</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</si>
  <si>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</si>
  <si>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</si>
  <si>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</si>
  <si>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</si>
  <si>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</si>
  <si>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</si>
  <si>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</si>
  <si>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</si>
  <si>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</si>
  <si>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</si>
  <si>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</si>
  <si>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</si>
  <si>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</si>
  <si>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5.4</t>
  </si>
  <si>
    <t>TOTAL DO ITEM 8:</t>
  </si>
  <si>
    <t>7.2</t>
  </si>
  <si>
    <t>7.3</t>
  </si>
  <si>
    <t>7.4</t>
  </si>
  <si>
    <t>8.1</t>
  </si>
  <si>
    <t xml:space="preserve">OBSERVAÇÃO JENIFFER: TEM QUE DEIXAR ESTA LISTA (DADOS) E AS MEMÓRIAS NA MESMA ORDEM DE RUAS PARA QUE O VALOR INDIVIDUAL SEJA CALCULADO CORRETAMENTE. </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</si>
  <si>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</si>
  <si>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</si>
  <si>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</si>
  <si>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</si>
  <si>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</si>
  <si>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</si>
  <si>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</si>
  <si>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</si>
  <si>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</si>
  <si>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</si>
  <si>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</si>
  <si>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</si>
  <si>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</si>
  <si>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</si>
  <si>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</si>
  <si>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4.1.8</t>
  </si>
  <si>
    <t>fazer cpu p atualizar</t>
  </si>
  <si>
    <t>Limpeza do terreno</t>
  </si>
  <si>
    <t>4.2.8</t>
  </si>
  <si>
    <t>4.3.8</t>
  </si>
  <si>
    <t>4.3.9</t>
  </si>
  <si>
    <t>4.4.8</t>
  </si>
  <si>
    <t>4.4.9</t>
  </si>
  <si>
    <t>4.5.8</t>
  </si>
  <si>
    <t>4.5.9</t>
  </si>
  <si>
    <t>4.6.8</t>
  </si>
  <si>
    <t>4.6.9</t>
  </si>
  <si>
    <t>CAMADA ARENOSO</t>
  </si>
  <si>
    <t>UNID.</t>
  </si>
  <si>
    <t xml:space="preserve">$ UNIT. </t>
  </si>
  <si>
    <t>CÁLCULO DA MÉDIA  =</t>
  </si>
  <si>
    <t>ESCAVAÇÃO MECANIZADA</t>
  </si>
  <si>
    <t>CARGA  E DESCARGA</t>
  </si>
  <si>
    <t>ATERRO</t>
  </si>
  <si>
    <t>ESCORAMENTO</t>
  </si>
  <si>
    <t>TRANSPORTE ESCAVAÇÃO</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</si>
  <si>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</si>
  <si>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</si>
  <si>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</si>
  <si>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</si>
  <si>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</si>
  <si>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</si>
  <si>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</si>
  <si>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</si>
  <si>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</si>
  <si>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</si>
  <si>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</si>
  <si>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</si>
  <si>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</si>
  <si>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</si>
  <si>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</si>
  <si>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</si>
  <si>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</si>
  <si>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</si>
  <si>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</si>
  <si>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</si>
  <si>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</si>
  <si>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</si>
  <si>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</si>
  <si>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</si>
  <si>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LISTA DE RUAS (DADOS GERAIS)</t>
  </si>
  <si>
    <t>ATERRO ARENOSO</t>
  </si>
  <si>
    <t>Ø 1500</t>
  </si>
  <si>
    <t>Ø 1200</t>
  </si>
  <si>
    <t>Ø 1000</t>
  </si>
  <si>
    <t>Ø 800</t>
  </si>
  <si>
    <t>95877</t>
  </si>
  <si>
    <t>Transporte com caminhão basculante 18 m³, em via urbana pavimentada até DMT 30 km. AF_07/2020</t>
  </si>
  <si>
    <t>m³ x Km</t>
  </si>
  <si>
    <t>E = C x D</t>
  </si>
  <si>
    <t>G = E x 1,3 x DMT</t>
  </si>
  <si>
    <t>M</t>
  </si>
  <si>
    <t>L = I x 1,3 x DMT</t>
  </si>
  <si>
    <t>Aterro arenoso</t>
  </si>
  <si>
    <t>EXECUÇÃO E COMPACTAÇÃO (m³)</t>
  </si>
  <si>
    <t xml:space="preserve">CÓDIGO DESONERADO </t>
  </si>
  <si>
    <t>Locação de pavimentação. AF_10/2018</t>
  </si>
  <si>
    <t>95995</t>
  </si>
  <si>
    <t>Execução de pavimento com aplicação de concreto asfáltico, camada de rolamento - exclusive carga e transporte. AF_11/2019</t>
  </si>
  <si>
    <t>TON</t>
  </si>
  <si>
    <t>M³</t>
  </si>
  <si>
    <t>Øext  + 0,5</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</si>
  <si>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</si>
  <si>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</si>
  <si>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</si>
  <si>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</si>
  <si>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</si>
  <si>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</si>
  <si>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</si>
  <si>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</si>
  <si>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</si>
  <si>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</si>
  <si>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</si>
  <si>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</si>
  <si>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</si>
  <si>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</si>
  <si>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7.5</t>
  </si>
  <si>
    <t>VI</t>
  </si>
  <si>
    <t>1,5 ≤ H ≥ 3,0 e 1,5 ≤ L ≥ 2,5</t>
  </si>
  <si>
    <t>CBUQ (m³)</t>
  </si>
  <si>
    <t>REATERRO</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</si>
  <si>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</si>
  <si>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</si>
  <si>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</si>
  <si>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</si>
  <si>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</si>
  <si>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</si>
  <si>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</si>
  <si>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</si>
  <si>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Q = E x 1,3 x DMT</t>
  </si>
  <si>
    <t>6.3</t>
  </si>
  <si>
    <t>6.4</t>
  </si>
  <si>
    <t>6.5</t>
  </si>
  <si>
    <t>6.6</t>
  </si>
  <si>
    <t>CPU - V</t>
  </si>
  <si>
    <t>CPU - VI</t>
  </si>
  <si>
    <t>SERVIÇO: Execução e compactação de base e ou sub base para pavimentação de solo estabilizado granulometricamente sem mistura de solos - exclusive escavação, carga e transporte. AF_11/2019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</si>
  <si>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</si>
  <si>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</si>
  <si>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</si>
  <si>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</si>
  <si>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</si>
  <si>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</si>
  <si>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</si>
  <si>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</si>
  <si>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</si>
  <si>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</si>
  <si>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</si>
  <si>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</si>
  <si>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</si>
  <si>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</si>
  <si>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</si>
  <si>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</si>
  <si>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</si>
  <si>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</si>
  <si>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</si>
  <si>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</si>
  <si>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</si>
  <si>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</si>
  <si>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</si>
  <si>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</si>
  <si>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</si>
  <si>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</si>
  <si>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</si>
  <si>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</si>
  <si>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</si>
  <si>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</si>
  <si>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</si>
  <si>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</si>
  <si>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</si>
  <si>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</si>
  <si>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</si>
  <si>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</si>
  <si>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</si>
  <si>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</si>
  <si>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</si>
  <si>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</si>
  <si>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</si>
  <si>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</si>
  <si>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</si>
  <si>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</si>
  <si>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</si>
  <si>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</si>
  <si>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 xml:space="preserve">OBSERVAÇÃO: </t>
  </si>
  <si>
    <t xml:space="preserve">AJUSTAR QUANTIDADE DE MESES CONFORME NECESSIDADE/DEMANDA DA OBRA </t>
  </si>
  <si>
    <t>Tubo em concreto simples d= 400mm (fornecimento)</t>
  </si>
  <si>
    <t>Tubo em concreto armado d= 600mm (fornecimento)</t>
  </si>
  <si>
    <t>Tubo em concreto armado d= 800mm (fornecimento)</t>
  </si>
  <si>
    <t>Tubo em concreto armado d= 1000mm (fornecimento)</t>
  </si>
  <si>
    <t>Tubo de concreto armado para águas pluviais, classe PA-3, diâmetro nominal de 1200 mm (fornecimento)</t>
  </si>
  <si>
    <t>Tubo de concreto armado para águas pluviais, classe PA-3, diâmetro nominal de 1500 mm (fornecimento)</t>
  </si>
  <si>
    <t>3.5</t>
  </si>
  <si>
    <t>Aterro incluindo carga, descarga, transporte e apiloamento (CALÇADA)</t>
  </si>
  <si>
    <t>ATERRO (m³)</t>
  </si>
  <si>
    <t xml:space="preserve">Execução e compactação de base e ou sub base para pavimentação de solo estabilizado granulometricamente sem mistura de solos - exclusive escavação, carga e transporte. AF_11/2019. </t>
  </si>
  <si>
    <t>Serviço: Execução de pintura de ligação com emulsão asfáltica RR-2C. AF_11/2019</t>
  </si>
  <si>
    <t>REF - SINAPI 96402</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</si>
  <si>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</si>
  <si>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</si>
  <si>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</si>
  <si>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 xml:space="preserve">CBAA - ASFALTOS LTDA </t>
  </si>
  <si>
    <t>Emulsão Asfáltica Cationica Tipo RR-2C.</t>
  </si>
  <si>
    <t>DATA</t>
  </si>
  <si>
    <t>Eco- Imprima E.A.I</t>
  </si>
  <si>
    <t>EMAM ASFALTOS (Acará/PA)</t>
  </si>
  <si>
    <t>VII</t>
  </si>
  <si>
    <t>WBL - NKN</t>
  </si>
  <si>
    <t>7.6</t>
  </si>
  <si>
    <t>Fresagem de pavimento asfaltico (profundidade até 5,0 cm) - exclusive transporte. AF_11/2019</t>
  </si>
  <si>
    <t>FRESAGEM (m²)</t>
  </si>
  <si>
    <t>E = D</t>
  </si>
  <si>
    <t>F = A x C x 2</t>
  </si>
  <si>
    <t>G = H x 0,43 x 0,10</t>
  </si>
  <si>
    <t>H = A x 2</t>
  </si>
  <si>
    <t>K = A x B</t>
  </si>
  <si>
    <t>Q = A x B</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</si>
  <si>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</si>
  <si>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</si>
  <si>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</si>
  <si>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</si>
  <si>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</si>
  <si>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</si>
  <si>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</si>
  <si>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</si>
  <si>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</si>
  <si>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</si>
  <si>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</si>
  <si>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</si>
  <si>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</si>
  <si>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</si>
  <si>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</si>
  <si>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</si>
  <si>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</si>
  <si>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SARJETA (m)</t>
  </si>
  <si>
    <t>MEIO FIO (m)</t>
  </si>
  <si>
    <t>I = A x 2</t>
  </si>
  <si>
    <t>J = D + G</t>
  </si>
  <si>
    <t>L = A x B</t>
  </si>
  <si>
    <t>N= L x M</t>
  </si>
  <si>
    <t>O = N x DMT</t>
  </si>
  <si>
    <t>R = A x B</t>
  </si>
  <si>
    <t>REF - SINAPI</t>
  </si>
  <si>
    <t>TERRAPLENAGEM / CAIXA PRIMÁRIA</t>
  </si>
  <si>
    <t xml:space="preserve">ESCAVAÇÃO (m³) BF/ REFORÇO SUBLEITO </t>
  </si>
  <si>
    <t>TRANSPORTE (m³ x km) bf</t>
  </si>
  <si>
    <t xml:space="preserve">ESCAVAÇÃO E CARGA (m³) REFORÇO SUBLEITO </t>
  </si>
  <si>
    <t xml:space="preserve">MATERIAL (m³) REFORÇO SUBLEITO </t>
  </si>
  <si>
    <t>TRANSPORTE (m³ x km) &lt;30KM</t>
  </si>
  <si>
    <t>TRANSPORTE (m³ x km) &gt;30KM</t>
  </si>
  <si>
    <t xml:space="preserve">COMPACTAÇÃO (m³) REFORÇO SUBLEITO </t>
  </si>
  <si>
    <t>H = C x D</t>
  </si>
  <si>
    <t>I = F x 1,3 x DMT</t>
  </si>
  <si>
    <t>J = H</t>
  </si>
  <si>
    <t>5.5</t>
  </si>
  <si>
    <t>5.6</t>
  </si>
  <si>
    <t>5.7</t>
  </si>
  <si>
    <t>Escavacao e carga material 1a categoria, utilizando trator de esteiras de 110 a 160hp com lamina, peso operacional * 13t e pa carregadeira com 170 hp.</t>
  </si>
  <si>
    <t>Transporte com caminhão basculante de 6 m3, em via urbana pavimentada, dmt até 30 km (unidade: m3xkm). Af_01/2018</t>
  </si>
  <si>
    <t>Argila, argila vermelha ou argila arenosa (retirada na jazida, sem transporte)</t>
  </si>
  <si>
    <t>Transporte com caminhão basculante de 18 m3, em via urbana pavimentada , dmt até 30 km (unidade: m3xkm). Af_12/2016</t>
  </si>
  <si>
    <t>Transporte com caminhão basculante de 18 m3, em via urbana pavimentada, dmt acima de 30km (unidade: m3xkm). Af_04/2016</t>
  </si>
  <si>
    <t>Execução e compactação de aterro com solo predominantemente argiloso - exclusive escavação, carga e transporte e solo. Af_09/2017</t>
  </si>
  <si>
    <t>m³ x km</t>
  </si>
  <si>
    <t>REMENDO PROFUNDO</t>
  </si>
  <si>
    <t>DEMOLIÇÃO PAV</t>
  </si>
  <si>
    <t>EXECUÇÃO (m³)</t>
  </si>
  <si>
    <t>H = A x B x %</t>
  </si>
  <si>
    <t>I = A x B x 0,70 x %</t>
  </si>
  <si>
    <t>K = (H+J) x 0,05 + I</t>
  </si>
  <si>
    <t>L = J x 1,3 x DMT</t>
  </si>
  <si>
    <t>101835</t>
  </si>
  <si>
    <t>Recomposição de base e ou sub-base para remendo profundo de brita gruada simples - incluso retirada e colocação do material. Af_12/2020</t>
  </si>
  <si>
    <t>97636</t>
  </si>
  <si>
    <t>Demolição parcial de pavimento asfáltico, de forma mecanizada, sem reaproveitamento. Af_12/2017</t>
  </si>
  <si>
    <t>Carga e descarga mecanizadas de entulho em caminhao basculante 6 m3</t>
  </si>
  <si>
    <t>FRESAGEM</t>
  </si>
  <si>
    <t>RECOMPOSIÇÃO</t>
  </si>
  <si>
    <t>TRANSPORTE</t>
  </si>
  <si>
    <t>CARGA</t>
  </si>
  <si>
    <t>7.7</t>
  </si>
  <si>
    <t>7.8</t>
  </si>
  <si>
    <t>7.9</t>
  </si>
  <si>
    <t>CAMADA PEDREGULHO</t>
  </si>
  <si>
    <t>Execução e compactação de base e ou sub base para pavimentação de solo arenoso (SOLO MELHORADO COM PEDREGULHO) - exclusive escavação, carga e transporte. (Seixo: 31 % / Aterro: 69%)</t>
  </si>
  <si>
    <t>SERVIÇO: Execução e compactação de base e ou sub base para pavimentação de solo arenoso (SOLO MELHORADO COM PEDREGULHO) - exclusive escavação, carga e transporte. (Seixo: 31 % / Aterro: 69%)</t>
  </si>
  <si>
    <t>PEDREGULHO OU PICARRA DE JAZIDA, AO NATURAL, PARA BASE DE PAVIMENTACAO</t>
  </si>
  <si>
    <t>VIAS</t>
  </si>
  <si>
    <t>ÁREA</t>
  </si>
  <si>
    <t>OBSERVAÇÃO 2 JENIFFER: APENAS """"OCULTAR"""" OS ITENS E LINHAS DA MEMÓRIA QUE NÃO SERÃO CONTEMPLADOS, INCLUSIVE AS GUIAS!</t>
  </si>
  <si>
    <t>OBSERVAÇÃO 3 JENIFFER: NÃO ENCAMINHAR JUNTO AO PROCESSO OS DADOS DE VALORES POR RUA</t>
  </si>
  <si>
    <t>OBSERVAÇÃO 4 JENIFFER: SE UM NOVO ITEM (SERVIÇO) FOR ADICIONADO À PLANILHA, DEVERÁ INCLUIR O $ UNIT (C/ BDI) DO MESMO NO CÁLCULO DE VALOR POR RUA</t>
  </si>
  <si>
    <t>SERVIÇOS DE DRENAGEM PROFUNDA</t>
  </si>
  <si>
    <t>SERVIÇOS DE DRENAGEM SUPERFICIAL</t>
  </si>
  <si>
    <t>D = AxBxC</t>
  </si>
  <si>
    <t>F = E x empolamento 25% x DMT</t>
  </si>
  <si>
    <t>G = AxB</t>
  </si>
  <si>
    <t>H = G</t>
  </si>
  <si>
    <t>I = (πxr²)xA</t>
  </si>
  <si>
    <t>E = I</t>
  </si>
  <si>
    <t>J = (D - I) x 70%</t>
  </si>
  <si>
    <t>K = (D - I) x 30%</t>
  </si>
  <si>
    <t>L = AxCx2</t>
  </si>
  <si>
    <t>M = A</t>
  </si>
  <si>
    <t>((Øext +0,6)+((Øext +0,6)+(Ax0,5%)))/2</t>
  </si>
  <si>
    <t>ESCAVAÇÃO (m³)             BF</t>
  </si>
  <si>
    <t>ESPESSURA DE ATERRO (m)</t>
  </si>
  <si>
    <t xml:space="preserve">ESCAVAÇÃO E MATERIAL (m³) REFORÇO SUBLEITO </t>
  </si>
  <si>
    <t>ESPALHAMENTO (m³)</t>
  </si>
  <si>
    <t>K</t>
  </si>
  <si>
    <t>L = C x K</t>
  </si>
  <si>
    <t>M = L</t>
  </si>
  <si>
    <t>N = L x 1,3 x DMT</t>
  </si>
  <si>
    <t>O</t>
  </si>
  <si>
    <t>P = C x O</t>
  </si>
  <si>
    <t>Q = P</t>
  </si>
  <si>
    <t>P = N</t>
  </si>
  <si>
    <t>R = P x 1,3 x DMT</t>
  </si>
  <si>
    <t>Escavacao e carga material 1a categoria, utilizando trator de esteiras de 110 a 160hp com lamina, peso operacional * 13t e pa carregadeira com 170 hp.  (Jazida)</t>
  </si>
  <si>
    <t>5.8</t>
  </si>
  <si>
    <t>ESCAVAÇÃO JAZIDA</t>
  </si>
  <si>
    <t>6.7</t>
  </si>
  <si>
    <t>6.8</t>
  </si>
  <si>
    <t>ESCAVAÇÃO E CARGA (m³)  (m³)</t>
  </si>
  <si>
    <t>ESCAVAÇÃO E CARGA (m³)</t>
  </si>
  <si>
    <t>TRANSPORTE  (m³ x km) &lt;30KM</t>
  </si>
  <si>
    <t>DATA BASE: SEDOP - FEVEREIRO/2023 ; SINAPI - ABRIL/2023 ; ORSE FEVEREIRO/2023; SICRO JULHO/2022</t>
  </si>
  <si>
    <t>R. CANARINHO</t>
  </si>
  <si>
    <t>PASS. TRÊS IRMÃOS / AL. SANTOS</t>
  </si>
  <si>
    <t>CURUÇAMBÁ</t>
  </si>
  <si>
    <t>R. SEM NOME 1</t>
  </si>
  <si>
    <t>EST. DO CURUÇAMBÁ / PASS. CANARINHO</t>
  </si>
  <si>
    <t>EST. DO CURUÇAMBÁ</t>
  </si>
  <si>
    <t>PASS. SOL NASCENTE</t>
  </si>
  <si>
    <t>AL. NOVA ESPERANÇA / R. FREI DAMIÃO</t>
  </si>
  <si>
    <t>AL. NOVA ESPERANÇA</t>
  </si>
  <si>
    <t>R. QUARTA DA HORA / R. OLHO D'ÁGUA</t>
  </si>
  <si>
    <t>EXECUÇÃO DOS SERVIÇOS DE DRENAGEM PROFUNDA NA RUA CANARINHO, RUA SEM NOME 1 E ESTRADA DO CURUÇAMBÁ, E DRENAGEM PROFUNDA, CALÇADA E TERRAPLENAGEM NA PASSAGEM SOL NASCENTE E ALAMEDA NOVA ESPERANÇA, NO BAIRRO DO CURUÇAMBÁ - SITUADAS NO MUNICÍPIO DE ANANINDEUA (PA).</t>
  </si>
  <si>
    <t>R. SEM NOME  / R. BEIRA MAR</t>
  </si>
  <si>
    <t>UM MILHÃO, CENTO E NOVENTA E NOVE MIL, TREZENTOS E OITENTA E QUATRO REAIS E VINTE E SETE CENTAVOS</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</si>
</sst>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 numFmtId="196" formatCode="0.00000000"/>
  </numFmts>
  <fonts count="112">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sz val="36"/>
      <name val="Ebrima"/>
      <family val="0"/>
    </font>
    <font>
      <b/>
      <sz val="36"/>
      <name val="Ebrima"/>
      <family val="0"/>
    </font>
    <font>
      <sz val="34"/>
      <name val="Ebrima"/>
      <family val="0"/>
    </font>
    <font>
      <b/>
      <sz val="34"/>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32"/>
      <color indexed="8"/>
      <name val="Calibri"/>
      <family val="2"/>
    </font>
    <font>
      <b/>
      <sz val="20"/>
      <color indexed="9"/>
      <name val="Ebrima"/>
      <family val="0"/>
    </font>
    <font>
      <b/>
      <sz val="32"/>
      <name val="Calibri"/>
      <family val="2"/>
    </font>
    <font>
      <b/>
      <sz val="16"/>
      <color indexed="8"/>
      <name val="Ebrima"/>
      <family val="0"/>
    </font>
    <font>
      <sz val="16"/>
      <color indexed="8"/>
      <name val="Ebrima"/>
      <family val="0"/>
    </font>
    <font>
      <sz val="18"/>
      <color indexed="8"/>
      <name val="Cambria Math"/>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sz val="11"/>
      <color rgb="FF000000"/>
      <name val="Ebrima"/>
      <family val="0"/>
    </font>
    <font>
      <b/>
      <sz val="10"/>
      <color rgb="FF000000"/>
      <name val="Ebrima"/>
      <family val="0"/>
    </font>
    <font>
      <b/>
      <sz val="8"/>
      <color rgb="FF000000"/>
      <name val="Ebrima"/>
      <family val="0"/>
    </font>
    <font>
      <b/>
      <sz val="9"/>
      <color rgb="FF000000"/>
      <name val="Ebrima"/>
      <family val="0"/>
    </font>
    <font>
      <b/>
      <sz val="20"/>
      <color theme="0"/>
      <name val="Ebrima"/>
      <family val="0"/>
    </font>
    <font>
      <b/>
      <sz val="16"/>
      <color theme="1"/>
      <name val="Ebrima"/>
      <family val="0"/>
    </font>
    <font>
      <sz val="16"/>
      <color theme="1"/>
      <name val="Ebrima"/>
      <family val="0"/>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theme="2"/>
        <bgColor indexed="64"/>
      </patternFill>
    </fill>
    <fill>
      <patternFill patternType="solid">
        <fgColor rgb="FFFF0000"/>
        <bgColor indexed="64"/>
      </patternFill>
    </fill>
    <fill>
      <patternFill patternType="solid">
        <fgColor theme="1" tint="0.04998999834060669"/>
        <bgColor indexed="64"/>
      </patternFill>
    </fill>
    <fill>
      <patternFill patternType="solid">
        <fgColor theme="1" tint="0.04998999834060669"/>
        <bgColor indexed="64"/>
      </patternFill>
    </fill>
    <fill>
      <patternFill patternType="solid">
        <fgColor theme="4" tint="-0.24997000396251678"/>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color indexed="63"/>
      </left>
      <right>
        <color indexed="63"/>
      </right>
      <top>
        <color indexed="63"/>
      </top>
      <bottom style="double"/>
    </border>
    <border>
      <left>
        <color indexed="63"/>
      </left>
      <right style="medium"/>
      <top>
        <color indexed="63"/>
      </top>
      <bottom style="double"/>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thin"/>
      <top style="medium"/>
      <bottom style="thin"/>
    </border>
    <border>
      <left style="thin"/>
      <right style="medium"/>
      <top style="medium"/>
      <bottom style="medium"/>
    </border>
    <border>
      <left style="thin"/>
      <right style="thin"/>
      <top>
        <color indexed="63"/>
      </top>
      <bottom>
        <color indexed="63"/>
      </bottom>
    </border>
    <border>
      <left>
        <color indexed="63"/>
      </left>
      <right style="thin"/>
      <top style="thin"/>
      <bottom style="medium"/>
    </border>
    <border>
      <left style="thin"/>
      <right style="medium"/>
      <top style="thin"/>
      <bottom/>
    </border>
    <border>
      <left style="medium"/>
      <right>
        <color indexed="63"/>
      </right>
      <top style="thin"/>
      <bottom style="medium"/>
    </border>
    <border>
      <left/>
      <right style="medium"/>
      <top/>
      <bottom style="medium"/>
    </border>
    <border>
      <left>
        <color indexed="63"/>
      </left>
      <right style="thin"/>
      <top>
        <color indexed="63"/>
      </top>
      <bottom style="thin"/>
    </border>
    <border>
      <left style="thin"/>
      <right style="medium"/>
      <top style="double"/>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medium"/>
      <bottom style="medium"/>
    </border>
    <border>
      <left>
        <color indexed="63"/>
      </left>
      <right style="thin"/>
      <top style="medium"/>
      <bottom>
        <color indexed="63"/>
      </bottom>
    </border>
    <border>
      <left>
        <color indexed="63"/>
      </left>
      <right>
        <color indexed="63"/>
      </right>
      <top>
        <color indexed="63"/>
      </top>
      <bottom style="thin"/>
    </border>
    <border>
      <left style="thin"/>
      <right style="medium"/>
      <top style="thin"/>
      <bottom style="double"/>
    </border>
    <border>
      <left style="thick">
        <color rgb="FFFF0000"/>
      </left>
      <right style="thin"/>
      <top style="thin"/>
      <bottom style="thin"/>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n"/>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style="thin"/>
    </border>
    <border>
      <left style="medium"/>
      <right>
        <color indexed="63"/>
      </right>
      <top style="medium"/>
      <bottom style="medium"/>
    </border>
    <border>
      <left style="medium"/>
      <right style="thin"/>
      <top style="medium"/>
      <bottom style="thin"/>
    </border>
    <border>
      <left style="thin"/>
      <right>
        <color indexed="63"/>
      </right>
      <top style="medium"/>
      <bottom style="thin"/>
    </border>
    <border>
      <left style="double"/>
      <right>
        <color indexed="63"/>
      </right>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medium"/>
      <bottom style="medium"/>
    </border>
    <border>
      <left style="thin"/>
      <right style="thin"/>
      <top style="double"/>
      <bottom>
        <color indexed="63"/>
      </bottom>
    </border>
    <border>
      <left>
        <color indexed="63"/>
      </left>
      <right style="thin"/>
      <top>
        <color indexed="63"/>
      </top>
      <bottom>
        <color indexed="63"/>
      </bottom>
    </border>
    <border>
      <left>
        <color indexed="63"/>
      </left>
      <right style="thin"/>
      <top/>
      <bottom style="double"/>
    </border>
    <border>
      <left>
        <color indexed="63"/>
      </left>
      <right style="thin"/>
      <top style="double"/>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
      <left style="thin"/>
      <right>
        <color indexed="63"/>
      </right>
      <top style="double"/>
      <bottom style="double"/>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0"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73"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3" fillId="0" borderId="0" applyFont="0" applyFill="0" applyBorder="0" applyAlignment="0" applyProtection="0"/>
    <xf numFmtId="9" fontId="0" fillId="0" borderId="0" applyFill="0" applyBorder="0" applyAlignment="0" applyProtection="0"/>
    <xf numFmtId="0" fontId="82"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3"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9" fillId="0" borderId="9" applyNumberFormat="0" applyFill="0" applyAlignment="0" applyProtection="0"/>
    <xf numFmtId="167"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cellStyleXfs>
  <cellXfs count="1398">
    <xf numFmtId="0" fontId="0" fillId="0" borderId="0" xfId="0" applyAlignment="1">
      <alignment/>
    </xf>
    <xf numFmtId="0" fontId="55" fillId="0" borderId="0" xfId="0" applyFont="1" applyAlignment="1">
      <alignment vertical="center"/>
    </xf>
    <xf numFmtId="0" fontId="55" fillId="0" borderId="0" xfId="54" applyFont="1" applyAlignment="1">
      <alignment vertical="center"/>
      <protection/>
    </xf>
    <xf numFmtId="0" fontId="90" fillId="33" borderId="0" xfId="0" applyFont="1" applyFill="1" applyAlignment="1">
      <alignment vertical="center"/>
    </xf>
    <xf numFmtId="0" fontId="55" fillId="0" borderId="10" xfId="0" applyFont="1" applyFill="1" applyBorder="1" applyAlignment="1">
      <alignment horizontal="center" vertical="center"/>
    </xf>
    <xf numFmtId="4" fontId="55" fillId="0" borderId="10" xfId="0" applyNumberFormat="1" applyFont="1" applyFill="1" applyBorder="1" applyAlignment="1">
      <alignment horizontal="right" vertical="center"/>
    </xf>
    <xf numFmtId="0" fontId="55" fillId="0" borderId="11" xfId="0" applyFont="1" applyFill="1" applyBorder="1" applyAlignment="1">
      <alignment vertical="center"/>
    </xf>
    <xf numFmtId="4" fontId="55" fillId="0" borderId="12" xfId="0" applyNumberFormat="1" applyFont="1" applyFill="1" applyBorder="1" applyAlignment="1">
      <alignment horizontal="right" vertical="center"/>
    </xf>
    <xf numFmtId="0" fontId="55" fillId="0" borderId="11" xfId="0" applyFont="1" applyFill="1" applyBorder="1" applyAlignment="1">
      <alignment horizontal="center" vertical="center"/>
    </xf>
    <xf numFmtId="0" fontId="57" fillId="34" borderId="13" xfId="0" applyFont="1" applyFill="1" applyBorder="1" applyAlignment="1">
      <alignment vertical="center"/>
    </xf>
    <xf numFmtId="0" fontId="57" fillId="34" borderId="14" xfId="0" applyFont="1" applyFill="1" applyBorder="1" applyAlignment="1">
      <alignment vertical="center"/>
    </xf>
    <xf numFmtId="0" fontId="57" fillId="34" borderId="15" xfId="0" applyFont="1" applyFill="1" applyBorder="1" applyAlignment="1">
      <alignment vertical="center"/>
    </xf>
    <xf numFmtId="4" fontId="57" fillId="34" borderId="16" xfId="0" applyNumberFormat="1"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horizontal="center" vertical="center"/>
    </xf>
    <xf numFmtId="0" fontId="57" fillId="34" borderId="19" xfId="0" applyFont="1" applyFill="1" applyBorder="1" applyAlignment="1">
      <alignment vertical="center"/>
    </xf>
    <xf numFmtId="2" fontId="57" fillId="34" borderId="19" xfId="0" applyNumberFormat="1" applyFont="1" applyFill="1" applyBorder="1" applyAlignment="1">
      <alignment vertical="center"/>
    </xf>
    <xf numFmtId="4" fontId="55" fillId="0" borderId="20" xfId="0" applyNumberFormat="1" applyFont="1" applyFill="1" applyBorder="1" applyAlignment="1">
      <alignment vertical="center"/>
    </xf>
    <xf numFmtId="0" fontId="55" fillId="0" borderId="21" xfId="0" applyFont="1" applyFill="1" applyBorder="1" applyAlignment="1">
      <alignment horizontal="left" vertical="center" wrapText="1"/>
    </xf>
    <xf numFmtId="2" fontId="55" fillId="0" borderId="18" xfId="0" applyNumberFormat="1" applyFont="1" applyFill="1" applyBorder="1" applyAlignment="1">
      <alignment horizontal="right" vertical="center"/>
    </xf>
    <xf numFmtId="4" fontId="55" fillId="0" borderId="18" xfId="0" applyNumberFormat="1" applyFont="1" applyFill="1" applyBorder="1" applyAlignment="1">
      <alignment horizontal="right" vertical="center"/>
    </xf>
    <xf numFmtId="0" fontId="55" fillId="0" borderId="22" xfId="0" applyFont="1" applyFill="1" applyBorder="1" applyAlignment="1">
      <alignment vertical="top" wrapText="1"/>
    </xf>
    <xf numFmtId="188" fontId="55" fillId="0" borderId="10" xfId="0" applyNumberFormat="1" applyFont="1" applyFill="1" applyBorder="1" applyAlignment="1">
      <alignment horizontal="right" vertical="center"/>
    </xf>
    <xf numFmtId="0" fontId="55" fillId="0" borderId="22" xfId="0" applyFont="1" applyFill="1" applyBorder="1" applyAlignment="1">
      <alignment vertical="center" wrapText="1"/>
    </xf>
    <xf numFmtId="168" fontId="55" fillId="0" borderId="18" xfId="0" applyNumberFormat="1" applyFont="1" applyFill="1" applyBorder="1" applyAlignment="1">
      <alignment horizontal="right" vertical="center"/>
    </xf>
    <xf numFmtId="167" fontId="55" fillId="0" borderId="23" xfId="60" applyNumberFormat="1" applyFont="1" applyBorder="1" applyAlignment="1">
      <alignment horizontal="center" vertical="center"/>
      <protection/>
    </xf>
    <xf numFmtId="167" fontId="55" fillId="0" borderId="24" xfId="60" applyNumberFormat="1" applyFont="1" applyBorder="1" applyAlignment="1">
      <alignment horizontal="center" vertical="center"/>
      <protection/>
    </xf>
    <xf numFmtId="0" fontId="55" fillId="0" borderId="24" xfId="60" applyFont="1" applyBorder="1" applyAlignment="1">
      <alignment horizontal="center" vertical="center"/>
      <protection/>
    </xf>
    <xf numFmtId="0" fontId="91" fillId="0" borderId="24" xfId="60" applyFont="1" applyBorder="1" applyAlignment="1">
      <alignment horizontal="center" vertical="center"/>
      <protection/>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10" fontId="57" fillId="0" borderId="27" xfId="0" applyNumberFormat="1" applyFont="1" applyFill="1" applyBorder="1" applyAlignment="1">
      <alignment horizontal="center" vertical="center"/>
    </xf>
    <xf numFmtId="4" fontId="55" fillId="0" borderId="28" xfId="0" applyNumberFormat="1" applyFont="1" applyFill="1" applyBorder="1" applyAlignment="1">
      <alignment vertical="center"/>
    </xf>
    <xf numFmtId="0" fontId="57" fillId="2" borderId="29" xfId="0" applyFont="1" applyFill="1" applyBorder="1" applyAlignment="1">
      <alignment vertical="center"/>
    </xf>
    <xf numFmtId="0" fontId="57" fillId="2" borderId="29" xfId="0" applyFont="1" applyFill="1" applyBorder="1" applyAlignment="1">
      <alignment horizontal="center" vertical="center"/>
    </xf>
    <xf numFmtId="2" fontId="57" fillId="2" borderId="29" xfId="0" applyNumberFormat="1" applyFont="1" applyFill="1" applyBorder="1" applyAlignment="1">
      <alignment vertical="center"/>
    </xf>
    <xf numFmtId="4" fontId="57" fillId="2" borderId="30" xfId="0" applyNumberFormat="1" applyFont="1" applyFill="1" applyBorder="1" applyAlignment="1">
      <alignment vertical="center"/>
    </xf>
    <xf numFmtId="0" fontId="55" fillId="35" borderId="31" xfId="54" applyFont="1" applyFill="1" applyBorder="1" applyAlignment="1">
      <alignment vertical="center"/>
      <protection/>
    </xf>
    <xf numFmtId="0" fontId="55" fillId="35" borderId="32" xfId="54" applyFont="1" applyFill="1" applyBorder="1" applyAlignment="1">
      <alignment vertical="center"/>
      <protection/>
    </xf>
    <xf numFmtId="0" fontId="90" fillId="33" borderId="33" xfId="0" applyFont="1" applyFill="1" applyBorder="1" applyAlignment="1">
      <alignment horizontal="center" vertical="center"/>
    </xf>
    <xf numFmtId="0" fontId="90" fillId="33" borderId="33" xfId="0" applyFont="1" applyFill="1" applyBorder="1" applyAlignment="1">
      <alignment vertical="center"/>
    </xf>
    <xf numFmtId="0" fontId="90" fillId="33" borderId="34" xfId="0" applyFont="1" applyFill="1" applyBorder="1" applyAlignment="1">
      <alignment vertical="center"/>
    </xf>
    <xf numFmtId="167" fontId="57" fillId="14" borderId="35" xfId="60" applyNumberFormat="1" applyFont="1" applyFill="1" applyBorder="1" applyAlignment="1">
      <alignment horizontal="center" vertical="center" wrapText="1"/>
      <protection/>
    </xf>
    <xf numFmtId="167" fontId="57" fillId="14" borderId="36" xfId="60" applyNumberFormat="1" applyFont="1" applyFill="1" applyBorder="1" applyAlignment="1">
      <alignment horizontal="center" vertical="center" wrapText="1"/>
      <protection/>
    </xf>
    <xf numFmtId="0" fontId="90" fillId="36" borderId="37" xfId="0" applyFont="1" applyFill="1" applyBorder="1" applyAlignment="1">
      <alignment vertical="center"/>
    </xf>
    <xf numFmtId="0" fontId="92" fillId="0" borderId="0" xfId="0" applyFont="1" applyAlignment="1">
      <alignment vertical="center"/>
    </xf>
    <xf numFmtId="0" fontId="92" fillId="0" borderId="0" xfId="0" applyFont="1" applyAlignment="1">
      <alignment horizontal="center" vertical="center"/>
    </xf>
    <xf numFmtId="0" fontId="92" fillId="0" borderId="0" xfId="0" applyFont="1" applyAlignment="1">
      <alignment/>
    </xf>
    <xf numFmtId="0" fontId="92" fillId="0" borderId="0" xfId="0" applyFont="1" applyBorder="1" applyAlignment="1">
      <alignment vertical="center"/>
    </xf>
    <xf numFmtId="0" fontId="92" fillId="0" borderId="38" xfId="0" applyFont="1" applyBorder="1" applyAlignment="1">
      <alignment vertical="center"/>
    </xf>
    <xf numFmtId="0" fontId="92" fillId="0" borderId="33" xfId="0" applyFont="1" applyBorder="1" applyAlignment="1">
      <alignment horizontal="center" vertical="center"/>
    </xf>
    <xf numFmtId="0" fontId="92" fillId="0" borderId="39" xfId="0" applyFont="1" applyBorder="1" applyAlignment="1">
      <alignment vertical="center"/>
    </xf>
    <xf numFmtId="43" fontId="92" fillId="0" borderId="39" xfId="86" applyFont="1" applyBorder="1" applyAlignment="1">
      <alignment horizontal="center" vertical="center"/>
    </xf>
    <xf numFmtId="43" fontId="92" fillId="0" borderId="40" xfId="86" applyFont="1" applyBorder="1" applyAlignment="1">
      <alignment horizontal="center" vertical="center"/>
    </xf>
    <xf numFmtId="0" fontId="93" fillId="37" borderId="33" xfId="0" applyFont="1" applyFill="1" applyBorder="1" applyAlignment="1">
      <alignment horizontal="center" vertical="center"/>
    </xf>
    <xf numFmtId="0" fontId="93" fillId="37" borderId="39" xfId="0" applyFont="1" applyFill="1" applyBorder="1" applyAlignment="1">
      <alignment vertical="center"/>
    </xf>
    <xf numFmtId="167" fontId="93" fillId="37" borderId="39" xfId="0" applyNumberFormat="1" applyFont="1" applyFill="1" applyBorder="1" applyAlignment="1">
      <alignment horizontal="center" vertical="center"/>
    </xf>
    <xf numFmtId="167" fontId="93" fillId="37" borderId="40" xfId="0" applyNumberFormat="1" applyFont="1" applyFill="1" applyBorder="1" applyAlignment="1">
      <alignment horizontal="center" vertical="center"/>
    </xf>
    <xf numFmtId="43" fontId="92" fillId="0" borderId="39" xfId="86" applyFont="1" applyBorder="1" applyAlignment="1">
      <alignment vertical="center"/>
    </xf>
    <xf numFmtId="167" fontId="93" fillId="37" borderId="39" xfId="0" applyNumberFormat="1" applyFont="1" applyFill="1" applyBorder="1" applyAlignment="1">
      <alignment vertical="center"/>
    </xf>
    <xf numFmtId="167" fontId="93" fillId="37" borderId="40" xfId="0" applyNumberFormat="1" applyFont="1" applyFill="1" applyBorder="1" applyAlignment="1">
      <alignment vertical="center"/>
    </xf>
    <xf numFmtId="43" fontId="92" fillId="0" borderId="40" xfId="86" applyFont="1" applyBorder="1" applyAlignment="1">
      <alignment vertical="center"/>
    </xf>
    <xf numFmtId="167" fontId="92" fillId="0" borderId="39" xfId="0" applyNumberFormat="1" applyFont="1" applyBorder="1" applyAlignment="1">
      <alignment vertical="center"/>
    </xf>
    <xf numFmtId="167" fontId="92" fillId="0" borderId="40" xfId="0" applyNumberFormat="1" applyFont="1" applyBorder="1" applyAlignment="1">
      <alignment vertical="center"/>
    </xf>
    <xf numFmtId="0" fontId="93" fillId="37" borderId="41" xfId="0" applyFont="1" applyFill="1" applyBorder="1" applyAlignment="1">
      <alignment horizontal="center" vertical="center"/>
    </xf>
    <xf numFmtId="0" fontId="93" fillId="37" borderId="42" xfId="0" applyFont="1" applyFill="1" applyBorder="1" applyAlignment="1">
      <alignment vertical="center"/>
    </xf>
    <xf numFmtId="167" fontId="93" fillId="37" borderId="42" xfId="0" applyNumberFormat="1" applyFont="1" applyFill="1" applyBorder="1" applyAlignment="1">
      <alignment vertical="center"/>
    </xf>
    <xf numFmtId="167" fontId="93" fillId="37" borderId="43" xfId="0" applyNumberFormat="1" applyFont="1" applyFill="1" applyBorder="1" applyAlignment="1">
      <alignment vertical="center"/>
    </xf>
    <xf numFmtId="0" fontId="92" fillId="0" borderId="40" xfId="0" applyFont="1" applyBorder="1" applyAlignment="1">
      <alignment vertical="center"/>
    </xf>
    <xf numFmtId="0" fontId="93" fillId="0" borderId="33" xfId="0" applyFont="1" applyBorder="1" applyAlignment="1">
      <alignment horizontal="center" vertical="center"/>
    </xf>
    <xf numFmtId="0" fontId="93" fillId="0" borderId="39" xfId="0" applyFont="1" applyBorder="1" applyAlignment="1">
      <alignment vertical="center"/>
    </xf>
    <xf numFmtId="167" fontId="93" fillId="0" borderId="39" xfId="0" applyNumberFormat="1" applyFont="1" applyBorder="1" applyAlignment="1">
      <alignment vertical="center"/>
    </xf>
    <xf numFmtId="167" fontId="93" fillId="0" borderId="40" xfId="0" applyNumberFormat="1" applyFont="1" applyBorder="1" applyAlignment="1">
      <alignment vertical="center"/>
    </xf>
    <xf numFmtId="167" fontId="93" fillId="34" borderId="42" xfId="0" applyNumberFormat="1" applyFont="1" applyFill="1" applyBorder="1" applyAlignment="1">
      <alignment vertical="center"/>
    </xf>
    <xf numFmtId="167" fontId="93" fillId="34" borderId="43" xfId="0" applyNumberFormat="1" applyFont="1" applyFill="1" applyBorder="1" applyAlignment="1">
      <alignment vertical="center"/>
    </xf>
    <xf numFmtId="0" fontId="92" fillId="0" borderId="39" xfId="0" applyFont="1" applyBorder="1" applyAlignment="1">
      <alignment horizontal="justify" vertical="center" wrapText="1"/>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9" fillId="0" borderId="0" xfId="0" applyFont="1" applyAlignment="1" applyProtection="1">
      <alignment horizontal="center" vertical="center"/>
      <protection locked="0"/>
    </xf>
    <xf numFmtId="0" fontId="10" fillId="0" borderId="0" xfId="57" applyFont="1">
      <alignment/>
      <protection/>
    </xf>
    <xf numFmtId="0" fontId="9" fillId="35" borderId="44" xfId="0" applyFont="1" applyFill="1" applyBorder="1" applyAlignment="1" applyProtection="1">
      <alignment vertical="center"/>
      <protection locked="0"/>
    </xf>
    <xf numFmtId="0" fontId="9" fillId="35" borderId="38" xfId="0" applyFont="1" applyFill="1" applyBorder="1" applyAlignment="1" applyProtection="1">
      <alignment vertical="center"/>
      <protection locked="0"/>
    </xf>
    <xf numFmtId="0" fontId="9" fillId="0" borderId="0" xfId="0" applyFont="1" applyAlignment="1" applyProtection="1">
      <alignment vertical="center"/>
      <protection locked="0"/>
    </xf>
    <xf numFmtId="2" fontId="12" fillId="0" borderId="0" xfId="63" applyNumberFormat="1" applyFont="1" applyAlignment="1" applyProtection="1">
      <alignment horizontal="left" vertical="center" wrapText="1"/>
      <protection locked="0"/>
    </xf>
    <xf numFmtId="0" fontId="95" fillId="0" borderId="0" xfId="0" applyFont="1" applyAlignment="1">
      <alignment/>
    </xf>
    <xf numFmtId="2" fontId="12" fillId="0" borderId="0" xfId="63" applyNumberFormat="1" applyFont="1" applyAlignment="1" applyProtection="1">
      <alignment horizontal="left" vertical="center"/>
      <protection locked="0"/>
    </xf>
    <xf numFmtId="194" fontId="12" fillId="35" borderId="32" xfId="63" applyNumberFormat="1" applyFont="1" applyFill="1" applyBorder="1" applyAlignment="1" applyProtection="1">
      <alignment horizontal="center" vertical="center"/>
      <protection locked="0"/>
    </xf>
    <xf numFmtId="171" fontId="12" fillId="0" borderId="0" xfId="0" applyNumberFormat="1" applyFont="1" applyAlignment="1" applyProtection="1">
      <alignment horizontal="center" vertical="center"/>
      <protection locked="0"/>
    </xf>
    <xf numFmtId="0" fontId="10" fillId="0" borderId="0" xfId="0" applyFont="1" applyAlignment="1">
      <alignment/>
    </xf>
    <xf numFmtId="0" fontId="10" fillId="0" borderId="0" xfId="57" applyFont="1" applyAlignment="1">
      <alignment vertical="center"/>
      <protection/>
    </xf>
    <xf numFmtId="0" fontId="13" fillId="0" borderId="44" xfId="0" applyFont="1" applyBorder="1" applyAlignment="1">
      <alignment vertical="center"/>
    </xf>
    <xf numFmtId="0" fontId="13" fillId="0" borderId="0" xfId="0" applyFont="1" applyAlignment="1">
      <alignment vertical="center"/>
    </xf>
    <xf numFmtId="0" fontId="13" fillId="0" borderId="44" xfId="0" applyFont="1" applyBorder="1" applyAlignment="1">
      <alignment/>
    </xf>
    <xf numFmtId="0" fontId="13" fillId="0" borderId="0" xfId="0" applyFont="1" applyAlignment="1">
      <alignment/>
    </xf>
    <xf numFmtId="0" fontId="13" fillId="0" borderId="38" xfId="0" applyFont="1" applyBorder="1" applyAlignment="1">
      <alignment/>
    </xf>
    <xf numFmtId="10" fontId="13" fillId="0" borderId="0" xfId="67" applyNumberFormat="1" applyFont="1" applyBorder="1" applyAlignment="1">
      <alignment/>
    </xf>
    <xf numFmtId="10" fontId="13" fillId="0" borderId="38" xfId="67" applyNumberFormat="1" applyFont="1" applyBorder="1" applyAlignment="1">
      <alignment/>
    </xf>
    <xf numFmtId="10" fontId="11" fillId="0" borderId="0" xfId="0" applyNumberFormat="1" applyFont="1" applyAlignment="1">
      <alignment/>
    </xf>
    <xf numFmtId="10" fontId="11" fillId="0" borderId="38" xfId="0" applyNumberFormat="1" applyFont="1" applyBorder="1" applyAlignment="1">
      <alignment/>
    </xf>
    <xf numFmtId="0" fontId="11" fillId="8" borderId="45" xfId="0" applyFont="1" applyFill="1" applyBorder="1" applyAlignment="1">
      <alignment horizontal="right" vertical="center"/>
    </xf>
    <xf numFmtId="0" fontId="11" fillId="8" borderId="46" xfId="0" applyFont="1" applyFill="1" applyBorder="1" applyAlignment="1">
      <alignment vertical="center"/>
    </xf>
    <xf numFmtId="10" fontId="11" fillId="8" borderId="47" xfId="0" applyNumberFormat="1" applyFont="1" applyFill="1" applyBorder="1" applyAlignment="1">
      <alignment vertical="center"/>
    </xf>
    <xf numFmtId="0" fontId="11" fillId="0" borderId="48" xfId="0" applyFont="1" applyBorder="1" applyAlignment="1">
      <alignment vertical="center"/>
    </xf>
    <xf numFmtId="0" fontId="11" fillId="0" borderId="46" xfId="0" applyFont="1" applyBorder="1" applyAlignment="1">
      <alignment vertical="center"/>
    </xf>
    <xf numFmtId="10" fontId="11" fillId="0" borderId="49" xfId="0" applyNumberFormat="1" applyFont="1" applyBorder="1" applyAlignment="1">
      <alignment vertical="center"/>
    </xf>
    <xf numFmtId="0" fontId="13" fillId="0" borderId="38" xfId="0" applyFont="1" applyBorder="1" applyAlignment="1">
      <alignment horizontal="right" vertical="center"/>
    </xf>
    <xf numFmtId="0" fontId="13" fillId="38" borderId="50" xfId="57" applyFont="1" applyFill="1" applyBorder="1">
      <alignment/>
      <protection/>
    </xf>
    <xf numFmtId="0" fontId="13" fillId="38" borderId="51" xfId="57" applyFont="1" applyFill="1" applyBorder="1">
      <alignment/>
      <protection/>
    </xf>
    <xf numFmtId="0" fontId="15" fillId="39" borderId="52" xfId="0" applyFont="1" applyFill="1" applyBorder="1" applyAlignment="1">
      <alignment horizontal="center" vertical="center" wrapText="1"/>
    </xf>
    <xf numFmtId="0" fontId="16" fillId="0" borderId="0" xfId="0" applyFont="1" applyBorder="1" applyAlignment="1">
      <alignment horizontal="center" vertical="center"/>
    </xf>
    <xf numFmtId="2"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vertical="center"/>
    </xf>
    <xf numFmtId="2" fontId="17" fillId="0" borderId="0" xfId="0" applyNumberFormat="1" applyFont="1" applyBorder="1" applyAlignment="1">
      <alignment vertical="center"/>
    </xf>
    <xf numFmtId="2" fontId="16"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3" fillId="0" borderId="0" xfId="0" applyFont="1" applyAlignment="1" quotePrefix="1">
      <alignment/>
    </xf>
    <xf numFmtId="0" fontId="13" fillId="0" borderId="0" xfId="0" applyFont="1" applyAlignment="1">
      <alignment horizontal="right"/>
    </xf>
    <xf numFmtId="0" fontId="13" fillId="0" borderId="0" xfId="0" applyFont="1" applyAlignment="1" quotePrefix="1">
      <alignment horizontal="right"/>
    </xf>
    <xf numFmtId="0" fontId="96" fillId="35" borderId="31" xfId="0" applyFont="1" applyFill="1" applyBorder="1" applyAlignment="1">
      <alignment/>
    </xf>
    <xf numFmtId="0" fontId="96" fillId="35" borderId="53" xfId="0" applyFont="1" applyFill="1" applyBorder="1" applyAlignment="1">
      <alignment/>
    </xf>
    <xf numFmtId="0" fontId="96" fillId="35" borderId="54" xfId="0" applyFont="1" applyFill="1" applyBorder="1" applyAlignment="1">
      <alignment/>
    </xf>
    <xf numFmtId="0" fontId="96" fillId="35" borderId="0" xfId="0" applyFont="1" applyFill="1" applyBorder="1" applyAlignment="1">
      <alignment horizontal="center" vertical="center"/>
    </xf>
    <xf numFmtId="0" fontId="96" fillId="0" borderId="0" xfId="0" applyFont="1" applyAlignment="1">
      <alignment horizontal="center" vertical="center"/>
    </xf>
    <xf numFmtId="0" fontId="96" fillId="0" borderId="0" xfId="0" applyFont="1" applyAlignment="1">
      <alignment/>
    </xf>
    <xf numFmtId="0" fontId="97" fillId="35" borderId="0" xfId="0" applyFont="1" applyFill="1" applyBorder="1" applyAlignment="1">
      <alignment horizontal="center" vertical="center"/>
    </xf>
    <xf numFmtId="167" fontId="19" fillId="40" borderId="0" xfId="60" applyNumberFormat="1" applyFont="1" applyFill="1" applyBorder="1" applyAlignment="1">
      <alignment horizontal="center" vertical="center" wrapText="1"/>
      <protection/>
    </xf>
    <xf numFmtId="0" fontId="19" fillId="41" borderId="0" xfId="54" applyFont="1" applyFill="1" applyBorder="1" applyAlignment="1">
      <alignment horizontal="center" vertical="center"/>
      <protection/>
    </xf>
    <xf numFmtId="167" fontId="96" fillId="0" borderId="0" xfId="0" applyNumberFormat="1" applyFont="1" applyAlignment="1">
      <alignment vertical="center"/>
    </xf>
    <xf numFmtId="0" fontId="96" fillId="0" borderId="0" xfId="0" applyFont="1" applyAlignment="1">
      <alignment vertical="center"/>
    </xf>
    <xf numFmtId="167" fontId="10" fillId="0" borderId="33" xfId="60" applyNumberFormat="1" applyFont="1" applyBorder="1" applyAlignment="1">
      <alignment horizontal="center" vertical="center"/>
      <protection/>
    </xf>
    <xf numFmtId="167" fontId="10" fillId="0" borderId="39" xfId="60" applyNumberFormat="1" applyFont="1" applyBorder="1" applyAlignment="1">
      <alignment horizontal="center" vertical="center"/>
      <protection/>
    </xf>
    <xf numFmtId="167" fontId="10" fillId="0" borderId="40" xfId="60" applyNumberFormat="1" applyFont="1" applyBorder="1" applyAlignment="1">
      <alignment horizontal="center" vertical="center"/>
      <protection/>
    </xf>
    <xf numFmtId="167" fontId="10" fillId="0" borderId="0" xfId="60" applyNumberFormat="1" applyFont="1" applyBorder="1" applyAlignment="1">
      <alignment horizontal="center" vertical="center"/>
      <protection/>
    </xf>
    <xf numFmtId="0" fontId="10" fillId="0" borderId="33" xfId="60" applyNumberFormat="1" applyFont="1" applyFill="1" applyBorder="1" applyAlignment="1">
      <alignment horizontal="center" vertical="center"/>
      <protection/>
    </xf>
    <xf numFmtId="49" fontId="10" fillId="0" borderId="39" xfId="60" applyNumberFormat="1" applyFont="1" applyFill="1" applyBorder="1" applyAlignment="1">
      <alignment horizontal="center" vertical="center"/>
      <protection/>
    </xf>
    <xf numFmtId="0" fontId="10" fillId="0" borderId="39" xfId="60" applyFont="1" applyFill="1" applyBorder="1" applyAlignment="1">
      <alignment horizontal="justify" vertical="center"/>
      <protection/>
    </xf>
    <xf numFmtId="167" fontId="10" fillId="0" borderId="39" xfId="60" applyNumberFormat="1" applyFont="1" applyFill="1" applyBorder="1" applyAlignment="1">
      <alignment horizontal="center" vertical="center"/>
      <protection/>
    </xf>
    <xf numFmtId="168" fontId="10" fillId="0" borderId="39" xfId="60" applyNumberFormat="1" applyFont="1" applyFill="1" applyBorder="1" applyAlignment="1">
      <alignment horizontal="center" vertical="center"/>
      <protection/>
    </xf>
    <xf numFmtId="167" fontId="96" fillId="0" borderId="39" xfId="75" applyNumberFormat="1" applyFont="1" applyFill="1" applyBorder="1" applyAlignment="1">
      <alignment horizontal="center" vertical="center"/>
    </xf>
    <xf numFmtId="167" fontId="96" fillId="0" borderId="40" xfId="75" applyNumberFormat="1" applyFont="1" applyFill="1" applyBorder="1" applyAlignment="1">
      <alignment horizontal="center" vertical="center"/>
    </xf>
    <xf numFmtId="169" fontId="96" fillId="0" borderId="0" xfId="75" applyNumberFormat="1" applyFont="1" applyFill="1" applyBorder="1" applyAlignment="1">
      <alignment horizontal="center" vertical="center"/>
    </xf>
    <xf numFmtId="167" fontId="10" fillId="34" borderId="0" xfId="60" applyNumberFormat="1" applyFont="1" applyFill="1" applyBorder="1" applyAlignment="1">
      <alignment horizontal="center" vertical="center"/>
      <protection/>
    </xf>
    <xf numFmtId="167" fontId="10" fillId="0" borderId="33" xfId="60" applyNumberFormat="1" applyFont="1" applyFill="1" applyBorder="1" applyAlignment="1">
      <alignment horizontal="center" vertical="center"/>
      <protection/>
    </xf>
    <xf numFmtId="0" fontId="10" fillId="0" borderId="39" xfId="60" applyFont="1" applyFill="1" applyBorder="1" applyAlignment="1">
      <alignment horizontal="center" vertical="center"/>
      <protection/>
    </xf>
    <xf numFmtId="0" fontId="96" fillId="0" borderId="39" xfId="60" applyFont="1" applyFill="1" applyBorder="1" applyAlignment="1">
      <alignment horizontal="center" vertical="center"/>
      <protection/>
    </xf>
    <xf numFmtId="167" fontId="10" fillId="0" borderId="40" xfId="60" applyNumberFormat="1" applyFont="1" applyFill="1" applyBorder="1" applyAlignment="1">
      <alignment horizontal="center" vertical="center"/>
      <protection/>
    </xf>
    <xf numFmtId="0" fontId="10" fillId="0" borderId="39" xfId="60" applyNumberFormat="1" applyFont="1" applyFill="1" applyBorder="1" applyAlignment="1" quotePrefix="1">
      <alignment horizontal="center" vertical="center"/>
      <protection/>
    </xf>
    <xf numFmtId="0" fontId="10" fillId="0" borderId="39" xfId="60" applyFont="1" applyFill="1" applyBorder="1" applyAlignment="1">
      <alignment horizontal="justify" vertical="top" wrapText="1"/>
      <protection/>
    </xf>
    <xf numFmtId="43" fontId="96" fillId="0" borderId="0" xfId="0" applyNumberFormat="1" applyFont="1" applyAlignment="1">
      <alignment horizontal="center" vertical="center"/>
    </xf>
    <xf numFmtId="167" fontId="19" fillId="0" borderId="0" xfId="60" applyNumberFormat="1" applyFont="1" applyBorder="1" applyAlignment="1">
      <alignment horizontal="center" vertical="center"/>
      <protection/>
    </xf>
    <xf numFmtId="169" fontId="10" fillId="0" borderId="39" xfId="60" applyNumberFormat="1" applyFont="1" applyBorder="1" applyAlignment="1">
      <alignment horizontal="center" vertical="center"/>
      <protection/>
    </xf>
    <xf numFmtId="167" fontId="96"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167" fontId="19" fillId="42" borderId="0" xfId="60" applyNumberFormat="1" applyFont="1" applyFill="1" applyBorder="1" applyAlignment="1">
      <alignment horizontal="center" vertical="center"/>
      <protection/>
    </xf>
    <xf numFmtId="167" fontId="10" fillId="0" borderId="48" xfId="58" applyNumberFormat="1" applyFont="1" applyFill="1" applyBorder="1" applyAlignment="1">
      <alignment vertical="center"/>
      <protection/>
    </xf>
    <xf numFmtId="167" fontId="10" fillId="0" borderId="46" xfId="58" applyNumberFormat="1" applyFont="1" applyFill="1" applyBorder="1" applyAlignment="1">
      <alignment vertical="center"/>
      <protection/>
    </xf>
    <xf numFmtId="10" fontId="10" fillId="0" borderId="39" xfId="65" applyNumberFormat="1" applyFont="1" applyFill="1" applyBorder="1" applyAlignment="1">
      <alignment vertical="center"/>
    </xf>
    <xf numFmtId="167" fontId="10" fillId="0" borderId="40" xfId="58" applyNumberFormat="1" applyFont="1" applyBorder="1" applyAlignment="1">
      <alignment horizontal="center" vertical="center"/>
      <protection/>
    </xf>
    <xf numFmtId="167" fontId="10" fillId="0" borderId="0" xfId="58" applyNumberFormat="1" applyFont="1" applyBorder="1" applyAlignment="1">
      <alignment horizontal="center" vertical="center"/>
      <protection/>
    </xf>
    <xf numFmtId="167" fontId="10" fillId="8" borderId="41" xfId="60" applyNumberFormat="1" applyFont="1" applyFill="1" applyBorder="1" applyAlignment="1" quotePrefix="1">
      <alignment horizontal="center" vertical="center"/>
      <protection/>
    </xf>
    <xf numFmtId="167" fontId="10" fillId="8" borderId="42" xfId="60" applyNumberFormat="1" applyFont="1" applyFill="1" applyBorder="1" applyAlignment="1" quotePrefix="1">
      <alignment horizontal="center" vertical="center"/>
      <protection/>
    </xf>
    <xf numFmtId="167" fontId="19" fillId="8" borderId="43" xfId="61" applyNumberFormat="1" applyFont="1" applyFill="1" applyBorder="1" applyAlignment="1">
      <alignment horizontal="center" vertical="center"/>
      <protection/>
    </xf>
    <xf numFmtId="167" fontId="19" fillId="42" borderId="0" xfId="61" applyNumberFormat="1" applyFont="1" applyFill="1" applyBorder="1" applyAlignment="1">
      <alignment horizontal="center" vertical="center"/>
      <protection/>
    </xf>
    <xf numFmtId="167" fontId="10" fillId="0" borderId="0" xfId="60" applyNumberFormat="1" applyFont="1" applyFill="1" applyBorder="1" applyAlignment="1" quotePrefix="1">
      <alignment horizontal="center" vertical="center"/>
      <protection/>
    </xf>
    <xf numFmtId="167" fontId="19" fillId="0" borderId="0" xfId="60" applyNumberFormat="1" applyFont="1" applyFill="1" applyBorder="1" applyAlignment="1">
      <alignment horizontal="left" vertical="center"/>
      <protection/>
    </xf>
    <xf numFmtId="167" fontId="19" fillId="0" borderId="0" xfId="61" applyNumberFormat="1" applyFont="1" applyFill="1" applyBorder="1" applyAlignment="1">
      <alignment horizontal="center" vertical="center"/>
      <protection/>
    </xf>
    <xf numFmtId="0" fontId="96" fillId="35" borderId="44" xfId="0" applyFont="1" applyFill="1" applyBorder="1" applyAlignment="1">
      <alignment/>
    </xf>
    <xf numFmtId="0" fontId="96" fillId="35" borderId="0" xfId="0" applyFont="1" applyFill="1" applyBorder="1" applyAlignment="1">
      <alignment/>
    </xf>
    <xf numFmtId="0" fontId="96" fillId="35" borderId="38" xfId="0" applyFont="1" applyFill="1" applyBorder="1" applyAlignment="1">
      <alignment/>
    </xf>
    <xf numFmtId="0" fontId="10" fillId="0" borderId="39" xfId="60" applyNumberFormat="1" applyFont="1" applyFill="1" applyBorder="1" applyAlignment="1">
      <alignment horizontal="center" vertical="center"/>
      <protection/>
    </xf>
    <xf numFmtId="169" fontId="10" fillId="0" borderId="39" xfId="60" applyNumberFormat="1" applyFont="1" applyFill="1" applyBorder="1" applyAlignment="1">
      <alignment horizontal="center" vertical="center"/>
      <protection/>
    </xf>
    <xf numFmtId="167" fontId="10" fillId="0" borderId="40" xfId="58" applyNumberFormat="1" applyFont="1" applyFill="1" applyBorder="1" applyAlignment="1">
      <alignment horizontal="center" vertical="center"/>
      <protection/>
    </xf>
    <xf numFmtId="0" fontId="10" fillId="0" borderId="34" xfId="60" applyNumberFormat="1" applyFont="1" applyFill="1" applyBorder="1" applyAlignment="1">
      <alignment horizontal="center" vertical="center"/>
      <protection/>
    </xf>
    <xf numFmtId="49" fontId="10" fillId="0" borderId="55" xfId="60" applyNumberFormat="1" applyFont="1" applyFill="1" applyBorder="1" applyAlignment="1">
      <alignment horizontal="center" vertical="center"/>
      <protection/>
    </xf>
    <xf numFmtId="0" fontId="10" fillId="0" borderId="55" xfId="60" applyFont="1" applyFill="1" applyBorder="1" applyAlignment="1">
      <alignment horizontal="justify" vertical="center"/>
      <protection/>
    </xf>
    <xf numFmtId="167" fontId="10" fillId="0" borderId="55" xfId="60" applyNumberFormat="1" applyFont="1" applyFill="1" applyBorder="1" applyAlignment="1">
      <alignment horizontal="center" vertical="center"/>
      <protection/>
    </xf>
    <xf numFmtId="168" fontId="10" fillId="0" borderId="55" xfId="60" applyNumberFormat="1" applyFont="1" applyFill="1" applyBorder="1" applyAlignment="1">
      <alignment horizontal="center" vertical="center"/>
      <protection/>
    </xf>
    <xf numFmtId="167" fontId="96" fillId="0" borderId="55" xfId="75" applyNumberFormat="1" applyFont="1" applyFill="1" applyBorder="1" applyAlignment="1">
      <alignment horizontal="center" vertical="center"/>
    </xf>
    <xf numFmtId="0" fontId="10" fillId="0" borderId="55" xfId="60" applyNumberFormat="1" applyFont="1" applyFill="1" applyBorder="1" applyAlignment="1" quotePrefix="1">
      <alignment horizontal="center" vertical="center"/>
      <protection/>
    </xf>
    <xf numFmtId="0" fontId="10" fillId="0" borderId="55" xfId="60" applyFont="1" applyFill="1" applyBorder="1" applyAlignment="1">
      <alignment horizontal="justify" vertical="top" wrapText="1"/>
      <protection/>
    </xf>
    <xf numFmtId="0" fontId="10" fillId="0" borderId="39" xfId="60" applyFont="1" applyFill="1" applyBorder="1" applyAlignment="1">
      <alignment horizontal="justify" vertical="top"/>
      <protection/>
    </xf>
    <xf numFmtId="167" fontId="19" fillId="43" borderId="56" xfId="60" applyNumberFormat="1" applyFont="1" applyFill="1" applyBorder="1" applyAlignment="1">
      <alignment horizontal="center" vertical="center" wrapText="1"/>
      <protection/>
    </xf>
    <xf numFmtId="167" fontId="21" fillId="0" borderId="33" xfId="60" applyNumberFormat="1" applyFont="1" applyBorder="1" applyAlignment="1">
      <alignment horizontal="center" vertical="center"/>
      <protection/>
    </xf>
    <xf numFmtId="167" fontId="21" fillId="0" borderId="39" xfId="60" applyNumberFormat="1" applyFont="1" applyBorder="1" applyAlignment="1">
      <alignment horizontal="center" vertical="center"/>
      <protection/>
    </xf>
    <xf numFmtId="167" fontId="21" fillId="0" borderId="40" xfId="60" applyNumberFormat="1" applyFont="1" applyBorder="1" applyAlignment="1">
      <alignment horizontal="center" vertical="center"/>
      <protection/>
    </xf>
    <xf numFmtId="167" fontId="21" fillId="0" borderId="39" xfId="60" applyNumberFormat="1" applyFont="1" applyFill="1" applyBorder="1" applyAlignment="1">
      <alignment horizontal="center" vertical="center"/>
      <protection/>
    </xf>
    <xf numFmtId="169" fontId="21" fillId="0" borderId="39" xfId="60" applyNumberFormat="1" applyFont="1" applyBorder="1" applyAlignment="1">
      <alignment horizontal="center" vertical="center"/>
      <protection/>
    </xf>
    <xf numFmtId="167" fontId="98" fillId="0" borderId="39" xfId="60" applyNumberFormat="1" applyFont="1" applyFill="1" applyBorder="1" applyAlignment="1">
      <alignment horizontal="center" vertical="center"/>
      <protection/>
    </xf>
    <xf numFmtId="167" fontId="20" fillId="0" borderId="40" xfId="60" applyNumberFormat="1" applyFont="1" applyFill="1" applyBorder="1" applyAlignment="1">
      <alignment horizontal="center" vertical="center"/>
      <protection/>
    </xf>
    <xf numFmtId="167" fontId="21" fillId="0" borderId="48" xfId="58" applyNumberFormat="1" applyFont="1" applyFill="1" applyBorder="1" applyAlignment="1">
      <alignment vertical="center"/>
      <protection/>
    </xf>
    <xf numFmtId="167" fontId="21" fillId="0" borderId="46" xfId="58" applyNumberFormat="1" applyFont="1" applyFill="1" applyBorder="1" applyAlignment="1">
      <alignment vertical="center"/>
      <protection/>
    </xf>
    <xf numFmtId="10" fontId="21" fillId="0" borderId="39" xfId="65" applyNumberFormat="1" applyFont="1" applyFill="1" applyBorder="1" applyAlignment="1">
      <alignment vertical="center"/>
    </xf>
    <xf numFmtId="167" fontId="21" fillId="0" borderId="40" xfId="58" applyNumberFormat="1" applyFont="1" applyBorder="1" applyAlignment="1">
      <alignment horizontal="center" vertical="center"/>
      <protection/>
    </xf>
    <xf numFmtId="167" fontId="21" fillId="8" borderId="41" xfId="60" applyNumberFormat="1" applyFont="1" applyFill="1" applyBorder="1" applyAlignment="1" quotePrefix="1">
      <alignment horizontal="center" vertical="center"/>
      <protection/>
    </xf>
    <xf numFmtId="167" fontId="21" fillId="8" borderId="42" xfId="60" applyNumberFormat="1" applyFont="1" applyFill="1" applyBorder="1" applyAlignment="1" quotePrefix="1">
      <alignment horizontal="center" vertical="center"/>
      <protection/>
    </xf>
    <xf numFmtId="167" fontId="20" fillId="8" borderId="43" xfId="61" applyNumberFormat="1" applyFont="1" applyFill="1" applyBorder="1" applyAlignment="1">
      <alignment horizontal="center" vertical="center"/>
      <protection/>
    </xf>
    <xf numFmtId="0" fontId="99" fillId="35" borderId="31" xfId="0" applyFont="1" applyFill="1" applyBorder="1" applyAlignment="1">
      <alignment/>
    </xf>
    <xf numFmtId="0" fontId="99" fillId="35" borderId="53" xfId="0" applyFont="1" applyFill="1" applyBorder="1" applyAlignment="1">
      <alignment/>
    </xf>
    <xf numFmtId="0" fontId="99" fillId="35" borderId="54" xfId="0" applyFont="1" applyFill="1" applyBorder="1" applyAlignment="1">
      <alignment/>
    </xf>
    <xf numFmtId="0" fontId="99" fillId="35" borderId="0" xfId="0" applyFont="1" applyFill="1" applyBorder="1" applyAlignment="1">
      <alignment horizontal="center" vertical="center"/>
    </xf>
    <xf numFmtId="0" fontId="99" fillId="0" borderId="0" xfId="0" applyFont="1" applyAlignment="1">
      <alignment horizontal="center" vertical="center"/>
    </xf>
    <xf numFmtId="0" fontId="99" fillId="0" borderId="0" xfId="0" applyFont="1" applyAlignment="1">
      <alignment/>
    </xf>
    <xf numFmtId="0" fontId="100" fillId="35" borderId="0" xfId="0" applyFont="1" applyFill="1" applyBorder="1" applyAlignment="1">
      <alignment horizontal="center" vertical="center"/>
    </xf>
    <xf numFmtId="167" fontId="22" fillId="40" borderId="0" xfId="60" applyNumberFormat="1" applyFont="1" applyFill="1" applyBorder="1" applyAlignment="1">
      <alignment horizontal="center" vertical="center" wrapText="1"/>
      <protection/>
    </xf>
    <xf numFmtId="0" fontId="22" fillId="41" borderId="0" xfId="54" applyFont="1" applyFill="1" applyBorder="1" applyAlignment="1">
      <alignment horizontal="center" vertical="center"/>
      <protection/>
    </xf>
    <xf numFmtId="167" fontId="99" fillId="0" borderId="0" xfId="0" applyNumberFormat="1" applyFont="1" applyAlignment="1">
      <alignment vertical="center"/>
    </xf>
    <xf numFmtId="0" fontId="99" fillId="0" borderId="0" xfId="0" applyFont="1" applyAlignment="1">
      <alignment vertical="center"/>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0" xfId="60" applyNumberFormat="1" applyFont="1" applyBorder="1" applyAlignment="1">
      <alignment horizontal="center" vertical="center"/>
      <protection/>
    </xf>
    <xf numFmtId="0" fontId="23" fillId="0" borderId="33" xfId="60" applyNumberFormat="1" applyFont="1" applyFill="1" applyBorder="1" applyAlignment="1">
      <alignment horizontal="center" vertical="center"/>
      <protection/>
    </xf>
    <xf numFmtId="49" fontId="23" fillId="0" borderId="39" xfId="60" applyNumberFormat="1" applyFont="1" applyFill="1" applyBorder="1" applyAlignment="1">
      <alignment horizontal="center" vertical="center"/>
      <protection/>
    </xf>
    <xf numFmtId="0" fontId="23" fillId="0" borderId="39" xfId="60" applyFont="1" applyFill="1" applyBorder="1" applyAlignment="1">
      <alignment horizontal="justify" vertical="center"/>
      <protection/>
    </xf>
    <xf numFmtId="167" fontId="23" fillId="0" borderId="39" xfId="60" applyNumberFormat="1" applyFont="1" applyFill="1" applyBorder="1" applyAlignment="1">
      <alignment horizontal="center" vertical="center"/>
      <protection/>
    </xf>
    <xf numFmtId="168" fontId="23" fillId="0" borderId="39" xfId="60" applyNumberFormat="1" applyFont="1" applyFill="1" applyBorder="1" applyAlignment="1">
      <alignment horizontal="center" vertical="center"/>
      <protection/>
    </xf>
    <xf numFmtId="167" fontId="99" fillId="0" borderId="39" xfId="75" applyNumberFormat="1" applyFont="1" applyFill="1" applyBorder="1" applyAlignment="1">
      <alignment horizontal="center" vertical="center"/>
    </xf>
    <xf numFmtId="167" fontId="99" fillId="0" borderId="40" xfId="75" applyNumberFormat="1" applyFont="1" applyFill="1" applyBorder="1" applyAlignment="1">
      <alignment horizontal="center" vertical="center"/>
    </xf>
    <xf numFmtId="169" fontId="99" fillId="0" borderId="0" xfId="75" applyNumberFormat="1" applyFont="1" applyFill="1" applyBorder="1" applyAlignment="1">
      <alignment horizontal="center" vertical="center"/>
    </xf>
    <xf numFmtId="0" fontId="23" fillId="0" borderId="34" xfId="60" applyNumberFormat="1" applyFont="1" applyFill="1" applyBorder="1" applyAlignment="1">
      <alignment horizontal="center" vertical="center"/>
      <protection/>
    </xf>
    <xf numFmtId="0" fontId="23" fillId="0" borderId="55" xfId="60" applyNumberFormat="1" applyFont="1" applyFill="1" applyBorder="1" applyAlignment="1" quotePrefix="1">
      <alignment horizontal="center" vertical="center"/>
      <protection/>
    </xf>
    <xf numFmtId="0" fontId="23" fillId="0" borderId="55" xfId="60" applyFont="1" applyFill="1" applyBorder="1" applyAlignment="1">
      <alignment horizontal="justify" vertical="center"/>
      <protection/>
    </xf>
    <xf numFmtId="167" fontId="23" fillId="0" borderId="55" xfId="60" applyNumberFormat="1" applyFont="1" applyFill="1" applyBorder="1" applyAlignment="1">
      <alignment horizontal="center" vertical="center"/>
      <protection/>
    </xf>
    <xf numFmtId="168" fontId="23" fillId="0" borderId="55" xfId="60" applyNumberFormat="1" applyFont="1" applyFill="1" applyBorder="1" applyAlignment="1">
      <alignment horizontal="center" vertical="center"/>
      <protection/>
    </xf>
    <xf numFmtId="167" fontId="99" fillId="0" borderId="55" xfId="75" applyNumberFormat="1" applyFont="1" applyFill="1" applyBorder="1" applyAlignment="1">
      <alignment horizontal="center" vertical="center"/>
    </xf>
    <xf numFmtId="167" fontId="23" fillId="34" borderId="0" xfId="60" applyNumberFormat="1" applyFont="1" applyFill="1" applyBorder="1" applyAlignment="1">
      <alignment horizontal="center" vertical="center"/>
      <protection/>
    </xf>
    <xf numFmtId="167" fontId="23" fillId="0" borderId="0" xfId="60" applyNumberFormat="1" applyFont="1" applyFill="1" applyBorder="1" applyAlignment="1">
      <alignment horizontal="center" vertical="center"/>
      <protection/>
    </xf>
    <xf numFmtId="0" fontId="23" fillId="0" borderId="39" xfId="60" applyNumberFormat="1" applyFont="1" applyFill="1" applyBorder="1" applyAlignment="1" quotePrefix="1">
      <alignment horizontal="center" vertical="center"/>
      <protection/>
    </xf>
    <xf numFmtId="0" fontId="23" fillId="0" borderId="39" xfId="60" applyFont="1" applyFill="1" applyBorder="1" applyAlignment="1">
      <alignment horizontal="justify" vertical="top" wrapText="1"/>
      <protection/>
    </xf>
    <xf numFmtId="0" fontId="23" fillId="0" borderId="55" xfId="60" applyFont="1" applyFill="1" applyBorder="1" applyAlignment="1">
      <alignment horizontal="justify" vertical="top" wrapText="1"/>
      <protection/>
    </xf>
    <xf numFmtId="0" fontId="23" fillId="0" borderId="33" xfId="60" applyNumberFormat="1" applyFont="1" applyBorder="1" applyAlignment="1">
      <alignment horizontal="center" vertical="center"/>
      <protection/>
    </xf>
    <xf numFmtId="0" fontId="23" fillId="0" borderId="39" xfId="60" applyNumberFormat="1" applyFont="1" applyBorder="1" applyAlignment="1">
      <alignment horizontal="center" vertical="center"/>
      <protection/>
    </xf>
    <xf numFmtId="0" fontId="23" fillId="0" borderId="39" xfId="60" applyFont="1" applyBorder="1" applyAlignment="1">
      <alignment horizontal="justify" vertical="center"/>
      <protection/>
    </xf>
    <xf numFmtId="167" fontId="99" fillId="0" borderId="39" xfId="75" applyNumberFormat="1" applyFont="1" applyBorder="1" applyAlignment="1">
      <alignment horizontal="center" vertical="center"/>
    </xf>
    <xf numFmtId="0" fontId="23" fillId="0" borderId="39" xfId="60" applyFont="1" applyBorder="1" applyAlignment="1">
      <alignment horizontal="justify" vertical="center" wrapText="1"/>
      <protection/>
    </xf>
    <xf numFmtId="0" fontId="23" fillId="0" borderId="34" xfId="60" applyNumberFormat="1" applyFont="1" applyBorder="1" applyAlignment="1">
      <alignment horizontal="center" vertical="center"/>
      <protection/>
    </xf>
    <xf numFmtId="0" fontId="23" fillId="0" borderId="55" xfId="60" applyNumberFormat="1" applyFont="1" applyBorder="1" applyAlignment="1">
      <alignment horizontal="center" vertical="center"/>
      <protection/>
    </xf>
    <xf numFmtId="0" fontId="23" fillId="0" borderId="55" xfId="60" applyFont="1" applyBorder="1" applyAlignment="1">
      <alignment horizontal="justify" vertical="center" wrapText="1"/>
      <protection/>
    </xf>
    <xf numFmtId="167" fontId="23" fillId="0" borderId="55" xfId="60" applyNumberFormat="1" applyFont="1" applyBorder="1" applyAlignment="1">
      <alignment horizontal="center" vertical="center"/>
      <protection/>
    </xf>
    <xf numFmtId="167" fontId="99" fillId="0" borderId="55" xfId="75" applyNumberFormat="1" applyFont="1" applyBorder="1" applyAlignment="1">
      <alignment horizontal="center" vertical="center"/>
    </xf>
    <xf numFmtId="167" fontId="22" fillId="0" borderId="0" xfId="60" applyNumberFormat="1" applyFont="1" applyBorder="1" applyAlignment="1">
      <alignment horizontal="center" vertical="center"/>
      <protection/>
    </xf>
    <xf numFmtId="169" fontId="23" fillId="0" borderId="39" xfId="60" applyNumberFormat="1" applyFont="1" applyBorder="1" applyAlignment="1">
      <alignment horizontal="center" vertical="center"/>
      <protection/>
    </xf>
    <xf numFmtId="167" fontId="99"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2" fillId="42" borderId="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0" borderId="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167" fontId="22" fillId="42" borderId="0" xfId="61" applyNumberFormat="1" applyFont="1" applyFill="1" applyBorder="1" applyAlignment="1">
      <alignment horizontal="center" vertical="center"/>
      <protection/>
    </xf>
    <xf numFmtId="167" fontId="23" fillId="0" borderId="0" xfId="60" applyNumberFormat="1" applyFont="1" applyFill="1" applyBorder="1" applyAlignment="1" quotePrefix="1">
      <alignment horizontal="center" vertical="center"/>
      <protection/>
    </xf>
    <xf numFmtId="167" fontId="22" fillId="0" borderId="0" xfId="60" applyNumberFormat="1" applyFont="1" applyFill="1" applyBorder="1" applyAlignment="1">
      <alignment horizontal="left" vertical="center"/>
      <protection/>
    </xf>
    <xf numFmtId="167" fontId="22" fillId="0" borderId="0" xfId="61" applyNumberFormat="1" applyFont="1" applyFill="1" applyBorder="1" applyAlignment="1">
      <alignment horizontal="center" vertical="center"/>
      <protection/>
    </xf>
    <xf numFmtId="167" fontId="22" fillId="43" borderId="56" xfId="60" applyNumberFormat="1" applyFont="1" applyFill="1" applyBorder="1" applyAlignment="1">
      <alignment horizontal="center" vertical="center" wrapText="1"/>
      <protection/>
    </xf>
    <xf numFmtId="0" fontId="99" fillId="35" borderId="44" xfId="0" applyFont="1" applyFill="1" applyBorder="1" applyAlignment="1">
      <alignment/>
    </xf>
    <xf numFmtId="0" fontId="99" fillId="35" borderId="0" xfId="0" applyFont="1" applyFill="1" applyBorder="1" applyAlignment="1">
      <alignment/>
    </xf>
    <xf numFmtId="0" fontId="99" fillId="35" borderId="38" xfId="0" applyFont="1" applyFill="1" applyBorder="1" applyAlignment="1">
      <alignment/>
    </xf>
    <xf numFmtId="167" fontId="10" fillId="34" borderId="33" xfId="60" applyNumberFormat="1" applyFont="1" applyFill="1" applyBorder="1" applyAlignment="1">
      <alignment horizontal="center" vertical="center"/>
      <protection/>
    </xf>
    <xf numFmtId="167" fontId="10" fillId="34" borderId="39" xfId="60" applyNumberFormat="1" applyFont="1" applyFill="1" applyBorder="1" applyAlignment="1">
      <alignment horizontal="center" vertical="center"/>
      <protection/>
    </xf>
    <xf numFmtId="0" fontId="10" fillId="34" borderId="39" xfId="60" applyFont="1" applyFill="1" applyBorder="1" applyAlignment="1">
      <alignment horizontal="center" vertical="center"/>
      <protection/>
    </xf>
    <xf numFmtId="0" fontId="96" fillId="34" borderId="39" xfId="60" applyFont="1" applyFill="1" applyBorder="1" applyAlignment="1">
      <alignment horizontal="center" vertical="center"/>
      <protection/>
    </xf>
    <xf numFmtId="167" fontId="10" fillId="34" borderId="40" xfId="60" applyNumberFormat="1" applyFont="1" applyFill="1" applyBorder="1" applyAlignment="1">
      <alignment horizontal="center" vertical="center"/>
      <protection/>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99"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167" fontId="22" fillId="0" borderId="39" xfId="60" applyNumberFormat="1" applyFont="1" applyFill="1" applyBorder="1" applyAlignment="1">
      <alignment vertical="center"/>
      <protection/>
    </xf>
    <xf numFmtId="0" fontId="10" fillId="35" borderId="31" xfId="54" applyFont="1" applyFill="1" applyBorder="1" applyAlignment="1">
      <alignment vertical="center"/>
      <protection/>
    </xf>
    <xf numFmtId="0" fontId="10" fillId="0" borderId="0" xfId="54" applyFont="1" applyAlignment="1">
      <alignment vertical="center"/>
      <protection/>
    </xf>
    <xf numFmtId="0" fontId="10" fillId="35" borderId="32" xfId="54" applyFont="1" applyFill="1" applyBorder="1" applyAlignment="1">
      <alignment vertical="center"/>
      <protection/>
    </xf>
    <xf numFmtId="0" fontId="101" fillId="33" borderId="0" xfId="0" applyFont="1" applyFill="1" applyAlignment="1">
      <alignment vertical="center"/>
    </xf>
    <xf numFmtId="0" fontId="101" fillId="33" borderId="33" xfId="0" applyFont="1" applyFill="1" applyBorder="1" applyAlignment="1">
      <alignment horizontal="center" vertical="center"/>
    </xf>
    <xf numFmtId="0" fontId="10" fillId="0" borderId="10" xfId="0" applyFont="1" applyFill="1" applyBorder="1" applyAlignment="1">
      <alignment horizontal="center" vertical="center"/>
    </xf>
    <xf numFmtId="4" fontId="10" fillId="0" borderId="10" xfId="0" applyNumberFormat="1" applyFont="1" applyFill="1" applyBorder="1" applyAlignment="1">
      <alignment horizontal="right" vertical="center"/>
    </xf>
    <xf numFmtId="0" fontId="10" fillId="0" borderId="11" xfId="0" applyFont="1" applyFill="1" applyBorder="1" applyAlignment="1">
      <alignment vertical="center"/>
    </xf>
    <xf numFmtId="4" fontId="10" fillId="0" borderId="12" xfId="0" applyNumberFormat="1" applyFont="1" applyFill="1" applyBorder="1" applyAlignment="1">
      <alignment horizontal="right" vertical="center"/>
    </xf>
    <xf numFmtId="0" fontId="101" fillId="33" borderId="33" xfId="0" applyFont="1" applyFill="1" applyBorder="1" applyAlignment="1">
      <alignment vertical="center"/>
    </xf>
    <xf numFmtId="0" fontId="10" fillId="0" borderId="26" xfId="0" applyFont="1" applyFill="1" applyBorder="1" applyAlignment="1">
      <alignment horizontal="center" vertical="center"/>
    </xf>
    <xf numFmtId="0" fontId="10" fillId="0" borderId="18" xfId="0" applyFont="1" applyFill="1" applyBorder="1" applyAlignment="1">
      <alignment horizontal="center" vertical="center"/>
    </xf>
    <xf numFmtId="4" fontId="10" fillId="0" borderId="18" xfId="0" applyNumberFormat="1" applyFont="1" applyFill="1" applyBorder="1" applyAlignment="1">
      <alignment horizontal="right" vertical="center"/>
    </xf>
    <xf numFmtId="0" fontId="10" fillId="0" borderId="17" xfId="0" applyFont="1" applyFill="1" applyBorder="1" applyAlignment="1">
      <alignment vertical="center"/>
    </xf>
    <xf numFmtId="0" fontId="10" fillId="0" borderId="22" xfId="0" applyFont="1" applyFill="1" applyBorder="1" applyAlignment="1">
      <alignment vertical="top" wrapText="1"/>
    </xf>
    <xf numFmtId="0" fontId="101"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2" fontId="19" fillId="0" borderId="0" xfId="0" applyNumberFormat="1" applyFont="1" applyFill="1" applyBorder="1" applyAlignment="1">
      <alignment vertical="center"/>
    </xf>
    <xf numFmtId="0" fontId="10" fillId="0" borderId="0" xfId="0" applyFont="1" applyAlignment="1">
      <alignment vertical="center"/>
    </xf>
    <xf numFmtId="1" fontId="12" fillId="0" borderId="39" xfId="0" applyNumberFormat="1" applyFont="1" applyBorder="1" applyAlignment="1">
      <alignment horizontal="center"/>
    </xf>
    <xf numFmtId="0" fontId="12" fillId="0" borderId="39" xfId="0" applyFont="1" applyBorder="1" applyAlignment="1">
      <alignment horizontal="center"/>
    </xf>
    <xf numFmtId="0" fontId="10" fillId="11" borderId="39" xfId="0" applyFont="1" applyFill="1" applyBorder="1" applyAlignment="1">
      <alignment horizontal="center" vertical="center"/>
    </xf>
    <xf numFmtId="0" fontId="102" fillId="11" borderId="39" xfId="0" applyFont="1" applyFill="1" applyBorder="1" applyAlignment="1">
      <alignment horizontal="center" vertical="center"/>
    </xf>
    <xf numFmtId="0" fontId="10" fillId="0" borderId="39" xfId="0" applyFont="1" applyBorder="1" applyAlignment="1">
      <alignment horizontal="center"/>
    </xf>
    <xf numFmtId="44" fontId="10" fillId="0" borderId="39" xfId="0" applyNumberFormat="1" applyFont="1" applyBorder="1" applyAlignment="1">
      <alignment horizontal="center" vertical="center"/>
    </xf>
    <xf numFmtId="0" fontId="10" fillId="0" borderId="39" xfId="0" applyFont="1" applyBorder="1" applyAlignment="1">
      <alignment/>
    </xf>
    <xf numFmtId="44" fontId="10" fillId="35" borderId="39" xfId="0" applyNumberFormat="1" applyFont="1" applyFill="1" applyBorder="1" applyAlignment="1">
      <alignment horizontal="center" vertical="center"/>
    </xf>
    <xf numFmtId="0" fontId="10" fillId="35" borderId="39" xfId="0" applyFont="1" applyFill="1" applyBorder="1" applyAlignment="1">
      <alignment horizontal="center" vertical="center"/>
    </xf>
    <xf numFmtId="44" fontId="10" fillId="35" borderId="39" xfId="0" applyNumberFormat="1" applyFont="1" applyFill="1" applyBorder="1" applyAlignment="1">
      <alignment/>
    </xf>
    <xf numFmtId="44" fontId="102" fillId="35" borderId="39" xfId="0" applyNumberFormat="1" applyFont="1" applyFill="1" applyBorder="1" applyAlignment="1">
      <alignment horizontal="center" vertical="center"/>
    </xf>
    <xf numFmtId="44" fontId="102" fillId="35" borderId="39" xfId="0" applyNumberFormat="1" applyFont="1" applyFill="1" applyBorder="1" applyAlignment="1">
      <alignment/>
    </xf>
    <xf numFmtId="0" fontId="102" fillId="35" borderId="39" xfId="0" applyFont="1" applyFill="1" applyBorder="1" applyAlignment="1">
      <alignment/>
    </xf>
    <xf numFmtId="0" fontId="102" fillId="35" borderId="39" xfId="0" applyFont="1" applyFill="1" applyBorder="1" applyAlignment="1">
      <alignment horizontal="center" vertical="center"/>
    </xf>
    <xf numFmtId="0" fontId="10" fillId="35" borderId="39" xfId="0" applyFont="1" applyFill="1" applyBorder="1" applyAlignment="1">
      <alignment/>
    </xf>
    <xf numFmtId="0" fontId="102" fillId="35" borderId="39" xfId="0" applyFont="1" applyFill="1" applyBorder="1" applyAlignment="1">
      <alignment/>
    </xf>
    <xf numFmtId="0" fontId="102" fillId="35" borderId="39" xfId="0" applyFont="1" applyFill="1" applyBorder="1" applyAlignment="1">
      <alignment horizontal="center"/>
    </xf>
    <xf numFmtId="0" fontId="10" fillId="35" borderId="44" xfId="54" applyFont="1" applyFill="1" applyBorder="1" applyAlignment="1">
      <alignment vertical="center"/>
      <protection/>
    </xf>
    <xf numFmtId="0" fontId="10" fillId="0" borderId="39"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9" xfId="0" applyFont="1" applyFill="1" applyBorder="1" applyAlignment="1">
      <alignment horizontal="left" vertical="center" wrapText="1"/>
    </xf>
    <xf numFmtId="188" fontId="21" fillId="0" borderId="3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xf>
    <xf numFmtId="0" fontId="103" fillId="0" borderId="33"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2" xfId="0" applyFont="1" applyFill="1" applyBorder="1" applyAlignment="1">
      <alignment vertical="top" wrapText="1"/>
    </xf>
    <xf numFmtId="0" fontId="21" fillId="0" borderId="18" xfId="0" applyFont="1" applyFill="1" applyBorder="1" applyAlignment="1">
      <alignment horizontal="center" vertical="center"/>
    </xf>
    <xf numFmtId="168" fontId="21" fillId="0" borderId="18"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4" fontId="21" fillId="0" borderId="12" xfId="0" applyNumberFormat="1" applyFont="1" applyFill="1" applyBorder="1" applyAlignment="1">
      <alignment horizontal="right" vertical="center"/>
    </xf>
    <xf numFmtId="0" fontId="21" fillId="0" borderId="22" xfId="0" applyFont="1" applyFill="1" applyBorder="1" applyAlignment="1">
      <alignment vertical="center" wrapText="1"/>
    </xf>
    <xf numFmtId="2" fontId="21" fillId="0" borderId="18" xfId="0" applyNumberFormat="1" applyFont="1" applyFill="1" applyBorder="1" applyAlignment="1">
      <alignment horizontal="right" vertical="center"/>
    </xf>
    <xf numFmtId="0" fontId="20" fillId="0" borderId="0" xfId="0" applyFont="1" applyAlignment="1">
      <alignment horizontal="center" vertical="center"/>
    </xf>
    <xf numFmtId="0" fontId="20" fillId="0" borderId="39" xfId="0" applyFont="1" applyBorder="1" applyAlignment="1">
      <alignment horizontal="center" vertical="center"/>
    </xf>
    <xf numFmtId="4" fontId="20" fillId="0" borderId="40" xfId="0" applyNumberFormat="1" applyFont="1" applyFill="1" applyBorder="1" applyAlignment="1">
      <alignment vertical="center"/>
    </xf>
    <xf numFmtId="0" fontId="10" fillId="0" borderId="22" xfId="0" applyFont="1" applyFill="1" applyBorder="1" applyAlignment="1">
      <alignment vertical="center"/>
    </xf>
    <xf numFmtId="2" fontId="10" fillId="0" borderId="10" xfId="0" applyNumberFormat="1" applyFont="1" applyFill="1" applyBorder="1" applyAlignment="1">
      <alignment horizontal="right" vertical="center"/>
    </xf>
    <xf numFmtId="0" fontId="104" fillId="0" borderId="39" xfId="0" applyFont="1" applyBorder="1" applyAlignment="1">
      <alignment horizontal="center" vertical="top"/>
    </xf>
    <xf numFmtId="0" fontId="10" fillId="0" borderId="11" xfId="0" applyFont="1" applyFill="1" applyBorder="1" applyAlignment="1">
      <alignment vertical="center" wrapText="1"/>
    </xf>
    <xf numFmtId="0" fontId="10" fillId="0" borderId="57" xfId="0" applyFont="1" applyFill="1" applyBorder="1" applyAlignment="1">
      <alignment horizontal="center" vertical="center"/>
    </xf>
    <xf numFmtId="0" fontId="10" fillId="0" borderId="39" xfId="0" applyFont="1" applyFill="1" applyBorder="1" applyAlignment="1">
      <alignment vertical="center"/>
    </xf>
    <xf numFmtId="0" fontId="10" fillId="0" borderId="25" xfId="0" applyFont="1" applyFill="1" applyBorder="1" applyAlignment="1">
      <alignment vertical="center"/>
    </xf>
    <xf numFmtId="167" fontId="10" fillId="0" borderId="44" xfId="60" applyNumberFormat="1" applyFont="1" applyFill="1" applyBorder="1" applyAlignment="1" quotePrefix="1">
      <alignment horizontal="center" vertical="center"/>
      <protection/>
    </xf>
    <xf numFmtId="167" fontId="19" fillId="0" borderId="38" xfId="61" applyNumberFormat="1" applyFont="1" applyFill="1" applyBorder="1" applyAlignment="1">
      <alignment horizontal="center" vertical="center"/>
      <protection/>
    </xf>
    <xf numFmtId="0" fontId="96" fillId="0" borderId="44" xfId="0" applyFont="1" applyBorder="1" applyAlignment="1">
      <alignment/>
    </xf>
    <xf numFmtId="0" fontId="96" fillId="0" borderId="0" xfId="0" applyFont="1" applyBorder="1" applyAlignment="1">
      <alignment/>
    </xf>
    <xf numFmtId="0" fontId="96" fillId="0" borderId="38" xfId="0" applyFont="1" applyBorder="1" applyAlignment="1">
      <alignment/>
    </xf>
    <xf numFmtId="0" fontId="10" fillId="0" borderId="39" xfId="0" applyFont="1" applyBorder="1" applyAlignment="1">
      <alignment horizontal="center" vertical="center"/>
    </xf>
    <xf numFmtId="0" fontId="10" fillId="0" borderId="47" xfId="0" applyFont="1" applyBorder="1" applyAlignment="1">
      <alignment horizontal="center"/>
    </xf>
    <xf numFmtId="0" fontId="101" fillId="0" borderId="40" xfId="0" applyFont="1" applyBorder="1" applyAlignment="1">
      <alignment horizontal="center" vertical="top"/>
    </xf>
    <xf numFmtId="0" fontId="101" fillId="0" borderId="39" xfId="0" applyFont="1" applyBorder="1" applyAlignment="1">
      <alignment horizontal="center" vertical="center"/>
    </xf>
    <xf numFmtId="167" fontId="21" fillId="34" borderId="33" xfId="60" applyNumberFormat="1" applyFont="1" applyFill="1" applyBorder="1" applyAlignment="1">
      <alignment horizontal="center" vertical="center"/>
      <protection/>
    </xf>
    <xf numFmtId="167" fontId="21" fillId="34" borderId="39" xfId="60" applyNumberFormat="1" applyFont="1" applyFill="1" applyBorder="1" applyAlignment="1">
      <alignment horizontal="center" vertical="center"/>
      <protection/>
    </xf>
    <xf numFmtId="0" fontId="21" fillId="34" borderId="39" xfId="60" applyFont="1" applyFill="1" applyBorder="1" applyAlignment="1">
      <alignment horizontal="center" vertical="center"/>
      <protection/>
    </xf>
    <xf numFmtId="0" fontId="98" fillId="34" borderId="39" xfId="60" applyFont="1" applyFill="1" applyBorder="1" applyAlignment="1">
      <alignment horizontal="center" vertical="center"/>
      <protection/>
    </xf>
    <xf numFmtId="167" fontId="21" fillId="34" borderId="40" xfId="60" applyNumberFormat="1" applyFont="1" applyFill="1" applyBorder="1" applyAlignment="1">
      <alignment horizontal="center" vertical="center"/>
      <protection/>
    </xf>
    <xf numFmtId="0" fontId="105" fillId="44" borderId="58" xfId="0" applyFont="1" applyFill="1" applyBorder="1" applyAlignment="1">
      <alignment horizontal="center" vertical="center" wrapText="1"/>
    </xf>
    <xf numFmtId="17" fontId="105" fillId="44" borderId="59"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9" fillId="43" borderId="60" xfId="0" applyFont="1" applyFill="1" applyBorder="1" applyAlignment="1">
      <alignment horizontal="center" vertical="center"/>
    </xf>
    <xf numFmtId="0" fontId="19" fillId="43" borderId="56" xfId="0" applyFont="1" applyFill="1" applyBorder="1" applyAlignment="1" quotePrefix="1">
      <alignment horizontal="center" vertical="center"/>
    </xf>
    <xf numFmtId="167" fontId="19" fillId="43" borderId="61"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center" vertical="center" wrapText="1"/>
      <protection/>
    </xf>
    <xf numFmtId="167" fontId="19" fillId="43" borderId="52" xfId="60" applyNumberFormat="1" applyFont="1" applyFill="1" applyBorder="1" applyAlignment="1">
      <alignment horizontal="center" vertical="center" wrapText="1"/>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vertical="center"/>
      <protection/>
    </xf>
    <xf numFmtId="0" fontId="12" fillId="34" borderId="39" xfId="60" applyFont="1" applyFill="1" applyBorder="1" applyAlignment="1">
      <alignment horizontal="center" vertical="center"/>
      <protection/>
    </xf>
    <xf numFmtId="0" fontId="95" fillId="34" borderId="39" xfId="60" applyFont="1" applyFill="1" applyBorder="1" applyAlignment="1">
      <alignment horizontal="center" vertical="center"/>
      <protection/>
    </xf>
    <xf numFmtId="0" fontId="95" fillId="0" borderId="0" xfId="0" applyFont="1" applyAlignment="1">
      <alignment vertical="center"/>
    </xf>
    <xf numFmtId="0" fontId="104" fillId="33" borderId="0" xfId="0" applyFont="1" applyFill="1" applyAlignment="1">
      <alignment vertical="center"/>
    </xf>
    <xf numFmtId="0" fontId="12" fillId="0" borderId="39" xfId="0" applyFont="1" applyFill="1" applyBorder="1" applyAlignment="1">
      <alignment horizontal="center" vertical="center"/>
    </xf>
    <xf numFmtId="0" fontId="12" fillId="0" borderId="39" xfId="0" applyFont="1" applyFill="1" applyBorder="1" applyAlignment="1">
      <alignment horizontal="left" vertical="center" wrapText="1"/>
    </xf>
    <xf numFmtId="190" fontId="12" fillId="0" borderId="39" xfId="0" applyNumberFormat="1" applyFont="1" applyFill="1" applyBorder="1" applyAlignment="1">
      <alignment horizontal="right" vertical="center"/>
    </xf>
    <xf numFmtId="4" fontId="12" fillId="0" borderId="39" xfId="0" applyNumberFormat="1" applyFont="1" applyFill="1" applyBorder="1" applyAlignment="1">
      <alignment horizontal="right" vertical="center"/>
    </xf>
    <xf numFmtId="0" fontId="12" fillId="0" borderId="39" xfId="0" applyFont="1" applyFill="1" applyBorder="1" applyAlignment="1">
      <alignment horizontal="center" vertical="center" wrapText="1"/>
    </xf>
    <xf numFmtId="0" fontId="12" fillId="0" borderId="39" xfId="0" applyFont="1" applyFill="1" applyBorder="1" applyAlignment="1">
      <alignment vertical="center" wrapText="1"/>
    </xf>
    <xf numFmtId="0" fontId="12" fillId="0" borderId="39" xfId="0" applyFont="1" applyFill="1" applyBorder="1" applyAlignment="1">
      <alignment vertical="top" wrapText="1"/>
    </xf>
    <xf numFmtId="0" fontId="95" fillId="0" borderId="0" xfId="0" applyFont="1" applyAlignment="1">
      <alignment horizontal="center" vertical="center"/>
    </xf>
    <xf numFmtId="167" fontId="12" fillId="0" borderId="39"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12" fillId="0" borderId="39" xfId="60" applyNumberFormat="1" applyFont="1" applyFill="1" applyBorder="1" applyAlignment="1">
      <alignment horizontal="center" vertical="center"/>
      <protection/>
    </xf>
    <xf numFmtId="167" fontId="95" fillId="0" borderId="39" xfId="60" applyNumberFormat="1" applyFont="1" applyFill="1" applyBorder="1" applyAlignment="1">
      <alignment horizontal="center" vertical="center"/>
      <protection/>
    </xf>
    <xf numFmtId="167" fontId="12" fillId="0" borderId="39" xfId="58" applyNumberFormat="1" applyFont="1" applyFill="1" applyBorder="1" applyAlignment="1">
      <alignment vertical="center"/>
      <protection/>
    </xf>
    <xf numFmtId="10" fontId="12" fillId="0" borderId="39" xfId="65" applyNumberFormat="1" applyFont="1" applyFill="1" applyBorder="1" applyAlignment="1">
      <alignment vertical="center"/>
    </xf>
    <xf numFmtId="0" fontId="25" fillId="0" borderId="23" xfId="0" applyFont="1" applyBorder="1" applyAlignment="1">
      <alignment horizontal="center" vertical="center"/>
    </xf>
    <xf numFmtId="2" fontId="25" fillId="0" borderId="24" xfId="0" applyNumberFormat="1" applyFont="1" applyBorder="1" applyAlignment="1">
      <alignment horizontal="center" vertical="center" wrapText="1"/>
    </xf>
    <xf numFmtId="2" fontId="25" fillId="0" borderId="24" xfId="0" applyNumberFormat="1" applyFont="1" applyBorder="1" applyAlignment="1">
      <alignment horizontal="center" vertical="center"/>
    </xf>
    <xf numFmtId="2" fontId="25" fillId="0" borderId="63" xfId="0" applyNumberFormat="1" applyFont="1" applyBorder="1" applyAlignment="1">
      <alignment horizontal="center" vertical="center"/>
    </xf>
    <xf numFmtId="171" fontId="25" fillId="0" borderId="63" xfId="0" applyNumberFormat="1" applyFont="1" applyBorder="1" applyAlignment="1">
      <alignment horizontal="center" vertical="center"/>
    </xf>
    <xf numFmtId="171" fontId="25" fillId="0" borderId="64" xfId="0" applyNumberFormat="1"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171" fontId="25" fillId="0" borderId="0" xfId="0" applyNumberFormat="1" applyFont="1" applyAlignment="1">
      <alignment horizontal="center" vertical="center"/>
    </xf>
    <xf numFmtId="0" fontId="25" fillId="0" borderId="33" xfId="0" applyFont="1" applyBorder="1" applyAlignment="1">
      <alignment horizontal="center" vertical="center"/>
    </xf>
    <xf numFmtId="0" fontId="25" fillId="0" borderId="39" xfId="0" applyFont="1" applyBorder="1" applyAlignment="1">
      <alignment horizontal="left" vertical="center"/>
    </xf>
    <xf numFmtId="2" fontId="25" fillId="0" borderId="39" xfId="0" applyNumberFormat="1" applyFont="1" applyBorder="1" applyAlignment="1">
      <alignment horizontal="center" vertical="center" wrapText="1"/>
    </xf>
    <xf numFmtId="2" fontId="25" fillId="0" borderId="39" xfId="0" applyNumberFormat="1" applyFont="1" applyBorder="1" applyAlignment="1">
      <alignment horizontal="center" vertical="center"/>
    </xf>
    <xf numFmtId="0" fontId="25" fillId="0" borderId="34" xfId="0" applyFont="1" applyBorder="1" applyAlignment="1">
      <alignment horizontal="center" vertical="center"/>
    </xf>
    <xf numFmtId="0" fontId="25" fillId="0" borderId="55" xfId="0" applyFont="1" applyBorder="1" applyAlignment="1">
      <alignment horizontal="left" vertical="center"/>
    </xf>
    <xf numFmtId="2" fontId="25" fillId="0" borderId="55" xfId="0" applyNumberFormat="1" applyFont="1" applyBorder="1" applyAlignment="1">
      <alignment horizontal="center" vertical="center"/>
    </xf>
    <xf numFmtId="0" fontId="25" fillId="0" borderId="0" xfId="0" applyFont="1" applyAlignment="1">
      <alignment/>
    </xf>
    <xf numFmtId="0" fontId="25" fillId="35" borderId="32" xfId="0" applyFont="1" applyFill="1" applyBorder="1" applyAlignment="1">
      <alignment horizontal="center" vertical="center" wrapText="1"/>
    </xf>
    <xf numFmtId="0" fontId="25" fillId="35" borderId="65" xfId="0" applyFont="1" applyFill="1" applyBorder="1" applyAlignment="1">
      <alignment horizontal="center" vertical="center" wrapText="1"/>
    </xf>
    <xf numFmtId="0" fontId="25" fillId="35" borderId="66" xfId="0" applyFont="1" applyFill="1" applyBorder="1" applyAlignment="1">
      <alignment horizontal="center" vertical="center" wrapText="1"/>
    </xf>
    <xf numFmtId="0" fontId="25" fillId="0" borderId="0" xfId="0" applyFont="1" applyAlignment="1">
      <alignment vertical="center"/>
    </xf>
    <xf numFmtId="0" fontId="27" fillId="0" borderId="0" xfId="0" applyFont="1" applyAlignment="1">
      <alignment vertical="center"/>
    </xf>
    <xf numFmtId="0" fontId="18" fillId="45" borderId="0" xfId="0" applyFont="1" applyFill="1" applyBorder="1" applyAlignment="1">
      <alignment horizontal="center" vertical="center" wrapText="1"/>
    </xf>
    <xf numFmtId="2" fontId="18" fillId="0" borderId="0" xfId="0" applyNumberFormat="1" applyFont="1" applyAlignment="1">
      <alignment vertical="center"/>
    </xf>
    <xf numFmtId="0" fontId="27" fillId="0" borderId="33" xfId="0" applyFont="1" applyBorder="1" applyAlignment="1">
      <alignment horizontal="center" vertical="center"/>
    </xf>
    <xf numFmtId="0" fontId="27" fillId="0" borderId="47" xfId="0" applyFont="1" applyFill="1" applyBorder="1" applyAlignment="1">
      <alignment horizontal="center" vertical="center"/>
    </xf>
    <xf numFmtId="0"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xf>
    <xf numFmtId="167" fontId="27" fillId="0" borderId="39" xfId="85" applyFont="1" applyFill="1" applyBorder="1" applyAlignment="1">
      <alignment horizontal="center" vertical="center" wrapText="1"/>
    </xf>
    <xf numFmtId="2" fontId="27" fillId="0" borderId="39" xfId="0" applyNumberFormat="1" applyFont="1" applyFill="1" applyBorder="1" applyAlignment="1">
      <alignment horizontal="center" vertical="center" wrapText="1"/>
    </xf>
    <xf numFmtId="166" fontId="27" fillId="0" borderId="39" xfId="47" applyFont="1" applyFill="1" applyBorder="1" applyAlignment="1">
      <alignment vertical="center"/>
    </xf>
    <xf numFmtId="166" fontId="27" fillId="0" borderId="39" xfId="47" applyFont="1" applyFill="1" applyBorder="1" applyAlignment="1">
      <alignment horizontal="right" vertical="center"/>
    </xf>
    <xf numFmtId="166" fontId="27" fillId="0" borderId="40" xfId="47" applyFont="1" applyFill="1" applyBorder="1" applyAlignment="1">
      <alignment vertical="center"/>
    </xf>
    <xf numFmtId="0" fontId="27" fillId="0" borderId="39" xfId="0" applyFont="1" applyFill="1" applyBorder="1" applyAlignment="1">
      <alignment horizontal="center" vertical="center" wrapText="1"/>
    </xf>
    <xf numFmtId="49"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wrapText="1"/>
    </xf>
    <xf numFmtId="0" fontId="27" fillId="0" borderId="39" xfId="0" applyFont="1" applyFill="1" applyBorder="1" applyAlignment="1">
      <alignment horizontal="center" vertical="center"/>
    </xf>
    <xf numFmtId="0" fontId="27" fillId="0" borderId="48" xfId="0" applyFont="1" applyFill="1" applyBorder="1" applyAlignment="1">
      <alignment horizontal="justify" vertical="center" wrapText="1"/>
    </xf>
    <xf numFmtId="4" fontId="27" fillId="0" borderId="39" xfId="0" applyNumberFormat="1" applyFont="1" applyFill="1" applyBorder="1" applyAlignment="1">
      <alignment vertical="center" wrapText="1"/>
    </xf>
    <xf numFmtId="166" fontId="27" fillId="0" borderId="39" xfId="47"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0" xfId="0" applyFont="1" applyBorder="1" applyAlignment="1">
      <alignment vertical="center"/>
    </xf>
    <xf numFmtId="0" fontId="27" fillId="38" borderId="45" xfId="0" applyFont="1" applyFill="1" applyBorder="1" applyAlignment="1">
      <alignment horizontal="center" vertical="center"/>
    </xf>
    <xf numFmtId="49" fontId="27" fillId="0" borderId="39" xfId="85" applyNumberFormat="1" applyFont="1" applyFill="1" applyBorder="1" applyAlignment="1">
      <alignment horizontal="center" vertical="center" wrapText="1"/>
    </xf>
    <xf numFmtId="0" fontId="27" fillId="0" borderId="39" xfId="0" applyFont="1" applyFill="1" applyBorder="1" applyAlignment="1" quotePrefix="1">
      <alignment horizontal="justify" vertical="center" wrapText="1"/>
    </xf>
    <xf numFmtId="0" fontId="18" fillId="38" borderId="3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35" borderId="39" xfId="0" applyFont="1" applyFill="1" applyBorder="1" applyAlignment="1">
      <alignment horizontal="center" vertical="center" wrapText="1"/>
    </xf>
    <xf numFmtId="0" fontId="18" fillId="35" borderId="39" xfId="0" applyFont="1" applyFill="1" applyBorder="1" applyAlignment="1">
      <alignment horizontal="justify" vertical="center" wrapText="1"/>
    </xf>
    <xf numFmtId="166" fontId="27" fillId="0" borderId="39" xfId="47" applyFont="1" applyFill="1" applyBorder="1" applyAlignment="1">
      <alignment horizontal="right" vertical="center" wrapText="1"/>
    </xf>
    <xf numFmtId="0" fontId="27" fillId="38" borderId="33" xfId="0" applyFont="1" applyFill="1" applyBorder="1" applyAlignment="1">
      <alignment horizontal="center" vertical="center" wrapText="1"/>
    </xf>
    <xf numFmtId="4" fontId="27" fillId="0" borderId="39" xfId="47" applyNumberFormat="1" applyFont="1" applyFill="1" applyBorder="1" applyAlignment="1">
      <alignment horizontal="right" vertical="center" wrapText="1"/>
    </xf>
    <xf numFmtId="0" fontId="27" fillId="0" borderId="0" xfId="0" applyFont="1" applyFill="1" applyAlignment="1">
      <alignment vertical="center"/>
    </xf>
    <xf numFmtId="0" fontId="18" fillId="0" borderId="39" xfId="0" applyFont="1" applyFill="1" applyBorder="1" applyAlignment="1">
      <alignment horizontal="center" vertical="center"/>
    </xf>
    <xf numFmtId="49" fontId="18" fillId="0" borderId="39" xfId="0" applyNumberFormat="1" applyFont="1" applyFill="1" applyBorder="1" applyAlignment="1">
      <alignment horizontal="center" vertical="center" wrapText="1"/>
    </xf>
    <xf numFmtId="0" fontId="18" fillId="0" borderId="39" xfId="0" applyFont="1" applyFill="1" applyBorder="1" applyAlignment="1">
      <alignment horizontal="justify" vertical="center" wrapText="1"/>
    </xf>
    <xf numFmtId="166" fontId="18" fillId="34" borderId="40" xfId="47" applyFont="1" applyFill="1" applyBorder="1" applyAlignment="1">
      <alignment horizontal="right" vertical="center"/>
    </xf>
    <xf numFmtId="43" fontId="27" fillId="0" borderId="0" xfId="0" applyNumberFormat="1" applyFont="1" applyAlignment="1">
      <alignment vertical="center"/>
    </xf>
    <xf numFmtId="0" fontId="18" fillId="34" borderId="45" xfId="0" applyFont="1" applyFill="1" applyBorder="1" applyAlignment="1">
      <alignment horizontal="center" vertical="center" wrapText="1"/>
    </xf>
    <xf numFmtId="0" fontId="27" fillId="35" borderId="0" xfId="0" applyFont="1" applyFill="1" applyAlignment="1">
      <alignment vertical="center"/>
    </xf>
    <xf numFmtId="0" fontId="27" fillId="35" borderId="45" xfId="0" applyFont="1" applyFill="1" applyBorder="1" applyAlignment="1">
      <alignment horizontal="center" vertical="center" wrapText="1"/>
    </xf>
    <xf numFmtId="0" fontId="27" fillId="35" borderId="39" xfId="0" applyFont="1" applyFill="1" applyBorder="1" applyAlignment="1">
      <alignment horizontal="center" vertical="center"/>
    </xf>
    <xf numFmtId="0" fontId="27" fillId="35" borderId="48" xfId="0" applyFont="1" applyFill="1" applyBorder="1" applyAlignment="1">
      <alignment horizontal="justify" vertical="center" wrapText="1"/>
    </xf>
    <xf numFmtId="4" fontId="27" fillId="35" borderId="39" xfId="0" applyNumberFormat="1" applyFont="1" applyFill="1" applyBorder="1" applyAlignment="1">
      <alignment vertical="center" wrapText="1"/>
    </xf>
    <xf numFmtId="167" fontId="27" fillId="35" borderId="39" xfId="85" applyFont="1" applyFill="1" applyBorder="1" applyAlignment="1">
      <alignment horizontal="center" vertical="center" wrapText="1"/>
    </xf>
    <xf numFmtId="166" fontId="27" fillId="35" borderId="39" xfId="47" applyFont="1" applyFill="1" applyBorder="1" applyAlignment="1">
      <alignment vertical="center" wrapText="1"/>
    </xf>
    <xf numFmtId="166" fontId="27" fillId="0" borderId="39" xfId="47" applyFont="1" applyFill="1" applyBorder="1" applyAlignment="1">
      <alignment vertical="center" wrapText="1"/>
    </xf>
    <xf numFmtId="44" fontId="27" fillId="0" borderId="39" xfId="47" applyNumberFormat="1" applyFont="1" applyFill="1" applyBorder="1" applyAlignment="1">
      <alignment vertical="center" wrapText="1"/>
    </xf>
    <xf numFmtId="44" fontId="27" fillId="0" borderId="39" xfId="47" applyNumberFormat="1" applyFont="1" applyFill="1" applyBorder="1" applyAlignment="1">
      <alignment horizontal="right" vertical="center" wrapText="1"/>
    </xf>
    <xf numFmtId="4" fontId="27" fillId="46" borderId="39" xfId="0" applyNumberFormat="1" applyFont="1" applyFill="1" applyBorder="1" applyAlignment="1">
      <alignment vertical="center" wrapText="1"/>
    </xf>
    <xf numFmtId="0" fontId="18" fillId="34" borderId="33"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166" fontId="27" fillId="0" borderId="0" xfId="47" applyFont="1" applyAlignment="1">
      <alignment vertical="center"/>
    </xf>
    <xf numFmtId="0" fontId="18" fillId="35" borderId="44" xfId="0" applyFont="1" applyFill="1" applyBorder="1" applyAlignment="1">
      <alignment vertical="center" wrapText="1"/>
    </xf>
    <xf numFmtId="0" fontId="19" fillId="43" borderId="66" xfId="0" applyFont="1" applyFill="1" applyBorder="1" applyAlignment="1">
      <alignment horizontal="center" vertical="center"/>
    </xf>
    <xf numFmtId="0" fontId="10" fillId="0" borderId="11" xfId="0" applyFont="1" applyFill="1" applyBorder="1" applyAlignment="1">
      <alignment horizontal="left" vertical="center" wrapText="1"/>
    </xf>
    <xf numFmtId="4" fontId="19" fillId="0" borderId="12" xfId="0" applyNumberFormat="1" applyFont="1" applyFill="1" applyBorder="1" applyAlignment="1">
      <alignment horizontal="right" vertical="center"/>
    </xf>
    <xf numFmtId="167" fontId="19" fillId="43" borderId="67" xfId="60" applyNumberFormat="1" applyFont="1" applyFill="1" applyBorder="1" applyAlignment="1">
      <alignment horizontal="center" vertical="center" wrapText="1"/>
      <protection/>
    </xf>
    <xf numFmtId="17" fontId="106" fillId="44" borderId="59" xfId="0" applyNumberFormat="1" applyFont="1" applyFill="1" applyBorder="1" applyAlignment="1">
      <alignment horizontal="center" vertical="center" wrapText="1"/>
    </xf>
    <xf numFmtId="167" fontId="22" fillId="43" borderId="62" xfId="60" applyNumberFormat="1" applyFont="1" applyFill="1" applyBorder="1" applyAlignment="1">
      <alignment horizontal="center" vertical="center" wrapText="1"/>
      <protection/>
    </xf>
    <xf numFmtId="167" fontId="22" fillId="43" borderId="67" xfId="60" applyNumberFormat="1" applyFont="1" applyFill="1" applyBorder="1" applyAlignment="1">
      <alignment horizontal="center" vertical="center" wrapText="1"/>
      <protection/>
    </xf>
    <xf numFmtId="167" fontId="19" fillId="43" borderId="38" xfId="60" applyNumberFormat="1" applyFont="1" applyFill="1" applyBorder="1" applyAlignment="1">
      <alignment horizontal="center" vertical="center" wrapText="1"/>
      <protection/>
    </xf>
    <xf numFmtId="167" fontId="19" fillId="43" borderId="66" xfId="60" applyNumberFormat="1" applyFont="1" applyFill="1" applyBorder="1" applyAlignment="1">
      <alignment horizontal="center" vertical="center" wrapText="1"/>
      <protection/>
    </xf>
    <xf numFmtId="0" fontId="27" fillId="35" borderId="31" xfId="0" applyFont="1" applyFill="1" applyBorder="1" applyAlignment="1">
      <alignment/>
    </xf>
    <xf numFmtId="0" fontId="27" fillId="35" borderId="53" xfId="0" applyFont="1" applyFill="1" applyBorder="1" applyAlignment="1">
      <alignment/>
    </xf>
    <xf numFmtId="0" fontId="27" fillId="35" borderId="53" xfId="0" applyFont="1" applyFill="1" applyBorder="1" applyAlignment="1">
      <alignment horizontal="center"/>
    </xf>
    <xf numFmtId="0" fontId="27" fillId="35" borderId="54" xfId="0" applyFont="1" applyFill="1" applyBorder="1" applyAlignment="1">
      <alignment/>
    </xf>
    <xf numFmtId="0" fontId="27" fillId="35" borderId="0" xfId="0" applyFont="1" applyFill="1" applyBorder="1" applyAlignment="1">
      <alignment/>
    </xf>
    <xf numFmtId="0" fontId="27" fillId="0" borderId="0" xfId="0" applyFont="1" applyAlignment="1">
      <alignment/>
    </xf>
    <xf numFmtId="0" fontId="30" fillId="35" borderId="32" xfId="0" applyFont="1" applyFill="1" applyBorder="1" applyAlignment="1">
      <alignment horizontal="center"/>
    </xf>
    <xf numFmtId="0" fontId="30" fillId="35" borderId="65" xfId="0" applyFont="1" applyFill="1" applyBorder="1" applyAlignment="1">
      <alignment horizontal="center"/>
    </xf>
    <xf numFmtId="0" fontId="30" fillId="35" borderId="66" xfId="0" applyFont="1" applyFill="1" applyBorder="1" applyAlignment="1">
      <alignment horizontal="center"/>
    </xf>
    <xf numFmtId="0" fontId="30" fillId="35" borderId="0" xfId="0" applyFont="1" applyFill="1" applyBorder="1" applyAlignment="1">
      <alignment horizontal="center"/>
    </xf>
    <xf numFmtId="167" fontId="29" fillId="2" borderId="0" xfId="60" applyNumberFormat="1" applyFont="1" applyFill="1" applyBorder="1" applyAlignment="1">
      <alignment horizontal="center" vertical="center" wrapText="1"/>
      <protection/>
    </xf>
    <xf numFmtId="0" fontId="22" fillId="0" borderId="0" xfId="0" applyFont="1" applyBorder="1" applyAlignment="1">
      <alignment horizontal="center" vertical="top"/>
    </xf>
    <xf numFmtId="0" fontId="29" fillId="5" borderId="0" xfId="0" applyFont="1" applyFill="1" applyBorder="1" applyAlignment="1">
      <alignment horizontal="center" vertical="center"/>
    </xf>
    <xf numFmtId="0" fontId="30" fillId="0" borderId="0" xfId="0" applyFont="1" applyAlignment="1">
      <alignment/>
    </xf>
    <xf numFmtId="0" fontId="29" fillId="5" borderId="0" xfId="0" applyFont="1" applyFill="1" applyBorder="1" applyAlignment="1">
      <alignment vertical="center" wrapText="1"/>
    </xf>
    <xf numFmtId="0" fontId="29" fillId="5" borderId="0" xfId="0" applyFont="1" applyFill="1" applyBorder="1" applyAlignment="1">
      <alignment vertical="center"/>
    </xf>
    <xf numFmtId="0" fontId="30" fillId="5" borderId="39" xfId="0" applyFont="1" applyFill="1" applyBorder="1" applyAlignment="1">
      <alignment horizontal="center" vertical="center"/>
    </xf>
    <xf numFmtId="0" fontId="30" fillId="5" borderId="39" xfId="0" applyFont="1" applyFill="1" applyBorder="1" applyAlignment="1">
      <alignment horizontal="center" vertical="center" wrapText="1"/>
    </xf>
    <xf numFmtId="0" fontId="30" fillId="5" borderId="0" xfId="0" applyFont="1" applyFill="1" applyBorder="1" applyAlignment="1">
      <alignment horizontal="center" vertical="center"/>
    </xf>
    <xf numFmtId="0" fontId="29" fillId="5" borderId="42" xfId="0" applyFont="1" applyFill="1" applyBorder="1" applyAlignment="1">
      <alignment horizontal="center" vertical="center"/>
    </xf>
    <xf numFmtId="2" fontId="29" fillId="5" borderId="68" xfId="0" applyNumberFormat="1" applyFont="1" applyFill="1" applyBorder="1" applyAlignment="1">
      <alignment horizontal="center" vertical="center"/>
    </xf>
    <xf numFmtId="0" fontId="29" fillId="5" borderId="42" xfId="0" applyFont="1" applyFill="1" applyBorder="1" applyAlignment="1">
      <alignment horizontal="center" vertical="center" wrapText="1"/>
    </xf>
    <xf numFmtId="2" fontId="29" fillId="5" borderId="0" xfId="0" applyNumberFormat="1" applyFont="1" applyFill="1" applyBorder="1" applyAlignment="1">
      <alignment horizontal="center" vertical="center"/>
    </xf>
    <xf numFmtId="0" fontId="30" fillId="0" borderId="39" xfId="0" applyFont="1" applyBorder="1" applyAlignment="1">
      <alignment horizontal="center" vertical="center"/>
    </xf>
    <xf numFmtId="0" fontId="30" fillId="0" borderId="69" xfId="0" applyFont="1" applyFill="1" applyBorder="1" applyAlignment="1">
      <alignment horizontal="center" vertical="center" wrapText="1"/>
    </xf>
    <xf numFmtId="0" fontId="30" fillId="0" borderId="24" xfId="0" applyFont="1" applyFill="1" applyBorder="1" applyAlignment="1">
      <alignment horizontal="center" vertical="center" wrapText="1"/>
    </xf>
    <xf numFmtId="4" fontId="30" fillId="0" borderId="70" xfId="0" applyNumberFormat="1" applyFont="1" applyFill="1" applyBorder="1" applyAlignment="1">
      <alignment horizontal="center" vertical="center"/>
    </xf>
    <xf numFmtId="4" fontId="30" fillId="0" borderId="70" xfId="0" applyNumberFormat="1" applyFont="1" applyBorder="1" applyAlignment="1">
      <alignment horizontal="center" vertical="center"/>
    </xf>
    <xf numFmtId="4" fontId="30" fillId="0" borderId="24" xfId="0" applyNumberFormat="1" applyFont="1" applyFill="1" applyBorder="1" applyAlignment="1">
      <alignment horizontal="center" vertical="center"/>
    </xf>
    <xf numFmtId="4" fontId="30" fillId="0" borderId="24" xfId="0" applyNumberFormat="1" applyFont="1" applyBorder="1" applyAlignment="1">
      <alignment horizontal="center" vertical="center"/>
    </xf>
    <xf numFmtId="4" fontId="30" fillId="0" borderId="63" xfId="0" applyNumberFormat="1" applyFont="1" applyBorder="1" applyAlignment="1">
      <alignment horizontal="center" vertical="center"/>
    </xf>
    <xf numFmtId="4" fontId="30" fillId="0" borderId="0" xfId="0" applyNumberFormat="1" applyFont="1" applyBorder="1" applyAlignment="1">
      <alignment horizontal="center" vertical="center"/>
    </xf>
    <xf numFmtId="171" fontId="30" fillId="0" borderId="39" xfId="0" applyNumberFormat="1" applyFont="1" applyBorder="1" applyAlignment="1">
      <alignment horizontal="center" vertical="center"/>
    </xf>
    <xf numFmtId="4" fontId="30" fillId="0" borderId="39" xfId="0" applyNumberFormat="1" applyFont="1" applyFill="1" applyBorder="1" applyAlignment="1">
      <alignment horizontal="center" vertical="center"/>
    </xf>
    <xf numFmtId="4" fontId="30" fillId="0" borderId="39" xfId="0" applyNumberFormat="1" applyFont="1" applyBorder="1" applyAlignment="1">
      <alignment horizontal="center" vertical="center"/>
    </xf>
    <xf numFmtId="167" fontId="29" fillId="0" borderId="71" xfId="0" applyNumberFormat="1" applyFont="1" applyBorder="1" applyAlignment="1">
      <alignment horizontal="center" vertical="center"/>
    </xf>
    <xf numFmtId="167" fontId="29" fillId="0" borderId="0" xfId="0" applyNumberFormat="1"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170" fontId="29" fillId="0" borderId="0" xfId="0" applyNumberFormat="1" applyFont="1" applyFill="1" applyBorder="1" applyAlignment="1">
      <alignment horizontal="center" vertical="center"/>
    </xf>
    <xf numFmtId="0" fontId="30" fillId="0" borderId="0" xfId="0" applyFont="1" applyFill="1" applyAlignment="1">
      <alignment/>
    </xf>
    <xf numFmtId="2" fontId="30" fillId="0" borderId="39" xfId="0" applyNumberFormat="1" applyFont="1" applyBorder="1" applyAlignment="1">
      <alignment horizontal="center" vertical="center"/>
    </xf>
    <xf numFmtId="0" fontId="30" fillId="0" borderId="0" xfId="0" applyFont="1" applyAlignment="1">
      <alignment horizontal="center"/>
    </xf>
    <xf numFmtId="0" fontId="30" fillId="0" borderId="24" xfId="0" applyFont="1" applyFill="1" applyBorder="1" applyAlignment="1">
      <alignment horizontal="center" vertical="center"/>
    </xf>
    <xf numFmtId="4" fontId="30" fillId="0" borderId="55" xfId="0" applyNumberFormat="1" applyFont="1" applyFill="1" applyBorder="1" applyAlignment="1">
      <alignment horizontal="center" vertical="center"/>
    </xf>
    <xf numFmtId="4" fontId="30" fillId="0" borderId="72" xfId="0" applyNumberFormat="1" applyFont="1" applyFill="1" applyBorder="1" applyAlignment="1">
      <alignment horizontal="center" vertical="center"/>
    </xf>
    <xf numFmtId="0" fontId="30" fillId="0" borderId="0" xfId="0" applyFont="1" applyBorder="1" applyAlignment="1">
      <alignment horizontal="center" vertical="center"/>
    </xf>
    <xf numFmtId="0" fontId="30" fillId="0" borderId="39" xfId="0" applyFont="1" applyBorder="1" applyAlignment="1">
      <alignment horizontal="center" vertical="center" wrapText="1"/>
    </xf>
    <xf numFmtId="0" fontId="10" fillId="0" borderId="0" xfId="0" applyFont="1" applyAlignment="1">
      <alignment horizontal="center"/>
    </xf>
    <xf numFmtId="171" fontId="30" fillId="0" borderId="39" xfId="0" applyNumberFormat="1" applyFont="1" applyBorder="1" applyAlignment="1">
      <alignment horizontal="center" vertical="center" wrapText="1"/>
    </xf>
    <xf numFmtId="2" fontId="29" fillId="0" borderId="39" xfId="0" applyNumberFormat="1" applyFont="1" applyBorder="1" applyAlignment="1">
      <alignment horizontal="center" vertical="center" wrapText="1"/>
    </xf>
    <xf numFmtId="171" fontId="30" fillId="0" borderId="0" xfId="0" applyNumberFormat="1" applyFont="1" applyBorder="1" applyAlignment="1">
      <alignment horizontal="center" vertical="center" wrapText="1"/>
    </xf>
    <xf numFmtId="0" fontId="30" fillId="0" borderId="0" xfId="0" applyFont="1" applyAlignment="1">
      <alignment horizontal="center" vertical="center"/>
    </xf>
    <xf numFmtId="2" fontId="30" fillId="0" borderId="39" xfId="0" applyNumberFormat="1" applyFont="1" applyBorder="1" applyAlignment="1">
      <alignment horizontal="center" vertical="center" wrapText="1"/>
    </xf>
    <xf numFmtId="0" fontId="30" fillId="0" borderId="0" xfId="0" applyFont="1" applyFill="1" applyAlignment="1">
      <alignment vertical="center"/>
    </xf>
    <xf numFmtId="0" fontId="30" fillId="0" borderId="32" xfId="0" applyFont="1" applyFill="1" applyBorder="1" applyAlignment="1">
      <alignment vertical="center"/>
    </xf>
    <xf numFmtId="0" fontId="29" fillId="35" borderId="65" xfId="53" applyFont="1" applyFill="1" applyBorder="1" applyAlignment="1">
      <alignment vertical="center"/>
      <protection/>
    </xf>
    <xf numFmtId="0" fontId="33" fillId="0" borderId="0" xfId="0" applyFont="1" applyFill="1" applyAlignment="1">
      <alignment vertical="center"/>
    </xf>
    <xf numFmtId="167" fontId="34" fillId="5" borderId="39" xfId="72"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vertical="center"/>
    </xf>
    <xf numFmtId="0" fontId="33" fillId="0" borderId="39" xfId="0" applyFont="1" applyFill="1" applyBorder="1" applyAlignment="1">
      <alignment horizontal="center" vertical="center" wrapText="1"/>
    </xf>
    <xf numFmtId="0" fontId="30" fillId="0" borderId="39" xfId="0" applyFont="1" applyFill="1" applyBorder="1" applyAlignment="1">
      <alignment vertical="center"/>
    </xf>
    <xf numFmtId="0" fontId="29" fillId="0" borderId="32" xfId="53" applyFont="1" applyFill="1" applyBorder="1" applyAlignment="1">
      <alignment vertical="center"/>
      <protection/>
    </xf>
    <xf numFmtId="0" fontId="29" fillId="0" borderId="65" xfId="53" applyFont="1" applyFill="1" applyBorder="1" applyAlignment="1">
      <alignment vertical="center"/>
      <protection/>
    </xf>
    <xf numFmtId="0" fontId="33" fillId="0" borderId="0" xfId="0" applyFont="1" applyFill="1" applyAlignment="1">
      <alignment horizontal="center" vertical="center"/>
    </xf>
    <xf numFmtId="0" fontId="33" fillId="0" borderId="48" xfId="0" applyFont="1" applyFill="1" applyBorder="1" applyAlignment="1">
      <alignment horizontal="center" vertical="center"/>
    </xf>
    <xf numFmtId="171" fontId="30" fillId="0" borderId="39"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30" fillId="0" borderId="0" xfId="53" applyFont="1" applyFill="1" applyAlignment="1">
      <alignment horizontal="center" vertical="center"/>
      <protection/>
    </xf>
    <xf numFmtId="0" fontId="33" fillId="0" borderId="0" xfId="0" applyFont="1" applyFill="1" applyAlignment="1">
      <alignment/>
    </xf>
    <xf numFmtId="0" fontId="29" fillId="0" borderId="66" xfId="53" applyFont="1" applyFill="1" applyBorder="1" applyAlignment="1">
      <alignment horizontal="center" vertical="center"/>
      <protection/>
    </xf>
    <xf numFmtId="0" fontId="30" fillId="0" borderId="39" xfId="0" applyFont="1" applyFill="1" applyBorder="1" applyAlignment="1">
      <alignment horizontal="center" vertical="center" wrapText="1"/>
    </xf>
    <xf numFmtId="167" fontId="30" fillId="0" borderId="39" xfId="0" applyNumberFormat="1" applyFont="1" applyFill="1" applyBorder="1" applyAlignment="1">
      <alignment horizontal="center" vertical="center" wrapText="1"/>
    </xf>
    <xf numFmtId="0" fontId="30" fillId="0" borderId="0" xfId="0" applyFont="1" applyFill="1" applyBorder="1" applyAlignment="1">
      <alignment/>
    </xf>
    <xf numFmtId="0" fontId="96" fillId="0" borderId="0" xfId="0" applyFont="1" applyBorder="1" applyAlignment="1">
      <alignment vertical="center"/>
    </xf>
    <xf numFmtId="0" fontId="19" fillId="0" borderId="39" xfId="0" applyFont="1" applyBorder="1" applyAlignment="1">
      <alignment horizontal="center" vertical="center"/>
    </xf>
    <xf numFmtId="0" fontId="19" fillId="0" borderId="33" xfId="0" applyFont="1" applyBorder="1" applyAlignment="1">
      <alignment horizontal="center"/>
    </xf>
    <xf numFmtId="0" fontId="19" fillId="0" borderId="40" xfId="0" applyFont="1" applyBorder="1" applyAlignment="1">
      <alignment horizontal="center"/>
    </xf>
    <xf numFmtId="0" fontId="19" fillId="0" borderId="47" xfId="0" applyFont="1" applyBorder="1" applyAlignment="1">
      <alignment horizontal="center"/>
    </xf>
    <xf numFmtId="191" fontId="19" fillId="0" borderId="40" xfId="76" applyFont="1" applyFill="1" applyBorder="1" applyAlignment="1" applyProtection="1">
      <alignment horizontal="center" vertical="center"/>
      <protection/>
    </xf>
    <xf numFmtId="10" fontId="10" fillId="0" borderId="33" xfId="67" applyNumberFormat="1" applyFont="1" applyFill="1" applyBorder="1" applyAlignment="1" applyProtection="1">
      <alignment horizontal="right" vertical="center"/>
      <protection/>
    </xf>
    <xf numFmtId="192" fontId="10" fillId="0" borderId="40" xfId="76" applyNumberFormat="1" applyFont="1" applyFill="1" applyBorder="1" applyAlignment="1" applyProtection="1">
      <alignment horizontal="right" vertical="center"/>
      <protection/>
    </xf>
    <xf numFmtId="10" fontId="10" fillId="0" borderId="47" xfId="67" applyNumberFormat="1" applyFont="1" applyFill="1" applyBorder="1" applyAlignment="1" applyProtection="1">
      <alignment horizontal="right" vertical="center"/>
      <protection/>
    </xf>
    <xf numFmtId="10" fontId="96" fillId="0" borderId="0" xfId="0" applyNumberFormat="1" applyFont="1" applyAlignment="1">
      <alignment/>
    </xf>
    <xf numFmtId="192" fontId="10" fillId="47" borderId="33" xfId="76" applyNumberFormat="1" applyFont="1" applyFill="1" applyBorder="1" applyAlignment="1" applyProtection="1">
      <alignment horizontal="right" vertical="center"/>
      <protection/>
    </xf>
    <xf numFmtId="192" fontId="10" fillId="47" borderId="40" xfId="76" applyNumberFormat="1" applyFont="1" applyFill="1" applyBorder="1" applyAlignment="1" applyProtection="1">
      <alignment horizontal="right" vertical="center"/>
      <protection/>
    </xf>
    <xf numFmtId="10" fontId="10" fillId="47" borderId="47" xfId="66" applyNumberFormat="1" applyFont="1" applyFill="1" applyBorder="1" applyAlignment="1" applyProtection="1">
      <alignment horizontal="right" vertical="center"/>
      <protection/>
    </xf>
    <xf numFmtId="192" fontId="10" fillId="47" borderId="47" xfId="76" applyNumberFormat="1" applyFont="1" applyFill="1" applyBorder="1" applyAlignment="1" applyProtection="1">
      <alignment horizontal="right" vertical="center"/>
      <protection/>
    </xf>
    <xf numFmtId="10" fontId="10" fillId="0" borderId="47" xfId="66" applyNumberFormat="1" applyFont="1" applyFill="1" applyBorder="1" applyAlignment="1" applyProtection="1">
      <alignment horizontal="right" vertical="center"/>
      <protection/>
    </xf>
    <xf numFmtId="192" fontId="10" fillId="0" borderId="33" xfId="76" applyNumberFormat="1" applyFont="1" applyFill="1" applyBorder="1" applyAlignment="1" applyProtection="1">
      <alignment horizontal="right" vertical="center"/>
      <protection/>
    </xf>
    <xf numFmtId="10" fontId="10" fillId="0" borderId="33" xfId="67" applyNumberFormat="1" applyFont="1" applyFill="1" applyBorder="1" applyAlignment="1" applyProtection="1">
      <alignment horizontal="right"/>
      <protection/>
    </xf>
    <xf numFmtId="192" fontId="10" fillId="0" borderId="40" xfId="76" applyNumberFormat="1" applyFont="1" applyFill="1" applyBorder="1" applyAlignment="1" applyProtection="1">
      <alignment horizontal="right"/>
      <protection/>
    </xf>
    <xf numFmtId="10" fontId="10" fillId="0" borderId="47" xfId="66" applyNumberFormat="1" applyFont="1" applyFill="1" applyBorder="1" applyAlignment="1" applyProtection="1">
      <alignment horizontal="right"/>
      <protection/>
    </xf>
    <xf numFmtId="10" fontId="10" fillId="48" borderId="47" xfId="66" applyNumberFormat="1" applyFont="1" applyFill="1" applyBorder="1" applyAlignment="1" applyProtection="1">
      <alignment horizontal="right"/>
      <protection/>
    </xf>
    <xf numFmtId="192" fontId="10" fillId="48" borderId="40" xfId="76" applyNumberFormat="1" applyFont="1" applyFill="1" applyBorder="1" applyAlignment="1" applyProtection="1">
      <alignment horizontal="right"/>
      <protection/>
    </xf>
    <xf numFmtId="0" fontId="96" fillId="0" borderId="33" xfId="0" applyFont="1" applyBorder="1" applyAlignment="1">
      <alignment horizontal="center" vertical="center"/>
    </xf>
    <xf numFmtId="0" fontId="96" fillId="0" borderId="39" xfId="0" applyFont="1" applyBorder="1" applyAlignment="1">
      <alignment horizontal="center" vertical="center"/>
    </xf>
    <xf numFmtId="10" fontId="96" fillId="0" borderId="39" xfId="67" applyNumberFormat="1" applyFont="1" applyFill="1" applyBorder="1" applyAlignment="1" applyProtection="1">
      <alignment horizontal="center" vertical="center"/>
      <protection/>
    </xf>
    <xf numFmtId="191" fontId="96" fillId="0" borderId="40" xfId="76" applyFont="1" applyFill="1" applyBorder="1" applyAlignment="1" applyProtection="1">
      <alignment horizontal="center" vertical="center"/>
      <protection/>
    </xf>
    <xf numFmtId="0" fontId="10" fillId="0" borderId="33" xfId="0" applyFont="1" applyBorder="1" applyAlignment="1">
      <alignment horizontal="center"/>
    </xf>
    <xf numFmtId="0" fontId="10" fillId="0" borderId="40" xfId="0" applyFont="1" applyBorder="1" applyAlignment="1">
      <alignment horizontal="center"/>
    </xf>
    <xf numFmtId="10" fontId="19" fillId="0" borderId="33" xfId="67" applyNumberFormat="1" applyFont="1" applyFill="1" applyBorder="1" applyAlignment="1" applyProtection="1">
      <alignment horizontal="center" vertical="center"/>
      <protection/>
    </xf>
    <xf numFmtId="10" fontId="19" fillId="0" borderId="47" xfId="66" applyNumberFormat="1" applyFont="1" applyFill="1" applyBorder="1" applyAlignment="1" applyProtection="1">
      <alignment horizontal="center" vertical="center"/>
      <protection/>
    </xf>
    <xf numFmtId="0" fontId="19" fillId="0" borderId="42" xfId="0" applyFont="1" applyBorder="1" applyAlignment="1">
      <alignment horizontal="center" vertical="center"/>
    </xf>
    <xf numFmtId="191" fontId="19" fillId="0" borderId="43" xfId="76" applyFont="1" applyFill="1" applyBorder="1" applyAlignment="1" applyProtection="1">
      <alignment horizontal="center" vertical="center"/>
      <protection/>
    </xf>
    <xf numFmtId="10" fontId="19" fillId="0" borderId="41" xfId="67" applyNumberFormat="1" applyFont="1" applyFill="1" applyBorder="1" applyAlignment="1" applyProtection="1">
      <alignment horizontal="center" vertical="center"/>
      <protection/>
    </xf>
    <xf numFmtId="10" fontId="19" fillId="0" borderId="73" xfId="66" applyNumberFormat="1" applyFont="1" applyFill="1" applyBorder="1" applyAlignment="1" applyProtection="1">
      <alignment horizontal="center" vertical="center"/>
      <protection/>
    </xf>
    <xf numFmtId="0" fontId="18" fillId="45" borderId="0" xfId="0" applyFont="1" applyFill="1" applyBorder="1" applyAlignment="1">
      <alignment horizontal="center" vertical="center" wrapText="1"/>
    </xf>
    <xf numFmtId="0" fontId="30" fillId="0" borderId="0" xfId="0" applyFont="1" applyFill="1" applyBorder="1" applyAlignment="1">
      <alignment vertical="center" wrapText="1"/>
    </xf>
    <xf numFmtId="2" fontId="30" fillId="0" borderId="0" xfId="0" applyNumberFormat="1" applyFont="1" applyFill="1" applyBorder="1" applyAlignment="1">
      <alignment vertical="center" wrapText="1"/>
    </xf>
    <xf numFmtId="2" fontId="29" fillId="0" borderId="0" xfId="0" applyNumberFormat="1" applyFont="1" applyFill="1" applyBorder="1" applyAlignment="1">
      <alignment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2" fontId="29" fillId="0" borderId="0" xfId="0" applyNumberFormat="1"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29" fillId="35" borderId="0" xfId="0" applyFont="1" applyFill="1" applyBorder="1" applyAlignment="1">
      <alignment horizontal="center"/>
    </xf>
    <xf numFmtId="0" fontId="29" fillId="0" borderId="0" xfId="0" applyFont="1" applyBorder="1" applyAlignment="1">
      <alignment horizontal="center" vertical="center"/>
    </xf>
    <xf numFmtId="0" fontId="24" fillId="0" borderId="44" xfId="0" applyFont="1" applyBorder="1" applyAlignment="1">
      <alignment horizontal="center" vertical="center" wrapText="1"/>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96" fillId="35" borderId="44" xfId="0" applyFont="1" applyFill="1" applyBorder="1" applyAlignment="1">
      <alignment horizontal="center" vertical="center"/>
    </xf>
    <xf numFmtId="0" fontId="96" fillId="35" borderId="0" xfId="0" applyFont="1" applyFill="1" applyBorder="1" applyAlignment="1">
      <alignment horizontal="center" vertical="center"/>
    </xf>
    <xf numFmtId="0" fontId="96" fillId="35" borderId="38" xfId="0" applyFont="1" applyFill="1" applyBorder="1" applyAlignment="1">
      <alignment horizontal="center" vertical="center"/>
    </xf>
    <xf numFmtId="0" fontId="93" fillId="34" borderId="55" xfId="0" applyFont="1" applyFill="1" applyBorder="1" applyAlignment="1">
      <alignment horizontal="center" vertical="center"/>
    </xf>
    <xf numFmtId="0" fontId="93" fillId="34" borderId="24" xfId="0" applyFont="1" applyFill="1" applyBorder="1" applyAlignment="1">
      <alignment horizontal="center" vertical="center"/>
    </xf>
    <xf numFmtId="167" fontId="19" fillId="0" borderId="0" xfId="60" applyNumberFormat="1" applyFont="1" applyFill="1" applyBorder="1" applyAlignment="1">
      <alignment vertical="center" wrapText="1"/>
      <protection/>
    </xf>
    <xf numFmtId="0" fontId="102" fillId="0" borderId="0" xfId="0" applyFont="1" applyAlignment="1">
      <alignment/>
    </xf>
    <xf numFmtId="0" fontId="102" fillId="0" borderId="0" xfId="0" applyFont="1" applyAlignment="1">
      <alignment horizontal="right"/>
    </xf>
    <xf numFmtId="0" fontId="35" fillId="0" borderId="31" xfId="0" applyFont="1" applyFill="1" applyBorder="1" applyAlignment="1">
      <alignment/>
    </xf>
    <xf numFmtId="0" fontId="36" fillId="35" borderId="53" xfId="53" applyFont="1" applyFill="1" applyBorder="1" applyAlignment="1">
      <alignment vertical="center"/>
      <protection/>
    </xf>
    <xf numFmtId="0" fontId="36" fillId="35" borderId="54" xfId="53" applyFont="1" applyFill="1" applyBorder="1" applyAlignment="1">
      <alignment vertical="center"/>
      <protection/>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36" fillId="0" borderId="0" xfId="0" applyFont="1" applyFill="1" applyBorder="1" applyAlignment="1">
      <alignment horizontal="center" vertical="center"/>
    </xf>
    <xf numFmtId="0" fontId="35" fillId="0" borderId="32" xfId="0" applyFont="1" applyFill="1" applyBorder="1" applyAlignment="1">
      <alignment/>
    </xf>
    <xf numFmtId="0" fontId="36" fillId="35" borderId="65" xfId="53" applyFont="1" applyFill="1" applyBorder="1" applyAlignment="1">
      <alignment vertical="center"/>
      <protection/>
    </xf>
    <xf numFmtId="0" fontId="36" fillId="35" borderId="66" xfId="53" applyFont="1" applyFill="1" applyBorder="1" applyAlignment="1">
      <alignment vertical="center"/>
      <protection/>
    </xf>
    <xf numFmtId="0" fontId="30" fillId="0" borderId="44" xfId="0" applyFont="1" applyFill="1" applyBorder="1" applyAlignment="1">
      <alignment vertical="center"/>
    </xf>
    <xf numFmtId="0" fontId="30" fillId="35" borderId="44" xfId="0" applyFont="1" applyFill="1" applyBorder="1" applyAlignment="1">
      <alignment horizontal="center"/>
    </xf>
    <xf numFmtId="0" fontId="30" fillId="35" borderId="38" xfId="0" applyFont="1" applyFill="1" applyBorder="1" applyAlignment="1">
      <alignment horizontal="center"/>
    </xf>
    <xf numFmtId="0" fontId="27" fillId="0" borderId="0" xfId="0" applyFont="1" applyBorder="1" applyAlignment="1">
      <alignment horizontal="center" vertical="center"/>
    </xf>
    <xf numFmtId="0" fontId="10" fillId="0" borderId="44" xfId="0" applyFont="1" applyBorder="1" applyAlignment="1">
      <alignment/>
    </xf>
    <xf numFmtId="0" fontId="29" fillId="5" borderId="43" xfId="0" applyFont="1" applyFill="1" applyBorder="1" applyAlignment="1">
      <alignment horizontal="center" vertical="center"/>
    </xf>
    <xf numFmtId="4" fontId="30" fillId="0" borderId="64" xfId="0" applyNumberFormat="1" applyFont="1" applyBorder="1" applyAlignment="1">
      <alignment horizontal="center" vertical="center"/>
    </xf>
    <xf numFmtId="0" fontId="29" fillId="0" borderId="44" xfId="0" applyFont="1" applyFill="1" applyBorder="1" applyAlignment="1">
      <alignment vertical="center"/>
    </xf>
    <xf numFmtId="0" fontId="30" fillId="0" borderId="0" xfId="0" applyFont="1" applyBorder="1" applyAlignment="1">
      <alignment/>
    </xf>
    <xf numFmtId="0" fontId="30" fillId="0" borderId="38" xfId="0" applyFont="1" applyBorder="1" applyAlignment="1">
      <alignment/>
    </xf>
    <xf numFmtId="0" fontId="30" fillId="0" borderId="44" xfId="0" applyFont="1" applyBorder="1" applyAlignment="1">
      <alignment/>
    </xf>
    <xf numFmtId="0" fontId="30" fillId="0" borderId="0" xfId="0" applyFont="1" applyBorder="1" applyAlignment="1">
      <alignment horizontal="center"/>
    </xf>
    <xf numFmtId="0" fontId="36" fillId="0" borderId="44" xfId="0" applyFont="1" applyFill="1" applyBorder="1" applyAlignment="1">
      <alignment vertical="center"/>
    </xf>
    <xf numFmtId="1" fontId="19" fillId="0" borderId="44" xfId="0" applyNumberFormat="1" applyFont="1" applyFill="1" applyBorder="1" applyAlignment="1">
      <alignment horizontal="center" vertical="center" wrapText="1"/>
    </xf>
    <xf numFmtId="167" fontId="19" fillId="0" borderId="44" xfId="60" applyNumberFormat="1" applyFont="1" applyFill="1" applyBorder="1" applyAlignment="1">
      <alignment horizontal="center" vertical="center" wrapText="1"/>
      <protection/>
    </xf>
    <xf numFmtId="167" fontId="19" fillId="0" borderId="40" xfId="60" applyNumberFormat="1" applyFont="1" applyFill="1" applyBorder="1" applyAlignment="1">
      <alignment vertical="center"/>
      <protection/>
    </xf>
    <xf numFmtId="0" fontId="19" fillId="43" borderId="52" xfId="0" applyFont="1" applyFill="1" applyBorder="1" applyAlignment="1">
      <alignment horizontal="center" vertical="center"/>
    </xf>
    <xf numFmtId="167" fontId="12" fillId="34" borderId="33" xfId="60" applyNumberFormat="1"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0" fontId="12" fillId="0" borderId="33" xfId="0" applyFont="1" applyFill="1" applyBorder="1" applyAlignment="1">
      <alignment horizontal="center" vertical="center"/>
    </xf>
    <xf numFmtId="4" fontId="12" fillId="0" borderId="40" xfId="0" applyNumberFormat="1" applyFont="1" applyFill="1" applyBorder="1" applyAlignment="1">
      <alignment horizontal="right" vertical="center"/>
    </xf>
    <xf numFmtId="4" fontId="24" fillId="0" borderId="40" xfId="0" applyNumberFormat="1" applyFont="1" applyFill="1" applyBorder="1" applyAlignment="1">
      <alignment vertical="center"/>
    </xf>
    <xf numFmtId="0" fontId="12" fillId="0" borderId="33" xfId="0" applyFont="1" applyFill="1" applyBorder="1" applyAlignment="1">
      <alignment horizontal="center" vertical="center" wrapText="1"/>
    </xf>
    <xf numFmtId="167" fontId="12" fillId="0" borderId="33"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12" fillId="0" borderId="4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0" fontId="105" fillId="33" borderId="44" xfId="0" applyFont="1" applyFill="1" applyBorder="1" applyAlignment="1">
      <alignment horizontal="center" vertical="center"/>
    </xf>
    <xf numFmtId="0" fontId="19" fillId="43" borderId="56" xfId="0" applyFont="1" applyFill="1" applyBorder="1" applyAlignment="1">
      <alignment horizontal="center" vertical="center"/>
    </xf>
    <xf numFmtId="0" fontId="101" fillId="33" borderId="44" xfId="0" applyFont="1" applyFill="1" applyBorder="1" applyAlignment="1">
      <alignment horizontal="center" vertical="center"/>
    </xf>
    <xf numFmtId="0" fontId="97" fillId="0" borderId="44" xfId="0" applyFont="1" applyBorder="1" applyAlignment="1">
      <alignment horizontal="center" vertical="center"/>
    </xf>
    <xf numFmtId="0" fontId="93" fillId="0" borderId="44" xfId="0" applyFont="1" applyBorder="1" applyAlignment="1">
      <alignment horizontal="center" vertical="center"/>
    </xf>
    <xf numFmtId="0" fontId="93" fillId="34" borderId="74" xfId="0" applyFont="1" applyFill="1" applyBorder="1" applyAlignment="1">
      <alignment horizontal="center" vertical="center"/>
    </xf>
    <xf numFmtId="0" fontId="93" fillId="34" borderId="64" xfId="0" applyFont="1" applyFill="1" applyBorder="1" applyAlignment="1">
      <alignment horizontal="center" vertical="center"/>
    </xf>
    <xf numFmtId="0" fontId="9" fillId="35" borderId="0" xfId="0" applyFont="1" applyFill="1" applyBorder="1" applyAlignment="1" applyProtection="1">
      <alignment vertical="center"/>
      <protection locked="0"/>
    </xf>
    <xf numFmtId="0" fontId="11" fillId="0" borderId="44" xfId="57" applyFont="1" applyBorder="1" applyAlignment="1">
      <alignment horizontal="center" vertical="center"/>
      <protection/>
    </xf>
    <xf numFmtId="0" fontId="14" fillId="0" borderId="45" xfId="0" applyFont="1" applyBorder="1" applyAlignment="1">
      <alignment horizontal="center" vertical="center"/>
    </xf>
    <xf numFmtId="2" fontId="14" fillId="0" borderId="40" xfId="0" applyNumberFormat="1" applyFont="1" applyBorder="1" applyAlignment="1">
      <alignment horizontal="center" vertical="center"/>
    </xf>
    <xf numFmtId="2" fontId="14" fillId="34" borderId="40" xfId="0" applyNumberFormat="1" applyFont="1" applyFill="1" applyBorder="1" applyAlignment="1">
      <alignment horizontal="center" vertical="center"/>
    </xf>
    <xf numFmtId="0" fontId="14" fillId="0" borderId="33" xfId="0" applyFont="1" applyBorder="1" applyAlignment="1">
      <alignment horizontal="center" vertical="center"/>
    </xf>
    <xf numFmtId="0" fontId="16" fillId="0" borderId="4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75" xfId="0" applyFont="1" applyFill="1" applyBorder="1" applyAlignment="1">
      <alignment horizontal="center" vertical="center"/>
    </xf>
    <xf numFmtId="2" fontId="14" fillId="0" borderId="43" xfId="0" applyNumberFormat="1" applyFont="1" applyFill="1" applyBorder="1" applyAlignment="1">
      <alignment horizontal="center" vertical="center"/>
    </xf>
    <xf numFmtId="171" fontId="9" fillId="43" borderId="76" xfId="60" applyNumberFormat="1" applyFont="1" applyFill="1" applyBorder="1" applyAlignment="1">
      <alignment vertical="center" wrapText="1"/>
      <protection/>
    </xf>
    <xf numFmtId="0" fontId="27" fillId="0" borderId="31" xfId="0" applyFont="1" applyBorder="1" applyAlignment="1">
      <alignment vertical="center"/>
    </xf>
    <xf numFmtId="0" fontId="27" fillId="0" borderId="53" xfId="0" applyFont="1" applyBorder="1" applyAlignment="1">
      <alignment vertical="center"/>
    </xf>
    <xf numFmtId="0" fontId="27" fillId="0" borderId="44" xfId="0" applyFont="1" applyBorder="1" applyAlignment="1">
      <alignment vertical="center"/>
    </xf>
    <xf numFmtId="0" fontId="27" fillId="0" borderId="44" xfId="0" applyFont="1" applyFill="1" applyBorder="1" applyAlignment="1">
      <alignment vertical="center"/>
    </xf>
    <xf numFmtId="0" fontId="27" fillId="0" borderId="0" xfId="0" applyFont="1" applyFill="1" applyBorder="1" applyAlignment="1">
      <alignment vertical="center"/>
    </xf>
    <xf numFmtId="0" fontId="27" fillId="35" borderId="44" xfId="0" applyFont="1" applyFill="1" applyBorder="1" applyAlignment="1">
      <alignment vertical="center"/>
    </xf>
    <xf numFmtId="0" fontId="27" fillId="35" borderId="0" xfId="0" applyFont="1" applyFill="1" applyBorder="1" applyAlignment="1">
      <alignment vertical="center"/>
    </xf>
    <xf numFmtId="0" fontId="27" fillId="0" borderId="50" xfId="0" applyFont="1" applyBorder="1" applyAlignment="1">
      <alignment vertical="center"/>
    </xf>
    <xf numFmtId="0" fontId="27" fillId="0" borderId="51" xfId="0" applyFont="1" applyBorder="1" applyAlignment="1">
      <alignment vertical="center"/>
    </xf>
    <xf numFmtId="166" fontId="18" fillId="34" borderId="43" xfId="47" applyFont="1" applyFill="1" applyBorder="1" applyAlignment="1">
      <alignment horizontal="right" vertical="center"/>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02" fillId="35" borderId="39" xfId="0" applyFont="1" applyFill="1" applyBorder="1" applyAlignment="1">
      <alignment horizontal="center"/>
    </xf>
    <xf numFmtId="0" fontId="20" fillId="0" borderId="47" xfId="0" applyFont="1" applyBorder="1" applyAlignment="1">
      <alignment horizontal="center" vertical="center"/>
    </xf>
    <xf numFmtId="1" fontId="21" fillId="0" borderId="39" xfId="0" applyNumberFormat="1" applyFont="1" applyBorder="1" applyAlignment="1">
      <alignment horizontal="center" vertical="center"/>
    </xf>
    <xf numFmtId="0" fontId="21" fillId="0" borderId="39" xfId="0" applyFont="1" applyBorder="1" applyAlignment="1">
      <alignment horizontal="center" vertical="center"/>
    </xf>
    <xf numFmtId="171" fontId="103" fillId="0" borderId="39" xfId="0" applyNumberFormat="1" applyFont="1" applyBorder="1" applyAlignment="1">
      <alignment horizontal="center" vertical="center"/>
    </xf>
    <xf numFmtId="171" fontId="107" fillId="0" borderId="39" xfId="0" applyNumberFormat="1" applyFont="1" applyBorder="1" applyAlignment="1">
      <alignment horizontal="center" vertical="center"/>
    </xf>
    <xf numFmtId="0" fontId="102" fillId="0" borderId="0" xfId="0" applyFont="1" applyAlignment="1">
      <alignment horizontal="center"/>
    </xf>
    <xf numFmtId="192" fontId="10" fillId="0" borderId="47" xfId="76" applyNumberFormat="1" applyFont="1" applyFill="1" applyBorder="1" applyAlignment="1" applyProtection="1">
      <alignment horizontal="right" vertical="center"/>
      <protection/>
    </xf>
    <xf numFmtId="0" fontId="35" fillId="35" borderId="0" xfId="0" applyFont="1" applyFill="1" applyBorder="1" applyAlignment="1">
      <alignment horizontal="center" vertical="center" wrapText="1"/>
    </xf>
    <xf numFmtId="0" fontId="18" fillId="0" borderId="48" xfId="0" applyFont="1" applyFill="1" applyBorder="1" applyAlignment="1">
      <alignment horizontal="justify" vertical="center" wrapText="1"/>
    </xf>
    <xf numFmtId="0" fontId="18" fillId="35" borderId="48" xfId="0" applyFont="1" applyFill="1" applyBorder="1" applyAlignment="1">
      <alignment horizontal="justify" vertical="center" wrapText="1"/>
    </xf>
    <xf numFmtId="0" fontId="18" fillId="35" borderId="45"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105" fillId="44" borderId="59" xfId="0" applyNumberFormat="1"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7" fillId="0" borderId="23" xfId="0" applyFont="1" applyFill="1" applyBorder="1" applyAlignment="1">
      <alignment horizontal="center" vertical="center"/>
    </xf>
    <xf numFmtId="0" fontId="37" fillId="0" borderId="77" xfId="53" applyFont="1" applyFill="1" applyBorder="1" applyAlignment="1">
      <alignment horizontal="left" vertical="center" wrapText="1"/>
      <protection/>
    </xf>
    <xf numFmtId="2" fontId="37" fillId="0" borderId="77" xfId="53" applyNumberFormat="1" applyFont="1" applyFill="1" applyBorder="1" applyAlignment="1">
      <alignment horizontal="center" vertical="center" wrapText="1"/>
      <protection/>
    </xf>
    <xf numFmtId="4" fontId="37" fillId="0" borderId="24" xfId="53" applyNumberFormat="1" applyFont="1" applyFill="1" applyBorder="1" applyAlignment="1">
      <alignment horizontal="center" vertical="center"/>
      <protection/>
    </xf>
    <xf numFmtId="4" fontId="37" fillId="0" borderId="63" xfId="53" applyNumberFormat="1" applyFont="1" applyFill="1" applyBorder="1" applyAlignment="1">
      <alignment horizontal="center" vertical="center"/>
      <protection/>
    </xf>
    <xf numFmtId="4" fontId="37" fillId="0" borderId="78" xfId="53" applyNumberFormat="1" applyFont="1" applyFill="1" applyBorder="1" applyAlignment="1">
      <alignment horizontal="center" vertical="center"/>
      <protection/>
    </xf>
    <xf numFmtId="0" fontId="37" fillId="0" borderId="33" xfId="0" applyFont="1" applyFill="1" applyBorder="1" applyAlignment="1">
      <alignment horizontal="center" vertical="center"/>
    </xf>
    <xf numFmtId="4" fontId="37" fillId="0" borderId="40" xfId="53" applyNumberFormat="1" applyFont="1" applyFill="1" applyBorder="1" applyAlignment="1">
      <alignment horizontal="center" vertical="center"/>
      <protection/>
    </xf>
    <xf numFmtId="0" fontId="37" fillId="0" borderId="34" xfId="0" applyFont="1" applyFill="1" applyBorder="1" applyAlignment="1">
      <alignment horizontal="center" vertical="center"/>
    </xf>
    <xf numFmtId="4" fontId="38" fillId="2" borderId="71" xfId="89" applyNumberFormat="1" applyFont="1" applyFill="1" applyBorder="1" applyAlignment="1">
      <alignment horizontal="center" vertical="center"/>
    </xf>
    <xf numFmtId="0" fontId="67" fillId="5" borderId="39" xfId="53" applyFont="1" applyFill="1" applyBorder="1" applyAlignment="1">
      <alignment horizontal="center" vertical="center" wrapText="1"/>
      <protection/>
    </xf>
    <xf numFmtId="9" fontId="67" fillId="5" borderId="63" xfId="65" applyFont="1" applyFill="1" applyBorder="1" applyAlignment="1">
      <alignment horizontal="center" vertical="center" wrapText="1"/>
    </xf>
    <xf numFmtId="9" fontId="67" fillId="5" borderId="39" xfId="65" applyFont="1" applyFill="1" applyBorder="1" applyAlignment="1">
      <alignment horizontal="center" vertical="center" wrapText="1"/>
    </xf>
    <xf numFmtId="167" fontId="67" fillId="5" borderId="36" xfId="72" applyNumberFormat="1" applyFont="1" applyFill="1" applyBorder="1" applyAlignment="1">
      <alignment horizontal="center" vertical="center" wrapText="1"/>
    </xf>
    <xf numFmtId="167" fontId="67" fillId="5" borderId="65" xfId="72" applyNumberFormat="1" applyFont="1" applyFill="1" applyBorder="1" applyAlignment="1">
      <alignment horizontal="center" vertical="center" wrapText="1"/>
    </xf>
    <xf numFmtId="167" fontId="67" fillId="5" borderId="46" xfId="72" applyNumberFormat="1" applyFont="1" applyFill="1" applyBorder="1" applyAlignment="1">
      <alignment horizontal="center" vertical="center" wrapText="1"/>
    </xf>
    <xf numFmtId="0" fontId="67" fillId="5" borderId="48" xfId="53" applyFont="1" applyFill="1" applyBorder="1" applyAlignment="1">
      <alignment horizontal="center" vertical="center" wrapText="1"/>
      <protection/>
    </xf>
    <xf numFmtId="0" fontId="67" fillId="5" borderId="70" xfId="53" applyFont="1" applyFill="1" applyBorder="1" applyAlignment="1">
      <alignment horizontal="center" vertical="center" wrapText="1"/>
      <protection/>
    </xf>
    <xf numFmtId="0" fontId="67" fillId="5" borderId="47" xfId="53" applyFont="1" applyFill="1" applyBorder="1" applyAlignment="1">
      <alignment horizontal="center" vertical="center" wrapText="1"/>
      <protection/>
    </xf>
    <xf numFmtId="167" fontId="67" fillId="5" borderId="39" xfId="72" applyNumberFormat="1" applyFont="1" applyFill="1" applyBorder="1" applyAlignment="1">
      <alignment horizontal="center" vertical="center" wrapText="1"/>
    </xf>
    <xf numFmtId="2" fontId="67" fillId="5" borderId="39" xfId="53" applyNumberFormat="1" applyFont="1" applyFill="1" applyBorder="1" applyAlignment="1">
      <alignment horizontal="center" vertical="center" wrapText="1"/>
      <protection/>
    </xf>
    <xf numFmtId="0" fontId="67" fillId="5" borderId="46" xfId="53" applyFont="1" applyFill="1" applyBorder="1" applyAlignment="1">
      <alignment horizontal="center" vertical="center" wrapText="1"/>
      <protection/>
    </xf>
    <xf numFmtId="2" fontId="67" fillId="5" borderId="48" xfId="53" applyNumberFormat="1" applyFont="1" applyFill="1" applyBorder="1" applyAlignment="1">
      <alignment horizontal="center" vertical="center" wrapText="1"/>
      <protection/>
    </xf>
    <xf numFmtId="0" fontId="67" fillId="0" borderId="79" xfId="53" applyFont="1" applyFill="1" applyBorder="1" applyAlignment="1">
      <alignment horizontal="center" vertical="center" wrapText="1"/>
      <protection/>
    </xf>
    <xf numFmtId="0" fontId="67" fillId="0" borderId="80" xfId="53" applyFont="1" applyFill="1" applyBorder="1" applyAlignment="1">
      <alignment horizontal="center" vertical="center" wrapText="1"/>
      <protection/>
    </xf>
    <xf numFmtId="0" fontId="67" fillId="5" borderId="79" xfId="53" applyFont="1" applyFill="1" applyBorder="1" applyAlignment="1" quotePrefix="1">
      <alignment horizontal="center" vertical="center" wrapText="1"/>
      <protection/>
    </xf>
    <xf numFmtId="0" fontId="67" fillId="5" borderId="79" xfId="53" applyFont="1" applyFill="1" applyBorder="1" applyAlignment="1">
      <alignment horizontal="center" vertical="center" wrapText="1"/>
      <protection/>
    </xf>
    <xf numFmtId="0" fontId="67" fillId="5" borderId="81" xfId="53" applyFont="1" applyFill="1" applyBorder="1" applyAlignment="1" quotePrefix="1">
      <alignment horizontal="center" vertical="center" wrapText="1"/>
      <protection/>
    </xf>
    <xf numFmtId="0" fontId="67" fillId="5" borderId="82" xfId="53" applyFont="1" applyFill="1" applyBorder="1" applyAlignment="1" quotePrefix="1">
      <alignment horizontal="center" vertical="center" wrapText="1"/>
      <protection/>
    </xf>
    <xf numFmtId="0" fontId="67" fillId="5" borderId="80" xfId="53" applyFont="1" applyFill="1" applyBorder="1" applyAlignment="1">
      <alignment horizontal="center" vertical="center" wrapText="1"/>
      <protection/>
    </xf>
    <xf numFmtId="0" fontId="67" fillId="5" borderId="81" xfId="53" applyFont="1" applyFill="1" applyBorder="1" applyAlignment="1">
      <alignment horizontal="center" vertical="center" wrapText="1"/>
      <protection/>
    </xf>
    <xf numFmtId="167" fontId="67" fillId="5" borderId="80" xfId="72" applyNumberFormat="1" applyFont="1" applyFill="1" applyBorder="1" applyAlignment="1">
      <alignment horizontal="center" vertical="center" wrapText="1"/>
    </xf>
    <xf numFmtId="167" fontId="67" fillId="5" borderId="56" xfId="72" applyNumberFormat="1" applyFont="1" applyFill="1" applyBorder="1" applyAlignment="1">
      <alignment horizontal="center" vertical="center" wrapText="1"/>
    </xf>
    <xf numFmtId="167" fontId="67" fillId="5" borderId="79" xfId="72" applyNumberFormat="1" applyFont="1" applyFill="1" applyBorder="1" applyAlignment="1">
      <alignment horizontal="center" vertical="center" wrapText="1"/>
    </xf>
    <xf numFmtId="170" fontId="37" fillId="0" borderId="24" xfId="53" applyNumberFormat="1" applyFont="1" applyFill="1" applyBorder="1" applyAlignment="1">
      <alignment horizontal="center" vertical="center"/>
      <protection/>
    </xf>
    <xf numFmtId="171" fontId="25" fillId="0" borderId="0" xfId="0" applyNumberFormat="1" applyFont="1" applyAlignment="1">
      <alignment vertical="center"/>
    </xf>
    <xf numFmtId="0" fontId="26" fillId="5" borderId="33"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0" xfId="0" applyFont="1" applyFill="1" applyBorder="1" applyAlignment="1">
      <alignment horizontal="center" vertical="center" wrapText="1"/>
    </xf>
    <xf numFmtId="2" fontId="26" fillId="5" borderId="83" xfId="0" applyNumberFormat="1" applyFont="1" applyFill="1" applyBorder="1" applyAlignment="1">
      <alignment horizontal="center" vertical="center"/>
    </xf>
    <xf numFmtId="171" fontId="26" fillId="5" borderId="83" xfId="0" applyNumberFormat="1" applyFont="1" applyFill="1" applyBorder="1" applyAlignment="1">
      <alignment horizontal="center" vertical="center"/>
    </xf>
    <xf numFmtId="171" fontId="26" fillId="5" borderId="71" xfId="0" applyNumberFormat="1" applyFont="1" applyFill="1" applyBorder="1" applyAlignment="1">
      <alignment horizontal="center" vertical="center"/>
    </xf>
    <xf numFmtId="0" fontId="18" fillId="34" borderId="33" xfId="0" applyFont="1" applyFill="1" applyBorder="1" applyAlignment="1">
      <alignment horizontal="center" vertical="center"/>
    </xf>
    <xf numFmtId="10" fontId="28" fillId="34" borderId="39" xfId="65" applyNumberFormat="1" applyFont="1" applyFill="1" applyBorder="1" applyAlignment="1">
      <alignment horizontal="center" vertical="center" wrapText="1"/>
    </xf>
    <xf numFmtId="0" fontId="28" fillId="34" borderId="39" xfId="0" applyFont="1" applyFill="1" applyBorder="1" applyAlignment="1">
      <alignment horizontal="center" vertical="center" wrapText="1"/>
    </xf>
    <xf numFmtId="0" fontId="18" fillId="34" borderId="48" xfId="0" applyFont="1" applyFill="1" applyBorder="1" applyAlignment="1">
      <alignment vertical="center" wrapText="1"/>
    </xf>
    <xf numFmtId="0" fontId="18" fillId="34" borderId="48" xfId="0" applyFont="1" applyFill="1" applyBorder="1" applyAlignment="1">
      <alignment vertical="center"/>
    </xf>
    <xf numFmtId="0" fontId="18" fillId="34" borderId="39" xfId="0" applyFont="1" applyFill="1" applyBorder="1" applyAlignment="1">
      <alignment vertical="center"/>
    </xf>
    <xf numFmtId="0" fontId="18" fillId="34" borderId="39" xfId="0" applyFont="1" applyFill="1" applyBorder="1" applyAlignment="1">
      <alignment horizontal="center" vertical="center"/>
    </xf>
    <xf numFmtId="2" fontId="10" fillId="0" borderId="39" xfId="0" applyNumberFormat="1" applyFont="1" applyBorder="1" applyAlignment="1">
      <alignment horizontal="center" vertical="center"/>
    </xf>
    <xf numFmtId="2" fontId="101" fillId="0" borderId="39" xfId="0" applyNumberFormat="1" applyFont="1" applyBorder="1" applyAlignment="1">
      <alignment horizontal="center" vertical="center"/>
    </xf>
    <xf numFmtId="2" fontId="10" fillId="0" borderId="39" xfId="60" applyNumberFormat="1" applyFont="1" applyFill="1" applyBorder="1" applyAlignment="1">
      <alignment horizontal="center" vertical="center"/>
      <protection/>
    </xf>
    <xf numFmtId="2" fontId="101" fillId="0" borderId="40" xfId="0" applyNumberFormat="1" applyFont="1" applyBorder="1" applyAlignment="1">
      <alignment horizontal="center" vertical="center"/>
    </xf>
    <xf numFmtId="2" fontId="10" fillId="0" borderId="42" xfId="0" applyNumberFormat="1" applyFont="1" applyBorder="1" applyAlignment="1">
      <alignment horizontal="center" vertical="center"/>
    </xf>
    <xf numFmtId="2" fontId="101" fillId="0" borderId="42" xfId="0" applyNumberFormat="1" applyFont="1" applyBorder="1" applyAlignment="1">
      <alignment horizontal="center" vertical="center"/>
    </xf>
    <xf numFmtId="2" fontId="101" fillId="0" borderId="43" xfId="0" applyNumberFormat="1" applyFont="1" applyBorder="1" applyAlignment="1">
      <alignment horizontal="center" vertical="center"/>
    </xf>
    <xf numFmtId="189" fontId="12" fillId="0" borderId="39" xfId="0" applyNumberFormat="1" applyFont="1" applyFill="1" applyBorder="1" applyAlignment="1">
      <alignment horizontal="right" vertical="center"/>
    </xf>
    <xf numFmtId="188" fontId="10" fillId="0" borderId="18" xfId="0" applyNumberFormat="1" applyFont="1" applyFill="1" applyBorder="1" applyAlignment="1">
      <alignment horizontal="right" vertical="center"/>
    </xf>
    <xf numFmtId="188" fontId="10" fillId="0" borderId="10" xfId="0" applyNumberFormat="1" applyFont="1" applyFill="1" applyBorder="1" applyAlignment="1">
      <alignment horizontal="right" vertical="center"/>
    </xf>
    <xf numFmtId="2" fontId="12" fillId="0" borderId="39" xfId="0" applyNumberFormat="1" applyFont="1" applyFill="1" applyBorder="1" applyAlignment="1">
      <alignment horizontal="right" vertical="center"/>
    </xf>
    <xf numFmtId="0" fontId="29" fillId="35" borderId="44"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38"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48" xfId="0" applyFont="1" applyFill="1" applyBorder="1" applyAlignment="1">
      <alignment horizontal="center" vertical="center" wrapText="1"/>
    </xf>
    <xf numFmtId="0" fontId="29" fillId="0" borderId="39" xfId="0" applyFont="1" applyBorder="1" applyAlignment="1">
      <alignment horizontal="center" vertical="center"/>
    </xf>
    <xf numFmtId="0" fontId="29" fillId="5" borderId="39" xfId="0" applyFont="1" applyFill="1" applyBorder="1" applyAlignment="1">
      <alignment horizontal="center" vertical="center"/>
    </xf>
    <xf numFmtId="0" fontId="29" fillId="0" borderId="39" xfId="0" applyFont="1" applyBorder="1" applyAlignment="1">
      <alignment vertical="center"/>
    </xf>
    <xf numFmtId="0" fontId="30" fillId="0" borderId="31" xfId="0" applyFont="1" applyFill="1" applyBorder="1" applyAlignment="1">
      <alignment vertical="center"/>
    </xf>
    <xf numFmtId="0" fontId="29" fillId="35" borderId="53" xfId="53" applyFont="1" applyFill="1" applyBorder="1" applyAlignment="1">
      <alignment vertical="center"/>
      <protection/>
    </xf>
    <xf numFmtId="0" fontId="34" fillId="5" borderId="84" xfId="53" applyFont="1" applyFill="1" applyBorder="1" applyAlignment="1">
      <alignment horizontal="center" vertical="center"/>
      <protection/>
    </xf>
    <xf numFmtId="0" fontId="34" fillId="0" borderId="44" xfId="53" applyFont="1" applyFill="1" applyBorder="1" applyAlignment="1">
      <alignment horizontal="center" vertical="center" wrapText="1"/>
      <protection/>
    </xf>
    <xf numFmtId="0" fontId="34" fillId="0" borderId="0" xfId="53" applyFont="1" applyFill="1" applyBorder="1" applyAlignment="1">
      <alignment horizontal="center" vertical="center" wrapText="1"/>
      <protection/>
    </xf>
    <xf numFmtId="0" fontId="34" fillId="5" borderId="85" xfId="53" applyFont="1" applyFill="1" applyBorder="1" applyAlignment="1">
      <alignment horizontal="center" vertical="center"/>
      <protection/>
    </xf>
    <xf numFmtId="167" fontId="34" fillId="5" borderId="48" xfId="72" applyNumberFormat="1" applyFont="1" applyFill="1" applyBorder="1" applyAlignment="1">
      <alignment horizontal="center" vertical="center" wrapText="1"/>
    </xf>
    <xf numFmtId="167" fontId="34" fillId="5" borderId="40" xfId="72" applyNumberFormat="1" applyFont="1" applyFill="1" applyBorder="1" applyAlignment="1">
      <alignment horizontal="center" vertical="center" wrapText="1"/>
    </xf>
    <xf numFmtId="167" fontId="108" fillId="5" borderId="39" xfId="72" applyNumberFormat="1" applyFont="1" applyFill="1" applyBorder="1" applyAlignment="1">
      <alignment horizontal="center" vertical="center" wrapText="1"/>
    </xf>
    <xf numFmtId="167" fontId="108" fillId="5" borderId="48" xfId="72" applyNumberFormat="1" applyFont="1" applyFill="1" applyBorder="1" applyAlignment="1">
      <alignment horizontal="center" vertical="center" wrapText="1"/>
    </xf>
    <xf numFmtId="167" fontId="108" fillId="5" borderId="40" xfId="72" applyNumberFormat="1" applyFont="1" applyFill="1" applyBorder="1" applyAlignment="1">
      <alignment horizontal="center" vertical="center" wrapText="1"/>
    </xf>
    <xf numFmtId="0" fontId="34" fillId="5" borderId="39" xfId="53" applyFont="1" applyFill="1" applyBorder="1" applyAlignment="1">
      <alignment horizontal="center" vertical="center"/>
      <protection/>
    </xf>
    <xf numFmtId="2" fontId="34" fillId="5" borderId="39" xfId="53" applyNumberFormat="1" applyFont="1" applyFill="1" applyBorder="1" applyAlignment="1">
      <alignment horizontal="center" vertical="center"/>
      <protection/>
    </xf>
    <xf numFmtId="2" fontId="34" fillId="5" borderId="48" xfId="53" applyNumberFormat="1" applyFont="1" applyFill="1" applyBorder="1" applyAlignment="1">
      <alignment horizontal="center" vertical="center"/>
      <protection/>
    </xf>
    <xf numFmtId="2" fontId="34" fillId="5" borderId="40" xfId="53" applyNumberFormat="1" applyFont="1" applyFill="1" applyBorder="1" applyAlignment="1">
      <alignment horizontal="center" vertical="center"/>
      <protection/>
    </xf>
    <xf numFmtId="0" fontId="34" fillId="0" borderId="79" xfId="53" applyFont="1" applyFill="1" applyBorder="1" applyAlignment="1">
      <alignment horizontal="center" vertical="center"/>
      <protection/>
    </xf>
    <xf numFmtId="0" fontId="34" fillId="0" borderId="80" xfId="53" applyFont="1" applyFill="1" applyBorder="1" applyAlignment="1">
      <alignment horizontal="center" vertical="center"/>
      <protection/>
    </xf>
    <xf numFmtId="0" fontId="34" fillId="5" borderId="79" xfId="53" applyFont="1" applyFill="1" applyBorder="1" applyAlignment="1">
      <alignment horizontal="center" vertical="center"/>
      <protection/>
    </xf>
    <xf numFmtId="0" fontId="34" fillId="5" borderId="80" xfId="53" applyFont="1" applyFill="1" applyBorder="1" applyAlignment="1">
      <alignment horizontal="center" vertical="center"/>
      <protection/>
    </xf>
    <xf numFmtId="0" fontId="34" fillId="5" borderId="86" xfId="53" applyFont="1" applyFill="1" applyBorder="1" applyAlignment="1">
      <alignment horizontal="center" vertical="center"/>
      <protection/>
    </xf>
    <xf numFmtId="0" fontId="33" fillId="0" borderId="48" xfId="0" applyFont="1" applyFill="1" applyBorder="1" applyAlignment="1">
      <alignment horizontal="center" vertical="center" wrapText="1"/>
    </xf>
    <xf numFmtId="0" fontId="33" fillId="0" borderId="87" xfId="0" applyFont="1" applyFill="1" applyBorder="1" applyAlignment="1">
      <alignment horizontal="center" vertical="center" wrapText="1"/>
    </xf>
    <xf numFmtId="0" fontId="29" fillId="0" borderId="56" xfId="53" applyFont="1" applyFill="1" applyBorder="1" applyAlignment="1">
      <alignment vertical="center"/>
      <protection/>
    </xf>
    <xf numFmtId="167" fontId="34" fillId="5" borderId="87" xfId="72" applyNumberFormat="1" applyFont="1" applyFill="1" applyBorder="1" applyAlignment="1">
      <alignment horizontal="center" vertical="center" wrapText="1"/>
    </xf>
    <xf numFmtId="0" fontId="35" fillId="0" borderId="23" xfId="0" applyFont="1" applyFill="1" applyBorder="1" applyAlignment="1">
      <alignment horizontal="center" vertical="center"/>
    </xf>
    <xf numFmtId="0" fontId="35" fillId="0" borderId="77" xfId="53" applyFont="1" applyFill="1" applyBorder="1" applyAlignment="1">
      <alignment horizontal="left" vertical="center" wrapText="1"/>
      <protection/>
    </xf>
    <xf numFmtId="2" fontId="35" fillId="0" borderId="77" xfId="53" applyNumberFormat="1" applyFont="1" applyFill="1" applyBorder="1" applyAlignment="1">
      <alignment horizontal="center" vertical="center" wrapText="1"/>
      <protection/>
    </xf>
    <xf numFmtId="4" fontId="35" fillId="0" borderId="24" xfId="53" applyNumberFormat="1" applyFont="1" applyFill="1" applyBorder="1" applyAlignment="1">
      <alignment horizontal="center" vertical="center"/>
      <protection/>
    </xf>
    <xf numFmtId="4" fontId="35" fillId="0" borderId="63" xfId="53" applyNumberFormat="1" applyFont="1" applyFill="1" applyBorder="1" applyAlignment="1">
      <alignment horizontal="center" vertical="center"/>
      <protection/>
    </xf>
    <xf numFmtId="4" fontId="35" fillId="0" borderId="64" xfId="53" applyNumberFormat="1" applyFont="1" applyFill="1" applyBorder="1" applyAlignment="1">
      <alignment horizontal="center" vertical="center"/>
      <protection/>
    </xf>
    <xf numFmtId="0" fontId="35" fillId="0" borderId="0" xfId="0" applyFont="1" applyFill="1" applyAlignment="1">
      <alignment vertical="center"/>
    </xf>
    <xf numFmtId="0" fontId="35" fillId="0" borderId="48" xfId="0" applyFont="1" applyFill="1" applyBorder="1" applyAlignment="1">
      <alignment horizontal="center" vertical="center"/>
    </xf>
    <xf numFmtId="171" fontId="35" fillId="0" borderId="39" xfId="0" applyNumberFormat="1" applyFont="1" applyFill="1" applyBorder="1" applyAlignment="1">
      <alignment horizontal="center" vertical="center"/>
    </xf>
    <xf numFmtId="171" fontId="35" fillId="0" borderId="48" xfId="0" applyNumberFormat="1" applyFont="1" applyFill="1" applyBorder="1" applyAlignment="1">
      <alignment horizontal="center" vertical="center"/>
    </xf>
    <xf numFmtId="171" fontId="35" fillId="0" borderId="87" xfId="0" applyNumberFormat="1" applyFont="1" applyFill="1" applyBorder="1" applyAlignment="1">
      <alignment horizontal="center" vertical="center"/>
    </xf>
    <xf numFmtId="0" fontId="35" fillId="0" borderId="0" xfId="0" applyFont="1" applyFill="1" applyAlignment="1">
      <alignment horizontal="center" vertical="center"/>
    </xf>
    <xf numFmtId="4" fontId="36" fillId="2" borderId="71" xfId="89" applyNumberFormat="1" applyFont="1" applyFill="1" applyBorder="1" applyAlignment="1">
      <alignment horizontal="center" vertical="center"/>
    </xf>
    <xf numFmtId="43" fontId="30" fillId="0" borderId="0" xfId="53" applyNumberFormat="1" applyFont="1" applyFill="1" applyAlignment="1">
      <alignment horizontal="center" vertical="center"/>
      <protection/>
    </xf>
    <xf numFmtId="43" fontId="96" fillId="0" borderId="0" xfId="0" applyNumberFormat="1" applyFont="1" applyAlignment="1">
      <alignment/>
    </xf>
    <xf numFmtId="0" fontId="27" fillId="49" borderId="39" xfId="0" applyFont="1" applyFill="1" applyBorder="1" applyAlignment="1">
      <alignment horizontal="center" vertical="center" wrapText="1"/>
    </xf>
    <xf numFmtId="49" fontId="18" fillId="35" borderId="39" xfId="0" applyNumberFormat="1"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4"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Alignment="1">
      <alignment horizontal="center" vertical="center"/>
    </xf>
    <xf numFmtId="0" fontId="26" fillId="5" borderId="37" xfId="0" applyFont="1" applyFill="1" applyBorder="1" applyAlignment="1">
      <alignment horizontal="center" vertical="center"/>
    </xf>
    <xf numFmtId="0" fontId="26" fillId="5" borderId="83" xfId="0" applyFont="1" applyFill="1" applyBorder="1" applyAlignment="1">
      <alignment horizontal="center" vertical="center"/>
    </xf>
    <xf numFmtId="0" fontId="26" fillId="35" borderId="44" xfId="0" applyFont="1" applyFill="1" applyBorder="1" applyAlignment="1">
      <alignment horizontal="center" vertical="center" wrapText="1"/>
    </xf>
    <xf numFmtId="0" fontId="26" fillId="35" borderId="0" xfId="0" applyFont="1" applyFill="1" applyBorder="1" applyAlignment="1">
      <alignment horizontal="center" vertical="center" wrapText="1"/>
    </xf>
    <xf numFmtId="0" fontId="26" fillId="35" borderId="38" xfId="0" applyFont="1" applyFill="1" applyBorder="1" applyAlignment="1">
      <alignment horizontal="center" vertical="center" wrapText="1"/>
    </xf>
    <xf numFmtId="0" fontId="25" fillId="35" borderId="44"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25" fillId="35" borderId="38" xfId="0" applyFont="1" applyFill="1" applyBorder="1" applyAlignment="1">
      <alignment horizontal="center" vertical="center" wrapText="1"/>
    </xf>
    <xf numFmtId="0" fontId="25" fillId="0" borderId="31" xfId="0" applyFont="1" applyBorder="1" applyAlignment="1">
      <alignment horizontal="center"/>
    </xf>
    <xf numFmtId="0" fontId="25" fillId="0" borderId="53" xfId="0" applyFont="1" applyBorder="1" applyAlignment="1">
      <alignment horizontal="center"/>
    </xf>
    <xf numFmtId="0" fontId="25" fillId="0" borderId="54" xfId="0" applyFont="1" applyBorder="1" applyAlignment="1">
      <alignment horizontal="center"/>
    </xf>
    <xf numFmtId="167" fontId="18" fillId="43" borderId="88" xfId="60" applyNumberFormat="1" applyFont="1" applyFill="1" applyBorder="1" applyAlignment="1">
      <alignment horizontal="center" vertical="center" wrapText="1"/>
      <protection/>
    </xf>
    <xf numFmtId="167" fontId="18" fillId="43" borderId="89" xfId="60" applyNumberFormat="1" applyFont="1" applyFill="1" applyBorder="1" applyAlignment="1">
      <alignment horizontal="center" vertical="center" wrapText="1"/>
      <protection/>
    </xf>
    <xf numFmtId="167" fontId="18" fillId="43" borderId="90" xfId="60" applyNumberFormat="1" applyFont="1" applyFill="1" applyBorder="1" applyAlignment="1">
      <alignment horizontal="center" vertical="center" wrapText="1"/>
      <protection/>
    </xf>
    <xf numFmtId="0" fontId="26" fillId="0" borderId="4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18" fillId="35" borderId="44"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35" borderId="38" xfId="0" applyFont="1" applyFill="1" applyBorder="1" applyAlignment="1">
      <alignment horizontal="center" vertical="center" wrapText="1"/>
    </xf>
    <xf numFmtId="0" fontId="18" fillId="34" borderId="45" xfId="0" applyFont="1" applyFill="1" applyBorder="1" applyAlignment="1">
      <alignment horizontal="right" vertical="center" wrapText="1"/>
    </xf>
    <xf numFmtId="0" fontId="18" fillId="34" borderId="46" xfId="0" applyFont="1" applyFill="1" applyBorder="1" applyAlignment="1">
      <alignment horizontal="right" vertical="center" wrapText="1"/>
    </xf>
    <xf numFmtId="0" fontId="18" fillId="34" borderId="47" xfId="0" applyFont="1" applyFill="1" applyBorder="1" applyAlignment="1">
      <alignment horizontal="right" vertical="center" wrapText="1"/>
    </xf>
    <xf numFmtId="0" fontId="18" fillId="35" borderId="0" xfId="0" applyFont="1" applyFill="1" applyBorder="1" applyAlignment="1">
      <alignment horizontal="left" vertical="center" wrapText="1"/>
    </xf>
    <xf numFmtId="0" fontId="18" fillId="35" borderId="38" xfId="0" applyFont="1" applyFill="1" applyBorder="1" applyAlignment="1">
      <alignment horizontal="left" vertical="center" wrapText="1"/>
    </xf>
    <xf numFmtId="0" fontId="18" fillId="35" borderId="44" xfId="0" applyFont="1" applyFill="1" applyBorder="1" applyAlignment="1">
      <alignment horizontal="left" vertical="center" wrapText="1"/>
    </xf>
    <xf numFmtId="0" fontId="27" fillId="35" borderId="0" xfId="0" applyFont="1" applyFill="1" applyBorder="1" applyAlignment="1">
      <alignment horizontal="left" vertical="center" wrapText="1"/>
    </xf>
    <xf numFmtId="0" fontId="27" fillId="35" borderId="38" xfId="0" applyFont="1" applyFill="1" applyBorder="1" applyAlignment="1">
      <alignment horizontal="left" vertical="center" wrapText="1"/>
    </xf>
    <xf numFmtId="0" fontId="28" fillId="34" borderId="34" xfId="0" applyFont="1" applyFill="1" applyBorder="1" applyAlignment="1">
      <alignment horizontal="center" vertical="center" wrapText="1"/>
    </xf>
    <xf numFmtId="0" fontId="28" fillId="34" borderId="23" xfId="0" applyFont="1" applyFill="1" applyBorder="1" applyAlignment="1">
      <alignment horizontal="center" vertical="center" wrapText="1"/>
    </xf>
    <xf numFmtId="0" fontId="28" fillId="34" borderId="55" xfId="0" applyFont="1" applyFill="1" applyBorder="1" applyAlignment="1">
      <alignment horizontal="center" vertical="center" wrapText="1"/>
    </xf>
    <xf numFmtId="0" fontId="28" fillId="34" borderId="24" xfId="0" applyFont="1" applyFill="1" applyBorder="1" applyAlignment="1">
      <alignment horizontal="center" vertical="center" wrapText="1"/>
    </xf>
    <xf numFmtId="0" fontId="18" fillId="0" borderId="32" xfId="0" applyFont="1" applyFill="1" applyBorder="1" applyAlignment="1">
      <alignment horizontal="right" vertical="center" wrapText="1"/>
    </xf>
    <xf numFmtId="0" fontId="18" fillId="0" borderId="65" xfId="0" applyFont="1" applyFill="1" applyBorder="1" applyAlignment="1">
      <alignment horizontal="right" vertical="center" wrapText="1"/>
    </xf>
    <xf numFmtId="0" fontId="18" fillId="0" borderId="66" xfId="0" applyFont="1" applyFill="1" applyBorder="1" applyAlignment="1">
      <alignment horizontal="right" vertical="center" wrapText="1"/>
    </xf>
    <xf numFmtId="2" fontId="18" fillId="0" borderId="0" xfId="0" applyNumberFormat="1" applyFont="1" applyAlignment="1">
      <alignment vertical="center"/>
    </xf>
    <xf numFmtId="0" fontId="18" fillId="45" borderId="0" xfId="0" applyFont="1" applyFill="1" applyBorder="1" applyAlignment="1">
      <alignment horizontal="center" vertical="center" wrapText="1"/>
    </xf>
    <xf numFmtId="0" fontId="27" fillId="35" borderId="44" xfId="0" applyFont="1" applyFill="1" applyBorder="1" applyAlignment="1">
      <alignment horizontal="left" vertical="center" wrapText="1"/>
    </xf>
    <xf numFmtId="167" fontId="9" fillId="43" borderId="88" xfId="60" applyNumberFormat="1" applyFont="1" applyFill="1" applyBorder="1" applyAlignment="1">
      <alignment horizontal="center" vertical="center" wrapText="1"/>
      <protection/>
    </xf>
    <xf numFmtId="167" fontId="9" fillId="43" borderId="89" xfId="60" applyNumberFormat="1" applyFont="1" applyFill="1" applyBorder="1" applyAlignment="1">
      <alignment horizontal="center" vertical="center" wrapText="1"/>
      <protection/>
    </xf>
    <xf numFmtId="167" fontId="9" fillId="43" borderId="90" xfId="60" applyNumberFormat="1" applyFont="1" applyFill="1" applyBorder="1" applyAlignment="1">
      <alignment horizontal="center" vertical="center" wrapText="1"/>
      <protection/>
    </xf>
    <xf numFmtId="0" fontId="28" fillId="34" borderId="39" xfId="0" applyFont="1" applyFill="1" applyBorder="1" applyAlignment="1">
      <alignment horizontal="center" vertical="center" wrapText="1"/>
    </xf>
    <xf numFmtId="0" fontId="28" fillId="34" borderId="40" xfId="0" applyFont="1" applyFill="1" applyBorder="1" applyAlignment="1">
      <alignment horizontal="center" vertical="center" wrapText="1"/>
    </xf>
    <xf numFmtId="167" fontId="9" fillId="0" borderId="91" xfId="60" applyNumberFormat="1" applyFont="1" applyFill="1" applyBorder="1" applyAlignment="1">
      <alignment horizontal="center" vertical="center" wrapText="1"/>
      <protection/>
    </xf>
    <xf numFmtId="167" fontId="9" fillId="0" borderId="92" xfId="60" applyNumberFormat="1" applyFont="1" applyFill="1" applyBorder="1" applyAlignment="1">
      <alignment horizontal="center" vertical="center" wrapText="1"/>
      <protection/>
    </xf>
    <xf numFmtId="167" fontId="9" fillId="0" borderId="93" xfId="60" applyNumberFormat="1" applyFont="1" applyFill="1" applyBorder="1" applyAlignment="1">
      <alignment horizontal="center" vertical="center" wrapText="1"/>
      <protection/>
    </xf>
    <xf numFmtId="0" fontId="18" fillId="34" borderId="46"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46" xfId="0" applyFont="1" applyFill="1" applyBorder="1" applyAlignment="1">
      <alignment horizontal="center" vertical="center"/>
    </xf>
    <xf numFmtId="0" fontId="18" fillId="34" borderId="49" xfId="0" applyFont="1" applyFill="1" applyBorder="1" applyAlignment="1">
      <alignment horizontal="center" vertical="center"/>
    </xf>
    <xf numFmtId="0" fontId="18" fillId="34" borderId="75" xfId="0" applyFont="1" applyFill="1" applyBorder="1" applyAlignment="1">
      <alignment horizontal="right" vertical="center" wrapText="1"/>
    </xf>
    <xf numFmtId="0" fontId="18" fillId="34" borderId="94" xfId="0" applyFont="1" applyFill="1" applyBorder="1" applyAlignment="1">
      <alignment horizontal="right" vertical="center" wrapText="1"/>
    </xf>
    <xf numFmtId="0" fontId="18" fillId="34" borderId="73" xfId="0" applyFont="1" applyFill="1" applyBorder="1" applyAlignment="1">
      <alignment horizontal="right" vertical="center" wrapText="1"/>
    </xf>
    <xf numFmtId="0" fontId="18" fillId="34" borderId="45" xfId="0" applyFont="1" applyFill="1" applyBorder="1" applyAlignment="1">
      <alignment horizontal="right" vertical="center"/>
    </xf>
    <xf numFmtId="0" fontId="18" fillId="34" borderId="46" xfId="0" applyFont="1" applyFill="1" applyBorder="1" applyAlignment="1">
      <alignment horizontal="right" vertical="center"/>
    </xf>
    <xf numFmtId="0" fontId="18" fillId="34" borderId="47" xfId="0" applyFont="1" applyFill="1" applyBorder="1" applyAlignment="1">
      <alignment horizontal="right" vertical="center"/>
    </xf>
    <xf numFmtId="0" fontId="27" fillId="35" borderId="31" xfId="0" applyFont="1" applyFill="1" applyBorder="1" applyAlignment="1">
      <alignment horizontal="center" vertical="center"/>
    </xf>
    <xf numFmtId="0" fontId="27" fillId="35" borderId="53" xfId="0" applyFont="1" applyFill="1" applyBorder="1" applyAlignment="1">
      <alignment horizontal="center" vertical="center"/>
    </xf>
    <xf numFmtId="0" fontId="27" fillId="35" borderId="54" xfId="0" applyFont="1" applyFill="1" applyBorder="1" applyAlignment="1">
      <alignment horizontal="center" vertical="center"/>
    </xf>
    <xf numFmtId="0" fontId="27" fillId="35" borderId="44" xfId="0" applyFont="1" applyFill="1" applyBorder="1" applyAlignment="1">
      <alignment horizontal="center" vertical="center"/>
    </xf>
    <xf numFmtId="0" fontId="27" fillId="35" borderId="0" xfId="0" applyFont="1" applyFill="1" applyBorder="1" applyAlignment="1">
      <alignment horizontal="center" vertical="center"/>
    </xf>
    <xf numFmtId="0" fontId="27" fillId="35" borderId="38" xfId="0" applyFont="1" applyFill="1" applyBorder="1" applyAlignment="1">
      <alignment horizontal="center" vertical="center"/>
    </xf>
    <xf numFmtId="0" fontId="27" fillId="0" borderId="0" xfId="0" applyFont="1" applyAlignment="1">
      <alignment horizontal="center" vertical="center"/>
    </xf>
    <xf numFmtId="167" fontId="9" fillId="43" borderId="50" xfId="60" applyNumberFormat="1" applyFont="1" applyFill="1" applyBorder="1" applyAlignment="1">
      <alignment horizontal="right" vertical="center" wrapText="1"/>
      <protection/>
    </xf>
    <xf numFmtId="167" fontId="9" fillId="43" borderId="51" xfId="60" applyNumberFormat="1" applyFont="1" applyFill="1" applyBorder="1" applyAlignment="1">
      <alignment horizontal="right" vertical="center" wrapText="1"/>
      <protection/>
    </xf>
    <xf numFmtId="167" fontId="9" fillId="43" borderId="95" xfId="60" applyNumberFormat="1" applyFont="1" applyFill="1" applyBorder="1" applyAlignment="1">
      <alignment horizontal="right" vertical="center" wrapText="1"/>
      <protection/>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29" fillId="5" borderId="96" xfId="0" applyFont="1" applyFill="1" applyBorder="1" applyAlignment="1">
      <alignment horizontal="center" vertical="center" wrapText="1"/>
    </xf>
    <xf numFmtId="0" fontId="29" fillId="5" borderId="72"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96"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97"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4" xfId="0" applyFont="1" applyFill="1" applyBorder="1" applyAlignment="1">
      <alignment horizontal="center" vertical="center"/>
    </xf>
    <xf numFmtId="0" fontId="29" fillId="5" borderId="70"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0" borderId="98" xfId="0" applyFont="1" applyFill="1" applyBorder="1" applyAlignment="1">
      <alignment horizontal="center" vertical="center"/>
    </xf>
    <xf numFmtId="0" fontId="29" fillId="0" borderId="29" xfId="0" applyFont="1" applyFill="1" applyBorder="1" applyAlignment="1">
      <alignment horizontal="center" vertical="center"/>
    </xf>
    <xf numFmtId="0" fontId="31" fillId="5" borderId="99" xfId="0" applyFont="1" applyFill="1" applyBorder="1" applyAlignment="1">
      <alignment horizontal="center" vertical="center"/>
    </xf>
    <xf numFmtId="0" fontId="31" fillId="5" borderId="33"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7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42" xfId="0" applyFont="1" applyFill="1" applyBorder="1" applyAlignment="1">
      <alignment horizontal="center" vertical="center"/>
    </xf>
    <xf numFmtId="0" fontId="30" fillId="0" borderId="48" xfId="0" applyFont="1" applyBorder="1" applyAlignment="1">
      <alignment horizontal="center"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29" fillId="5" borderId="100" xfId="0" applyFont="1" applyFill="1" applyBorder="1" applyAlignment="1">
      <alignment horizontal="center" vertical="center" wrapText="1"/>
    </xf>
    <xf numFmtId="0" fontId="29" fillId="5" borderId="48" xfId="0" applyFont="1" applyFill="1" applyBorder="1" applyAlignment="1">
      <alignment horizontal="center" vertical="center" wrapText="1"/>
    </xf>
    <xf numFmtId="2" fontId="30" fillId="0" borderId="48" xfId="0" applyNumberFormat="1" applyFont="1" applyBorder="1" applyAlignment="1">
      <alignment horizontal="center" vertical="center" wrapText="1"/>
    </xf>
    <xf numFmtId="2" fontId="30" fillId="0" borderId="46" xfId="0" applyNumberFormat="1" applyFont="1" applyBorder="1" applyAlignment="1">
      <alignment horizontal="center" vertical="center" wrapText="1"/>
    </xf>
    <xf numFmtId="2" fontId="30" fillId="0" borderId="47" xfId="0" applyNumberFormat="1" applyFont="1" applyBorder="1" applyAlignment="1">
      <alignment horizontal="center" vertical="center" wrapText="1"/>
    </xf>
    <xf numFmtId="0" fontId="29" fillId="0" borderId="39" xfId="0" applyFont="1" applyBorder="1" applyAlignment="1">
      <alignment horizontal="center" vertical="center"/>
    </xf>
    <xf numFmtId="2" fontId="29" fillId="0" borderId="39" xfId="0" applyNumberFormat="1" applyFont="1" applyBorder="1" applyAlignment="1">
      <alignment horizontal="center" vertical="center" wrapText="1"/>
    </xf>
    <xf numFmtId="0" fontId="30" fillId="0" borderId="39" xfId="0" applyFont="1" applyBorder="1" applyAlignment="1">
      <alignment horizontal="center" vertical="center" wrapText="1"/>
    </xf>
    <xf numFmtId="0" fontId="29" fillId="11" borderId="39" xfId="0" applyFont="1" applyFill="1" applyBorder="1" applyAlignment="1">
      <alignment horizontal="center" vertical="center"/>
    </xf>
    <xf numFmtId="0" fontId="29" fillId="0" borderId="44" xfId="0" applyFont="1" applyBorder="1" applyAlignment="1">
      <alignment horizontal="center" vertical="center"/>
    </xf>
    <xf numFmtId="0" fontId="29" fillId="0" borderId="0" xfId="0" applyFont="1" applyBorder="1" applyAlignment="1">
      <alignment horizontal="center" vertical="center"/>
    </xf>
    <xf numFmtId="0" fontId="29" fillId="0" borderId="38" xfId="0" applyFont="1" applyBorder="1" applyAlignment="1">
      <alignment horizontal="center" vertical="center"/>
    </xf>
    <xf numFmtId="0" fontId="29" fillId="35" borderId="44"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38" xfId="0" applyFont="1" applyFill="1" applyBorder="1" applyAlignment="1">
      <alignment horizontal="center" vertical="center"/>
    </xf>
    <xf numFmtId="0" fontId="30" fillId="35" borderId="44" xfId="0" applyFont="1" applyFill="1" applyBorder="1" applyAlignment="1">
      <alignment horizontal="center" vertical="center"/>
    </xf>
    <xf numFmtId="0" fontId="30" fillId="35" borderId="0" xfId="0" applyFont="1" applyFill="1" applyBorder="1" applyAlignment="1">
      <alignment horizontal="center" vertical="center"/>
    </xf>
    <xf numFmtId="0" fontId="30" fillId="35" borderId="38" xfId="0" applyFont="1" applyFill="1" applyBorder="1" applyAlignment="1">
      <alignment horizontal="center" vertical="center"/>
    </xf>
    <xf numFmtId="167" fontId="29" fillId="43" borderId="88" xfId="60" applyNumberFormat="1" applyFont="1" applyFill="1" applyBorder="1" applyAlignment="1">
      <alignment horizontal="center" vertical="center" wrapText="1"/>
      <protection/>
    </xf>
    <xf numFmtId="167" fontId="29" fillId="43" borderId="89" xfId="60" applyNumberFormat="1" applyFont="1" applyFill="1" applyBorder="1" applyAlignment="1">
      <alignment horizontal="center" vertical="center" wrapText="1"/>
      <protection/>
    </xf>
    <xf numFmtId="167" fontId="29" fillId="43" borderId="90" xfId="60" applyNumberFormat="1" applyFont="1" applyFill="1" applyBorder="1" applyAlignment="1">
      <alignment horizontal="center" vertical="center" wrapText="1"/>
      <protection/>
    </xf>
    <xf numFmtId="0" fontId="30" fillId="0" borderId="10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8" xfId="0" applyFont="1" applyBorder="1" applyAlignment="1">
      <alignment horizontal="center" vertical="center" wrapText="1"/>
    </xf>
    <xf numFmtId="0" fontId="29" fillId="11" borderId="48" xfId="0" applyFont="1" applyFill="1" applyBorder="1" applyAlignment="1">
      <alignment horizontal="center" vertical="center"/>
    </xf>
    <xf numFmtId="0" fontId="29" fillId="11" borderId="46" xfId="0" applyFont="1" applyFill="1" applyBorder="1" applyAlignment="1">
      <alignment horizontal="center" vertical="center"/>
    </xf>
    <xf numFmtId="0" fontId="29" fillId="11" borderId="47" xfId="0" applyFont="1" applyFill="1" applyBorder="1" applyAlignment="1">
      <alignment horizontal="center" vertical="center"/>
    </xf>
    <xf numFmtId="0" fontId="29" fillId="35" borderId="53" xfId="53" applyFont="1" applyFill="1" applyBorder="1" applyAlignment="1">
      <alignment horizontal="center" vertical="center"/>
      <protection/>
    </xf>
    <xf numFmtId="0" fontId="29" fillId="35" borderId="54" xfId="53" applyFont="1" applyFill="1" applyBorder="1" applyAlignment="1">
      <alignment horizontal="center" vertical="center"/>
      <protection/>
    </xf>
    <xf numFmtId="0" fontId="32" fillId="35" borderId="44" xfId="0" applyFont="1" applyFill="1" applyBorder="1" applyAlignment="1">
      <alignment horizontal="center" vertical="center" wrapText="1"/>
    </xf>
    <xf numFmtId="0" fontId="32" fillId="35" borderId="0"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33" fillId="35" borderId="44" xfId="0" applyFont="1" applyFill="1" applyBorder="1" applyAlignment="1">
      <alignment horizontal="center" vertical="center" wrapText="1"/>
    </xf>
    <xf numFmtId="0" fontId="33" fillId="35" borderId="0" xfId="0" applyFont="1" applyFill="1" applyBorder="1" applyAlignment="1">
      <alignment horizontal="center" vertical="center" wrapText="1"/>
    </xf>
    <xf numFmtId="0" fontId="33" fillId="35" borderId="38"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0"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29" fillId="0" borderId="4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8" xfId="0" applyFont="1" applyFill="1" applyBorder="1" applyAlignment="1">
      <alignment horizontal="center" vertical="center"/>
    </xf>
    <xf numFmtId="0" fontId="35" fillId="0" borderId="10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29" fillId="35" borderId="65" xfId="53" applyFont="1" applyFill="1" applyBorder="1" applyAlignment="1">
      <alignment horizontal="center" vertical="center"/>
      <protection/>
    </xf>
    <xf numFmtId="0" fontId="29" fillId="35" borderId="66" xfId="53" applyFont="1" applyFill="1" applyBorder="1" applyAlignment="1">
      <alignment horizontal="center" vertical="center"/>
      <protection/>
    </xf>
    <xf numFmtId="167" fontId="36" fillId="43" borderId="88" xfId="60" applyNumberFormat="1" applyFont="1" applyFill="1" applyBorder="1" applyAlignment="1">
      <alignment horizontal="center" vertical="center" wrapText="1"/>
      <protection/>
    </xf>
    <xf numFmtId="167" fontId="36" fillId="43" borderId="89" xfId="60" applyNumberFormat="1" applyFont="1" applyFill="1" applyBorder="1" applyAlignment="1">
      <alignment horizontal="center" vertical="center" wrapText="1"/>
      <protection/>
    </xf>
    <xf numFmtId="167" fontId="36" fillId="43" borderId="90" xfId="60" applyNumberFormat="1" applyFont="1" applyFill="1" applyBorder="1" applyAlignment="1">
      <alignment horizontal="center" vertical="center" wrapText="1"/>
      <protection/>
    </xf>
    <xf numFmtId="0" fontId="29" fillId="0" borderId="50"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76" xfId="0" applyFont="1" applyFill="1" applyBorder="1" applyAlignment="1">
      <alignment horizontal="center" vertical="center"/>
    </xf>
    <xf numFmtId="14" fontId="36" fillId="2" borderId="98" xfId="53" applyNumberFormat="1" applyFont="1" applyFill="1" applyBorder="1" applyAlignment="1">
      <alignment horizontal="center" vertical="center"/>
      <protection/>
    </xf>
    <xf numFmtId="14" fontId="36" fillId="2" borderId="29" xfId="53" applyNumberFormat="1" applyFont="1" applyFill="1" applyBorder="1" applyAlignment="1">
      <alignment horizontal="center" vertical="center"/>
      <protection/>
    </xf>
    <xf numFmtId="0" fontId="34" fillId="0" borderId="31" xfId="53" applyFont="1" applyFill="1" applyBorder="1" applyAlignment="1">
      <alignment horizontal="center" vertical="center" wrapText="1"/>
      <protection/>
    </xf>
    <xf numFmtId="0" fontId="34" fillId="0" borderId="53" xfId="53" applyFont="1" applyFill="1" applyBorder="1" applyAlignment="1">
      <alignment horizontal="center" vertical="center" wrapText="1"/>
      <protection/>
    </xf>
    <xf numFmtId="0" fontId="34" fillId="0" borderId="44" xfId="53" applyFont="1" applyFill="1" applyBorder="1" applyAlignment="1">
      <alignment horizontal="center" vertical="center" wrapText="1"/>
      <protection/>
    </xf>
    <xf numFmtId="0" fontId="34" fillId="0" borderId="0" xfId="53" applyFont="1" applyFill="1" applyBorder="1" applyAlignment="1">
      <alignment horizontal="center" vertical="center" wrapText="1"/>
      <protection/>
    </xf>
    <xf numFmtId="0" fontId="34" fillId="0" borderId="96" xfId="53" applyFont="1" applyFill="1" applyBorder="1" applyAlignment="1">
      <alignment horizontal="center" vertical="center"/>
      <protection/>
    </xf>
    <xf numFmtId="0" fontId="34" fillId="0" borderId="72" xfId="53" applyFont="1" applyFill="1" applyBorder="1" applyAlignment="1">
      <alignment horizontal="center" vertical="center"/>
      <protection/>
    </xf>
    <xf numFmtId="0" fontId="34" fillId="0" borderId="24" xfId="53" applyFont="1" applyFill="1" applyBorder="1" applyAlignment="1">
      <alignment horizontal="center" vertical="center"/>
      <protection/>
    </xf>
    <xf numFmtId="0" fontId="34" fillId="0" borderId="102" xfId="53" applyFont="1" applyFill="1" applyBorder="1" applyAlignment="1">
      <alignment horizontal="center" vertical="center" wrapText="1"/>
      <protection/>
    </xf>
    <xf numFmtId="0" fontId="34" fillId="0" borderId="61" xfId="53" applyFont="1" applyFill="1" applyBorder="1" applyAlignment="1">
      <alignment horizontal="center" vertical="center" wrapText="1"/>
      <protection/>
    </xf>
    <xf numFmtId="0" fontId="34" fillId="0" borderId="63" xfId="53" applyFont="1" applyFill="1" applyBorder="1" applyAlignment="1">
      <alignment horizontal="center" vertical="center" wrapText="1"/>
      <protection/>
    </xf>
    <xf numFmtId="0" fontId="34" fillId="5" borderId="102" xfId="53" applyFont="1" applyFill="1" applyBorder="1" applyAlignment="1">
      <alignment horizontal="center" vertical="center"/>
      <protection/>
    </xf>
    <xf numFmtId="0" fontId="34" fillId="5" borderId="53" xfId="53" applyFont="1" applyFill="1" applyBorder="1" applyAlignment="1">
      <alignment horizontal="center" vertical="center"/>
      <protection/>
    </xf>
    <xf numFmtId="0" fontId="34" fillId="5" borderId="84" xfId="53" applyFont="1" applyFill="1" applyBorder="1" applyAlignment="1">
      <alignment horizontal="center" vertical="center"/>
      <protection/>
    </xf>
    <xf numFmtId="0" fontId="34" fillId="5" borderId="63" xfId="53" applyFont="1" applyFill="1" applyBorder="1" applyAlignment="1">
      <alignment horizontal="center" vertical="center"/>
      <protection/>
    </xf>
    <xf numFmtId="0" fontId="34" fillId="5" borderId="85" xfId="53" applyFont="1" applyFill="1" applyBorder="1" applyAlignment="1">
      <alignment horizontal="center" vertical="center"/>
      <protection/>
    </xf>
    <xf numFmtId="0" fontId="34" fillId="5" borderId="77" xfId="53" applyFont="1" applyFill="1" applyBorder="1" applyAlignment="1">
      <alignment horizontal="center" vertical="center"/>
      <protection/>
    </xf>
    <xf numFmtId="0" fontId="34" fillId="5" borderId="70" xfId="53" applyFont="1" applyFill="1" applyBorder="1" applyAlignment="1">
      <alignment horizontal="center" vertical="center"/>
      <protection/>
    </xf>
    <xf numFmtId="0" fontId="34" fillId="5" borderId="100" xfId="53" applyFont="1" applyFill="1" applyBorder="1" applyAlignment="1">
      <alignment horizontal="center" vertical="center"/>
      <protection/>
    </xf>
    <xf numFmtId="0" fontId="34" fillId="5" borderId="97" xfId="53" applyFont="1" applyFill="1" applyBorder="1" applyAlignment="1">
      <alignment horizontal="center" vertical="center"/>
      <protection/>
    </xf>
    <xf numFmtId="0" fontId="34" fillId="5" borderId="48" xfId="53" applyFont="1" applyFill="1" applyBorder="1" applyAlignment="1">
      <alignment horizontal="center" vertical="center"/>
      <protection/>
    </xf>
    <xf numFmtId="0" fontId="34" fillId="5" borderId="46" xfId="53" applyFont="1" applyFill="1" applyBorder="1" applyAlignment="1">
      <alignment horizontal="center" vertical="center"/>
      <protection/>
    </xf>
    <xf numFmtId="0" fontId="34" fillId="5" borderId="47" xfId="53" applyFont="1" applyFill="1" applyBorder="1" applyAlignment="1">
      <alignment horizontal="center" vertical="center"/>
      <protection/>
    </xf>
    <xf numFmtId="0" fontId="34" fillId="5" borderId="39" xfId="53" applyFont="1" applyFill="1" applyBorder="1" applyAlignment="1">
      <alignment horizontal="center" vertical="center"/>
      <protection/>
    </xf>
    <xf numFmtId="0" fontId="34" fillId="5" borderId="40" xfId="53" applyFont="1" applyFill="1" applyBorder="1" applyAlignment="1">
      <alignment horizontal="center" vertical="center"/>
      <protection/>
    </xf>
    <xf numFmtId="0" fontId="29" fillId="0" borderId="34" xfId="53" applyFont="1" applyFill="1" applyBorder="1" applyAlignment="1">
      <alignment horizontal="center" vertical="center"/>
      <protection/>
    </xf>
    <xf numFmtId="0" fontId="29" fillId="0" borderId="35" xfId="53" applyFont="1" applyFill="1" applyBorder="1" applyAlignment="1">
      <alignment horizontal="center" vertical="center"/>
      <protection/>
    </xf>
    <xf numFmtId="0" fontId="29" fillId="0" borderId="55" xfId="53" applyFont="1" applyFill="1" applyBorder="1" applyAlignment="1">
      <alignment horizontal="center" vertical="center"/>
      <protection/>
    </xf>
    <xf numFmtId="0" fontId="29" fillId="0" borderId="36" xfId="53" applyFont="1" applyFill="1" applyBorder="1" applyAlignment="1">
      <alignment horizontal="center" vertical="center"/>
      <protection/>
    </xf>
    <xf numFmtId="0" fontId="36" fillId="0" borderId="85" xfId="0" applyFont="1" applyFill="1" applyBorder="1" applyAlignment="1">
      <alignment horizontal="center" vertical="center"/>
    </xf>
    <xf numFmtId="14" fontId="38" fillId="2" borderId="98" xfId="53" applyNumberFormat="1" applyFont="1" applyFill="1" applyBorder="1" applyAlignment="1">
      <alignment horizontal="center" vertical="center"/>
      <protection/>
    </xf>
    <xf numFmtId="14" fontId="38" fillId="2" borderId="29" xfId="53" applyNumberFormat="1" applyFont="1" applyFill="1" applyBorder="1" applyAlignment="1">
      <alignment horizontal="center" vertical="center"/>
      <protection/>
    </xf>
    <xf numFmtId="0" fontId="67" fillId="5" borderId="70" xfId="53" applyFont="1" applyFill="1" applyBorder="1" applyAlignment="1">
      <alignment horizontal="center" vertical="center" wrapText="1"/>
      <protection/>
    </xf>
    <xf numFmtId="0" fontId="67" fillId="5" borderId="100" xfId="53" applyFont="1" applyFill="1" applyBorder="1" applyAlignment="1">
      <alignment horizontal="center" vertical="center" wrapText="1"/>
      <protection/>
    </xf>
    <xf numFmtId="0" fontId="67" fillId="0" borderId="72" xfId="53" applyFont="1" applyFill="1" applyBorder="1" applyAlignment="1">
      <alignment horizontal="center" vertical="center" wrapText="1"/>
      <protection/>
    </xf>
    <xf numFmtId="0" fontId="67" fillId="0" borderId="24" xfId="53" applyFont="1" applyFill="1" applyBorder="1" applyAlignment="1">
      <alignment horizontal="center" vertical="center" wrapText="1"/>
      <protection/>
    </xf>
    <xf numFmtId="0" fontId="67" fillId="0" borderId="61" xfId="53" applyFont="1" applyFill="1" applyBorder="1" applyAlignment="1">
      <alignment horizontal="center" vertical="center" wrapText="1"/>
      <protection/>
    </xf>
    <xf numFmtId="0" fontId="67" fillId="0" borderId="63" xfId="53" applyFont="1" applyFill="1" applyBorder="1" applyAlignment="1">
      <alignment horizontal="center" vertical="center" wrapText="1"/>
      <protection/>
    </xf>
    <xf numFmtId="0" fontId="69" fillId="0" borderId="34" xfId="53" applyFont="1" applyFill="1" applyBorder="1" applyAlignment="1">
      <alignment horizontal="center" vertical="center" wrapText="1"/>
      <protection/>
    </xf>
    <xf numFmtId="0" fontId="69" fillId="0" borderId="35" xfId="53" applyFont="1" applyFill="1" applyBorder="1" applyAlignment="1">
      <alignment horizontal="center" vertical="center" wrapText="1"/>
      <protection/>
    </xf>
    <xf numFmtId="0" fontId="69" fillId="0" borderId="55" xfId="53" applyFont="1" applyFill="1" applyBorder="1" applyAlignment="1">
      <alignment horizontal="center" vertical="center" wrapText="1"/>
      <protection/>
    </xf>
    <xf numFmtId="0" fontId="69" fillId="0" borderId="36" xfId="53" applyFont="1" applyFill="1" applyBorder="1" applyAlignment="1">
      <alignment horizontal="center" vertical="center" wrapText="1"/>
      <protection/>
    </xf>
    <xf numFmtId="0" fontId="67" fillId="0" borderId="44" xfId="53" applyFont="1" applyFill="1" applyBorder="1" applyAlignment="1">
      <alignment horizontal="center" vertical="center" wrapText="1"/>
      <protection/>
    </xf>
    <xf numFmtId="0" fontId="67" fillId="0" borderId="0" xfId="53" applyFont="1" applyFill="1" applyBorder="1" applyAlignment="1">
      <alignment horizontal="center" vertical="center" wrapText="1"/>
      <protection/>
    </xf>
    <xf numFmtId="0" fontId="67" fillId="5" borderId="85" xfId="53" applyFont="1" applyFill="1" applyBorder="1" applyAlignment="1">
      <alignment horizontal="center" vertical="center" wrapText="1"/>
      <protection/>
    </xf>
    <xf numFmtId="0" fontId="67" fillId="5" borderId="53" xfId="53" applyFont="1" applyFill="1" applyBorder="1" applyAlignment="1">
      <alignment horizontal="center" vertical="center" wrapText="1"/>
      <protection/>
    </xf>
    <xf numFmtId="167" fontId="67" fillId="5" borderId="102" xfId="72" applyNumberFormat="1" applyFont="1" applyFill="1" applyBorder="1" applyAlignment="1">
      <alignment horizontal="center" vertical="center" wrapText="1"/>
    </xf>
    <xf numFmtId="167" fontId="67" fillId="5" borderId="63" xfId="72" applyNumberFormat="1" applyFont="1" applyFill="1" applyBorder="1" applyAlignment="1">
      <alignment horizontal="center" vertical="center" wrapText="1"/>
    </xf>
    <xf numFmtId="0" fontId="67" fillId="5" borderId="96" xfId="53" applyFont="1" applyFill="1" applyBorder="1" applyAlignment="1">
      <alignment horizontal="center" vertical="center" wrapText="1"/>
      <protection/>
    </xf>
    <xf numFmtId="0" fontId="67" fillId="5" borderId="72" xfId="53" applyFont="1" applyFill="1" applyBorder="1" applyAlignment="1">
      <alignment horizontal="center" vertical="center" wrapText="1"/>
      <protection/>
    </xf>
    <xf numFmtId="0" fontId="67" fillId="5" borderId="24" xfId="53" applyFont="1" applyFill="1" applyBorder="1" applyAlignment="1">
      <alignment horizontal="center" vertical="center" wrapText="1"/>
      <protection/>
    </xf>
    <xf numFmtId="167" fontId="67" fillId="5" borderId="96" xfId="72" applyNumberFormat="1" applyFont="1" applyFill="1" applyBorder="1" applyAlignment="1">
      <alignment horizontal="center" vertical="center" wrapText="1"/>
    </xf>
    <xf numFmtId="167" fontId="67" fillId="5" borderId="72" xfId="72" applyNumberFormat="1" applyFont="1" applyFill="1" applyBorder="1" applyAlignment="1">
      <alignment horizontal="center" vertical="center" wrapText="1"/>
    </xf>
    <xf numFmtId="167" fontId="67" fillId="5" borderId="24" xfId="72" applyNumberFormat="1" applyFont="1" applyFill="1" applyBorder="1" applyAlignment="1">
      <alignment horizontal="center" vertical="center" wrapText="1"/>
    </xf>
    <xf numFmtId="0" fontId="67" fillId="5" borderId="103" xfId="53" applyFont="1" applyFill="1" applyBorder="1" applyAlignment="1">
      <alignment horizontal="center" vertical="center" wrapText="1"/>
      <protection/>
    </xf>
    <xf numFmtId="0" fontId="67" fillId="5" borderId="52" xfId="53" applyFont="1" applyFill="1" applyBorder="1" applyAlignment="1">
      <alignment horizontal="center" vertical="center" wrapText="1"/>
      <protection/>
    </xf>
    <xf numFmtId="0" fontId="67" fillId="5" borderId="64" xfId="53" applyFont="1" applyFill="1" applyBorder="1" applyAlignment="1">
      <alignment horizontal="center" vertical="center" wrapText="1"/>
      <protection/>
    </xf>
    <xf numFmtId="0" fontId="19" fillId="35" borderId="31" xfId="54" applyFont="1" applyFill="1" applyBorder="1" applyAlignment="1">
      <alignment horizontal="center" vertical="center"/>
      <protection/>
    </xf>
    <xf numFmtId="0" fontId="19" fillId="35" borderId="53" xfId="54" applyFont="1" applyFill="1" applyBorder="1" applyAlignment="1">
      <alignment horizontal="center" vertical="center"/>
      <protection/>
    </xf>
    <xf numFmtId="0" fontId="19" fillId="35" borderId="54" xfId="54" applyFont="1" applyFill="1" applyBorder="1" applyAlignment="1">
      <alignment horizontal="center" vertical="center"/>
      <protection/>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9" fillId="35" borderId="104" xfId="54" applyFont="1" applyFill="1" applyBorder="1" applyAlignment="1">
      <alignment horizontal="center" vertical="center"/>
      <protection/>
    </xf>
    <xf numFmtId="0" fontId="19" fillId="35" borderId="105" xfId="54" applyFont="1" applyFill="1" applyBorder="1" applyAlignment="1">
      <alignment horizontal="center" vertical="center"/>
      <protection/>
    </xf>
    <xf numFmtId="0" fontId="19" fillId="35" borderId="106" xfId="54" applyFont="1" applyFill="1" applyBorder="1" applyAlignment="1">
      <alignment horizontal="center" vertical="center"/>
      <protection/>
    </xf>
    <xf numFmtId="1" fontId="19" fillId="43" borderId="107" xfId="0" applyNumberFormat="1" applyFont="1" applyFill="1" applyBorder="1" applyAlignment="1">
      <alignment horizontal="center" vertical="center"/>
    </xf>
    <xf numFmtId="1" fontId="19" fillId="43" borderId="32" xfId="0" applyNumberFormat="1" applyFont="1" applyFill="1" applyBorder="1" applyAlignment="1">
      <alignment horizontal="center" vertical="center"/>
    </xf>
    <xf numFmtId="0" fontId="19" fillId="43" borderId="58" xfId="0" applyFont="1" applyFill="1" applyBorder="1" applyAlignment="1">
      <alignment horizontal="left" vertical="center"/>
    </xf>
    <xf numFmtId="0" fontId="19" fillId="43" borderId="108" xfId="0" applyFont="1" applyFill="1" applyBorder="1" applyAlignment="1">
      <alignment horizontal="left" vertical="center"/>
    </xf>
    <xf numFmtId="0" fontId="19" fillId="43" borderId="59" xfId="0" applyFont="1" applyFill="1" applyBorder="1" applyAlignment="1">
      <alignment horizontal="left" vertical="center"/>
    </xf>
    <xf numFmtId="0" fontId="19" fillId="43" borderId="65" xfId="0" applyFont="1" applyFill="1" applyBorder="1" applyAlignment="1">
      <alignment horizontal="left" vertical="center"/>
    </xf>
    <xf numFmtId="1" fontId="19" fillId="0" borderId="44"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19" fillId="0" borderId="38" xfId="0" applyNumberFormat="1" applyFont="1" applyFill="1" applyBorder="1" applyAlignment="1">
      <alignment horizontal="center" vertical="center" wrapText="1"/>
    </xf>
    <xf numFmtId="1" fontId="10" fillId="0" borderId="101"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38" xfId="0" applyNumberFormat="1" applyFont="1" applyFill="1" applyBorder="1" applyAlignment="1">
      <alignment horizontal="center" vertical="center" wrapText="1"/>
    </xf>
    <xf numFmtId="167" fontId="10" fillId="0" borderId="39" xfId="60" applyNumberFormat="1" applyFont="1" applyBorder="1" applyAlignment="1">
      <alignment horizontal="left" vertical="center"/>
      <protection/>
    </xf>
    <xf numFmtId="0" fontId="101" fillId="0" borderId="39" xfId="0" applyFont="1" applyBorder="1" applyAlignment="1">
      <alignment horizontal="left" vertical="center"/>
    </xf>
    <xf numFmtId="0" fontId="104" fillId="0" borderId="48" xfId="0" applyFont="1" applyBorder="1" applyAlignment="1">
      <alignment horizontal="left" vertical="center"/>
    </xf>
    <xf numFmtId="0" fontId="104" fillId="0" borderId="47" xfId="0" applyFont="1" applyBorder="1" applyAlignment="1">
      <alignment horizontal="left" vertical="center"/>
    </xf>
    <xf numFmtId="0" fontId="105" fillId="2" borderId="39" xfId="0" applyFont="1" applyFill="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167" fontId="19" fillId="0" borderId="39" xfId="60" applyNumberFormat="1" applyFont="1" applyBorder="1" applyAlignment="1">
      <alignment horizontal="left" vertical="center"/>
      <protection/>
    </xf>
    <xf numFmtId="167" fontId="19" fillId="8" borderId="42" xfId="60" applyNumberFormat="1" applyFont="1" applyFill="1" applyBorder="1" applyAlignment="1">
      <alignment horizontal="left" vertical="center"/>
      <protection/>
    </xf>
    <xf numFmtId="167" fontId="19" fillId="0" borderId="33" xfId="60" applyNumberFormat="1" applyFont="1" applyFill="1" applyBorder="1" applyAlignment="1">
      <alignment horizontal="right" vertical="center"/>
      <protection/>
    </xf>
    <xf numFmtId="167" fontId="19" fillId="0" borderId="39" xfId="60" applyNumberFormat="1" applyFont="1" applyFill="1" applyBorder="1" applyAlignment="1">
      <alignment horizontal="right" vertical="center"/>
      <protection/>
    </xf>
    <xf numFmtId="0" fontId="19" fillId="0" borderId="33" xfId="54" applyFont="1" applyFill="1" applyBorder="1" applyAlignment="1">
      <alignment horizontal="center" vertical="center"/>
      <protection/>
    </xf>
    <xf numFmtId="0" fontId="19" fillId="0" borderId="39" xfId="54" applyFont="1" applyFill="1" applyBorder="1" applyAlignment="1">
      <alignment horizontal="center" vertical="center"/>
      <protection/>
    </xf>
    <xf numFmtId="0" fontId="19" fillId="0" borderId="40" xfId="54" applyFont="1" applyFill="1" applyBorder="1" applyAlignment="1">
      <alignment horizontal="center" vertical="center"/>
      <protection/>
    </xf>
    <xf numFmtId="167" fontId="19" fillId="0" borderId="69" xfId="60" applyNumberFormat="1" applyFont="1" applyBorder="1" applyAlignment="1">
      <alignment horizontal="center" vertical="center"/>
      <protection/>
    </xf>
    <xf numFmtId="167" fontId="19" fillId="0" borderId="85" xfId="60" applyNumberFormat="1" applyFont="1" applyBorder="1" applyAlignment="1">
      <alignment horizontal="center" vertical="center"/>
      <protection/>
    </xf>
    <xf numFmtId="167" fontId="19" fillId="0" borderId="109" xfId="60" applyNumberFormat="1" applyFont="1" applyBorder="1" applyAlignment="1">
      <alignment horizontal="center" vertical="center"/>
      <protection/>
    </xf>
    <xf numFmtId="1" fontId="19" fillId="0" borderId="110" xfId="0" applyNumberFormat="1" applyFont="1" applyFill="1" applyBorder="1" applyAlignment="1">
      <alignment horizontal="center" vertical="center" wrapText="1"/>
    </xf>
    <xf numFmtId="1" fontId="19" fillId="0" borderId="111" xfId="0" applyNumberFormat="1" applyFont="1" applyFill="1" applyBorder="1" applyAlignment="1">
      <alignment horizontal="center" vertical="center" wrapText="1"/>
    </xf>
    <xf numFmtId="1" fontId="19" fillId="0" borderId="112" xfId="0" applyNumberFormat="1" applyFont="1" applyFill="1" applyBorder="1" applyAlignment="1">
      <alignment horizontal="center" vertical="center" wrapText="1"/>
    </xf>
    <xf numFmtId="0" fontId="19" fillId="0" borderId="69" xfId="54" applyFont="1" applyFill="1" applyBorder="1" applyAlignment="1">
      <alignment horizontal="center" vertical="center"/>
      <protection/>
    </xf>
    <xf numFmtId="0" fontId="19" fillId="0" borderId="85" xfId="54" applyFont="1" applyFill="1" applyBorder="1" applyAlignment="1">
      <alignment horizontal="center" vertical="center"/>
      <protection/>
    </xf>
    <xf numFmtId="0" fontId="19" fillId="0" borderId="109" xfId="54" applyFont="1" applyFill="1" applyBorder="1" applyAlignment="1">
      <alignment horizontal="center" vertical="center"/>
      <protection/>
    </xf>
    <xf numFmtId="191" fontId="19" fillId="0" borderId="40" xfId="76" applyFont="1" applyFill="1" applyBorder="1" applyAlignment="1" applyProtection="1">
      <alignment horizontal="center" vertical="center"/>
      <protection/>
    </xf>
    <xf numFmtId="0" fontId="19" fillId="0" borderId="99" xfId="0" applyFont="1" applyBorder="1" applyAlignment="1">
      <alignment horizontal="center" vertical="center"/>
    </xf>
    <xf numFmtId="0" fontId="19" fillId="0" borderId="33" xfId="0" applyFont="1" applyBorder="1" applyAlignment="1">
      <alignment horizontal="center" vertical="center"/>
    </xf>
    <xf numFmtId="0" fontId="19" fillId="0" borderId="70" xfId="0" applyFont="1" applyBorder="1" applyAlignment="1">
      <alignment horizontal="center" vertical="center"/>
    </xf>
    <xf numFmtId="0" fontId="19" fillId="0" borderId="39" xfId="0" applyFont="1" applyBorder="1" applyAlignment="1">
      <alignment horizontal="center" vertical="center"/>
    </xf>
    <xf numFmtId="0" fontId="19" fillId="0" borderId="39" xfId="0" applyFont="1" applyBorder="1" applyAlignment="1">
      <alignment horizontal="justify" vertical="center" wrapText="1"/>
    </xf>
    <xf numFmtId="10" fontId="19" fillId="0" borderId="39" xfId="67" applyNumberFormat="1" applyFont="1" applyFill="1" applyBorder="1" applyAlignment="1" applyProtection="1">
      <alignment horizontal="center" vertical="center"/>
      <protection/>
    </xf>
    <xf numFmtId="49" fontId="19" fillId="35" borderId="32" xfId="0" applyNumberFormat="1" applyFont="1" applyFill="1" applyBorder="1" applyAlignment="1">
      <alignment horizontal="center" vertical="center"/>
    </xf>
    <xf numFmtId="49" fontId="19" fillId="35" borderId="65" xfId="0" applyNumberFormat="1" applyFont="1" applyFill="1" applyBorder="1" applyAlignment="1">
      <alignment horizontal="center" vertical="center"/>
    </xf>
    <xf numFmtId="49" fontId="12" fillId="35" borderId="44" xfId="0" applyNumberFormat="1" applyFont="1" applyFill="1" applyBorder="1" applyAlignment="1">
      <alignment horizontal="center" vertical="center"/>
    </xf>
    <xf numFmtId="49" fontId="12" fillId="35" borderId="0" xfId="0" applyNumberFormat="1" applyFont="1" applyFill="1" applyBorder="1" applyAlignment="1">
      <alignment horizontal="center" vertical="center"/>
    </xf>
    <xf numFmtId="49" fontId="12" fillId="35" borderId="38" xfId="0" applyNumberFormat="1" applyFont="1" applyFill="1" applyBorder="1" applyAlignment="1">
      <alignment horizontal="center" vertical="center"/>
    </xf>
    <xf numFmtId="0" fontId="19" fillId="2" borderId="23" xfId="0" applyFont="1" applyFill="1" applyBorder="1" applyAlignment="1">
      <alignment horizontal="center" vertical="center"/>
    </xf>
    <xf numFmtId="0" fontId="19" fillId="2" borderId="64" xfId="0" applyFont="1" applyFill="1" applyBorder="1" applyAlignment="1">
      <alignment horizontal="center" vertical="center"/>
    </xf>
    <xf numFmtId="0" fontId="19" fillId="0" borderId="97" xfId="0" applyFont="1" applyBorder="1" applyAlignment="1">
      <alignment horizontal="center" vertical="justify"/>
    </xf>
    <xf numFmtId="0" fontId="19" fillId="0" borderId="40" xfId="0" applyFont="1" applyBorder="1" applyAlignment="1">
      <alignment horizontal="center" vertical="justify"/>
    </xf>
    <xf numFmtId="0" fontId="19" fillId="2" borderId="77" xfId="0" applyFont="1" applyFill="1" applyBorder="1" applyAlignment="1">
      <alignment horizontal="center" vertical="center"/>
    </xf>
    <xf numFmtId="0" fontId="102" fillId="0" borderId="0" xfId="0" applyFont="1" applyAlignment="1">
      <alignment horizontal="center"/>
    </xf>
    <xf numFmtId="0" fontId="19" fillId="0" borderId="41" xfId="0" applyFont="1" applyBorder="1" applyAlignment="1">
      <alignment horizontal="center" vertical="center"/>
    </xf>
    <xf numFmtId="10" fontId="19" fillId="0" borderId="42" xfId="67" applyNumberFormat="1" applyFont="1" applyFill="1" applyBorder="1" applyAlignment="1" applyProtection="1">
      <alignment horizontal="center" vertical="center"/>
      <protection/>
    </xf>
    <xf numFmtId="191" fontId="19" fillId="0" borderId="43" xfId="76" applyFont="1" applyFill="1" applyBorder="1" applyAlignment="1" applyProtection="1">
      <alignment horizontal="center" vertical="center"/>
      <protection/>
    </xf>
    <xf numFmtId="0" fontId="96" fillId="35" borderId="44" xfId="0" applyFont="1" applyFill="1" applyBorder="1" applyAlignment="1">
      <alignment horizontal="center"/>
    </xf>
    <xf numFmtId="0" fontId="96" fillId="35" borderId="0" xfId="0" applyFont="1" applyFill="1" applyBorder="1" applyAlignment="1">
      <alignment horizontal="center"/>
    </xf>
    <xf numFmtId="167" fontId="26" fillId="43" borderId="32" xfId="60" applyNumberFormat="1" applyFont="1" applyFill="1" applyBorder="1" applyAlignment="1">
      <alignment horizontal="center" vertical="center" wrapText="1"/>
      <protection/>
    </xf>
    <xf numFmtId="167" fontId="26" fillId="43" borderId="65" xfId="60" applyNumberFormat="1" applyFont="1" applyFill="1" applyBorder="1" applyAlignment="1">
      <alignment horizontal="center" vertical="center" wrapText="1"/>
      <protection/>
    </xf>
    <xf numFmtId="0" fontId="24" fillId="0" borderId="44" xfId="0" applyFont="1" applyBorder="1" applyAlignment="1">
      <alignment horizontal="center" vertical="center" wrapText="1"/>
    </xf>
    <xf numFmtId="0" fontId="24" fillId="0" borderId="0" xfId="0" applyFont="1" applyBorder="1" applyAlignment="1">
      <alignment horizontal="center" vertical="center" wrapText="1"/>
    </xf>
    <xf numFmtId="0" fontId="19" fillId="2" borderId="98"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113" xfId="0" applyFont="1" applyFill="1" applyBorder="1" applyAlignment="1">
      <alignment horizontal="center" vertical="center"/>
    </xf>
    <xf numFmtId="0" fontId="26" fillId="35" borderId="44" xfId="0" applyFont="1" applyFill="1" applyBorder="1" applyAlignment="1">
      <alignment horizontal="center" vertical="center"/>
    </xf>
    <xf numFmtId="0" fontId="26" fillId="35" borderId="0" xfId="0" applyFont="1" applyFill="1" applyBorder="1" applyAlignment="1">
      <alignment horizontal="center" vertical="center"/>
    </xf>
    <xf numFmtId="0" fontId="12" fillId="35" borderId="44" xfId="0" applyFont="1" applyFill="1" applyBorder="1" applyAlignment="1">
      <alignment horizontal="center" vertical="center"/>
    </xf>
    <xf numFmtId="0" fontId="12" fillId="35" borderId="0" xfId="0" applyFont="1" applyFill="1" applyBorder="1" applyAlignment="1">
      <alignment horizontal="center" vertical="center"/>
    </xf>
    <xf numFmtId="0" fontId="12" fillId="0" borderId="101" xfId="0" applyFont="1" applyBorder="1" applyAlignment="1">
      <alignment horizontal="center" vertical="center" wrapText="1"/>
    </xf>
    <xf numFmtId="0" fontId="12" fillId="0" borderId="0" xfId="0" applyFont="1" applyBorder="1" applyAlignment="1">
      <alignment horizontal="center" vertical="center" wrapText="1"/>
    </xf>
    <xf numFmtId="167" fontId="10" fillId="0" borderId="48" xfId="60" applyNumberFormat="1" applyFont="1" applyFill="1" applyBorder="1" applyAlignment="1">
      <alignment horizontal="center" vertical="center"/>
      <protection/>
    </xf>
    <xf numFmtId="167" fontId="10" fillId="0" borderId="47" xfId="60" applyNumberFormat="1" applyFont="1" applyFill="1" applyBorder="1" applyAlignment="1">
      <alignment horizontal="center" vertical="center"/>
      <protection/>
    </xf>
    <xf numFmtId="167" fontId="10" fillId="8" borderId="68" xfId="60" applyNumberFormat="1" applyFont="1" applyFill="1" applyBorder="1" applyAlignment="1" quotePrefix="1">
      <alignment horizontal="center" vertical="center"/>
      <protection/>
    </xf>
    <xf numFmtId="167" fontId="10" fillId="8" borderId="73" xfId="60" applyNumberFormat="1" applyFont="1" applyFill="1" applyBorder="1" applyAlignment="1" quotePrefix="1">
      <alignment horizontal="center" vertical="center"/>
      <protection/>
    </xf>
    <xf numFmtId="0" fontId="10" fillId="0" borderId="45" xfId="0" applyFont="1" applyBorder="1" applyAlignment="1">
      <alignment horizontal="center" vertical="center"/>
    </xf>
    <xf numFmtId="0" fontId="10" fillId="0" borderId="48" xfId="0" applyFont="1" applyBorder="1" applyAlignment="1">
      <alignment horizontal="center"/>
    </xf>
    <xf numFmtId="0" fontId="10" fillId="0" borderId="47" xfId="0" applyFont="1" applyBorder="1" applyAlignment="1">
      <alignment horizontal="center"/>
    </xf>
    <xf numFmtId="0" fontId="101" fillId="0" borderId="33" xfId="0" applyFont="1" applyBorder="1" applyAlignment="1">
      <alignment horizontal="left" vertical="center"/>
    </xf>
    <xf numFmtId="0" fontId="101" fillId="0" borderId="41" xfId="0" applyFont="1" applyBorder="1" applyAlignment="1">
      <alignment horizontal="left" vertical="center" wrapText="1"/>
    </xf>
    <xf numFmtId="0" fontId="101" fillId="0" borderId="42" xfId="0" applyFont="1" applyBorder="1" applyAlignment="1">
      <alignment horizontal="left" vertical="center" wrapText="1"/>
    </xf>
    <xf numFmtId="167" fontId="19" fillId="0" borderId="33" xfId="60" applyNumberFormat="1" applyFont="1" applyFill="1" applyBorder="1" applyAlignment="1">
      <alignment horizontal="center" vertical="center"/>
      <protection/>
    </xf>
    <xf numFmtId="167" fontId="19"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167" fontId="10" fillId="0" borderId="39" xfId="60" applyNumberFormat="1" applyFont="1" applyFill="1" applyBorder="1" applyAlignment="1">
      <alignment horizontal="left" vertical="center"/>
      <protection/>
    </xf>
    <xf numFmtId="167" fontId="19" fillId="0" borderId="39" xfId="60" applyNumberFormat="1" applyFont="1" applyFill="1" applyBorder="1" applyAlignment="1">
      <alignment horizontal="left" vertical="center"/>
      <protection/>
    </xf>
    <xf numFmtId="167" fontId="19" fillId="0" borderId="110" xfId="60" applyNumberFormat="1" applyFont="1" applyFill="1" applyBorder="1" applyAlignment="1">
      <alignment horizontal="center" vertical="center" wrapText="1"/>
      <protection/>
    </xf>
    <xf numFmtId="167" fontId="19" fillId="0" borderId="111" xfId="60" applyNumberFormat="1" applyFont="1" applyFill="1" applyBorder="1" applyAlignment="1">
      <alignment horizontal="center" vertical="center" wrapText="1"/>
      <protection/>
    </xf>
    <xf numFmtId="167" fontId="19" fillId="0" borderId="112" xfId="60" applyNumberFormat="1" applyFont="1" applyFill="1" applyBorder="1" applyAlignment="1">
      <alignment horizontal="center" vertical="center" wrapText="1"/>
      <protection/>
    </xf>
    <xf numFmtId="0" fontId="10" fillId="0" borderId="48" xfId="60" applyFont="1" applyFill="1" applyBorder="1" applyAlignment="1">
      <alignment horizontal="center" vertical="center"/>
      <protection/>
    </xf>
    <xf numFmtId="0" fontId="10" fillId="0" borderId="47" xfId="60" applyFont="1" applyFill="1" applyBorder="1" applyAlignment="1">
      <alignment horizontal="center" vertical="center"/>
      <protection/>
    </xf>
    <xf numFmtId="0" fontId="105" fillId="2" borderId="33" xfId="0" applyFont="1" applyFill="1" applyBorder="1" applyAlignment="1">
      <alignment horizontal="center"/>
    </xf>
    <xf numFmtId="0" fontId="105" fillId="2" borderId="39" xfId="0" applyFont="1" applyFill="1" applyBorder="1" applyAlignment="1">
      <alignment horizontal="center"/>
    </xf>
    <xf numFmtId="0" fontId="105" fillId="2" borderId="40" xfId="0" applyFont="1" applyFill="1" applyBorder="1" applyAlignment="1">
      <alignment horizontal="center"/>
    </xf>
    <xf numFmtId="0" fontId="19" fillId="0" borderId="45" xfId="54" applyFont="1" applyFill="1" applyBorder="1" applyAlignment="1">
      <alignment horizontal="center" vertical="center"/>
      <protection/>
    </xf>
    <xf numFmtId="0" fontId="19" fillId="0" borderId="46" xfId="54" applyFont="1" applyFill="1" applyBorder="1" applyAlignment="1">
      <alignment horizontal="center" vertical="center"/>
      <protection/>
    </xf>
    <xf numFmtId="0" fontId="19" fillId="0" borderId="49" xfId="54" applyFont="1" applyFill="1" applyBorder="1" applyAlignment="1">
      <alignment horizontal="center" vertical="center"/>
      <protection/>
    </xf>
    <xf numFmtId="0" fontId="10" fillId="34" borderId="48" xfId="60" applyFont="1" applyFill="1" applyBorder="1" applyAlignment="1">
      <alignment horizontal="center" vertical="center"/>
      <protection/>
    </xf>
    <xf numFmtId="0" fontId="10" fillId="34" borderId="47" xfId="60" applyFont="1" applyFill="1" applyBorder="1" applyAlignment="1">
      <alignment horizontal="center" vertical="center"/>
      <protection/>
    </xf>
    <xf numFmtId="0" fontId="10" fillId="0" borderId="48" xfId="60" applyFont="1" applyFill="1" applyBorder="1" applyAlignment="1">
      <alignment horizontal="center" vertical="center" wrapText="1"/>
      <protection/>
    </xf>
    <xf numFmtId="0" fontId="10" fillId="0" borderId="47" xfId="60" applyFont="1" applyFill="1" applyBorder="1" applyAlignment="1">
      <alignment horizontal="center" vertical="center" wrapText="1"/>
      <protection/>
    </xf>
    <xf numFmtId="167" fontId="19" fillId="0" borderId="45" xfId="60" applyNumberFormat="1" applyFont="1" applyFill="1" applyBorder="1" applyAlignment="1">
      <alignment horizontal="right" vertical="center"/>
      <protection/>
    </xf>
    <xf numFmtId="167" fontId="19" fillId="0" borderId="46" xfId="60" applyNumberFormat="1" applyFont="1" applyFill="1" applyBorder="1" applyAlignment="1">
      <alignment horizontal="right" vertical="center"/>
      <protection/>
    </xf>
    <xf numFmtId="167" fontId="19" fillId="0" borderId="47" xfId="60" applyNumberFormat="1" applyFont="1" applyFill="1" applyBorder="1" applyAlignment="1">
      <alignment horizontal="right" vertical="center"/>
      <protection/>
    </xf>
    <xf numFmtId="0" fontId="97" fillId="35" borderId="44" xfId="0" applyFont="1" applyFill="1" applyBorder="1" applyAlignment="1">
      <alignment horizontal="center"/>
    </xf>
    <xf numFmtId="0" fontId="97" fillId="35" borderId="0" xfId="0" applyFont="1" applyFill="1" applyBorder="1" applyAlignment="1">
      <alignment horizontal="center"/>
    </xf>
    <xf numFmtId="0" fontId="97" fillId="35" borderId="38" xfId="0" applyFont="1" applyFill="1" applyBorder="1" applyAlignment="1">
      <alignment horizontal="center"/>
    </xf>
    <xf numFmtId="0" fontId="96" fillId="35" borderId="38" xfId="0" applyFont="1" applyFill="1" applyBorder="1" applyAlignment="1">
      <alignment horizontal="center"/>
    </xf>
    <xf numFmtId="0" fontId="96" fillId="35" borderId="44" xfId="0" applyFont="1" applyFill="1" applyBorder="1" applyAlignment="1">
      <alignment horizontal="center" vertical="center"/>
    </xf>
    <xf numFmtId="0" fontId="96" fillId="35" borderId="0" xfId="0" applyFont="1" applyFill="1" applyBorder="1" applyAlignment="1">
      <alignment horizontal="center" vertical="center"/>
    </xf>
    <xf numFmtId="0" fontId="96" fillId="35" borderId="38" xfId="0" applyFont="1" applyFill="1" applyBorder="1" applyAlignment="1">
      <alignment horizontal="center" vertical="center"/>
    </xf>
    <xf numFmtId="0" fontId="97" fillId="35" borderId="32" xfId="0" applyFont="1" applyFill="1" applyBorder="1" applyAlignment="1">
      <alignment horizontal="center" vertical="center"/>
    </xf>
    <xf numFmtId="0" fontId="97" fillId="35" borderId="65" xfId="0" applyFont="1" applyFill="1" applyBorder="1" applyAlignment="1">
      <alignment horizontal="center" vertical="center"/>
    </xf>
    <xf numFmtId="0" fontId="97" fillId="35" borderId="66" xfId="0" applyFont="1" applyFill="1" applyBorder="1" applyAlignment="1">
      <alignment horizontal="center" vertical="center"/>
    </xf>
    <xf numFmtId="167" fontId="19" fillId="43" borderId="114" xfId="60" applyNumberFormat="1" applyFont="1" applyFill="1" applyBorder="1" applyAlignment="1">
      <alignment horizontal="center" vertical="center" wrapText="1"/>
      <protection/>
    </xf>
    <xf numFmtId="167" fontId="19" fillId="43" borderId="36"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left" vertical="center" wrapText="1"/>
      <protection/>
    </xf>
    <xf numFmtId="167" fontId="19" fillId="43" borderId="92" xfId="60" applyNumberFormat="1" applyFont="1" applyFill="1" applyBorder="1" applyAlignment="1">
      <alignment horizontal="left" vertical="center" wrapText="1"/>
      <protection/>
    </xf>
    <xf numFmtId="167" fontId="19" fillId="43" borderId="59" xfId="60" applyNumberFormat="1" applyFont="1" applyFill="1" applyBorder="1" applyAlignment="1">
      <alignment horizontal="left" vertical="center" wrapText="1"/>
      <protection/>
    </xf>
    <xf numFmtId="167" fontId="19" fillId="43" borderId="65" xfId="60" applyNumberFormat="1" applyFont="1" applyFill="1" applyBorder="1" applyAlignment="1">
      <alignment horizontal="left" vertical="center" wrapText="1"/>
      <protection/>
    </xf>
    <xf numFmtId="0" fontId="10" fillId="0" borderId="101" xfId="60" applyNumberFormat="1" applyFont="1" applyFill="1" applyBorder="1" applyAlignment="1">
      <alignment horizontal="center" vertical="center" wrapText="1"/>
      <protection/>
    </xf>
    <xf numFmtId="0" fontId="10" fillId="0" borderId="0" xfId="60" applyNumberFormat="1" applyFont="1" applyFill="1" applyBorder="1" applyAlignment="1">
      <alignment horizontal="center" vertical="center" wrapText="1"/>
      <protection/>
    </xf>
    <xf numFmtId="0" fontId="10" fillId="0" borderId="38" xfId="60" applyNumberFormat="1" applyFont="1" applyFill="1" applyBorder="1" applyAlignment="1">
      <alignment horizontal="center" vertical="center" wrapText="1"/>
      <protection/>
    </xf>
    <xf numFmtId="167" fontId="24" fillId="0" borderId="33" xfId="60" applyNumberFormat="1" applyFont="1" applyBorder="1" applyAlignment="1">
      <alignment horizontal="center" vertical="center"/>
      <protection/>
    </xf>
    <xf numFmtId="167" fontId="24" fillId="0" borderId="39" xfId="60" applyNumberFormat="1" applyFont="1" applyBorder="1" applyAlignment="1">
      <alignment horizontal="center" vertical="center"/>
      <protection/>
    </xf>
    <xf numFmtId="167" fontId="24" fillId="0" borderId="40" xfId="60" applyNumberFormat="1" applyFont="1" applyBorder="1" applyAlignment="1">
      <alignment horizontal="center" vertical="center"/>
      <protection/>
    </xf>
    <xf numFmtId="167" fontId="12" fillId="0" borderId="39" xfId="60" applyNumberFormat="1" applyFont="1" applyBorder="1" applyAlignment="1">
      <alignment horizontal="left" vertical="center"/>
      <protection/>
    </xf>
    <xf numFmtId="167" fontId="24" fillId="0" borderId="39" xfId="60" applyNumberFormat="1" applyFont="1" applyBorder="1" applyAlignment="1">
      <alignment horizontal="left" vertical="center"/>
      <protection/>
    </xf>
    <xf numFmtId="1" fontId="19" fillId="0" borderId="23" xfId="0" applyNumberFormat="1" applyFont="1" applyFill="1" applyBorder="1" applyAlignment="1">
      <alignment horizontal="center" vertical="center" wrapText="1"/>
    </xf>
    <xf numFmtId="1" fontId="19" fillId="0" borderId="24" xfId="0" applyNumberFormat="1" applyFont="1" applyFill="1" applyBorder="1" applyAlignment="1">
      <alignment horizontal="center" vertical="center" wrapText="1"/>
    </xf>
    <xf numFmtId="1" fontId="19" fillId="0" borderId="64" xfId="0" applyNumberFormat="1" applyFont="1" applyFill="1" applyBorder="1" applyAlignment="1">
      <alignment horizontal="center" vertical="center" wrapText="1"/>
    </xf>
    <xf numFmtId="1" fontId="19" fillId="43" borderId="72" xfId="0" applyNumberFormat="1" applyFont="1" applyFill="1" applyBorder="1" applyAlignment="1">
      <alignment horizontal="center" vertical="center" wrapText="1"/>
    </xf>
    <xf numFmtId="1" fontId="19" fillId="43" borderId="36" xfId="0" applyNumberFormat="1" applyFont="1" applyFill="1" applyBorder="1" applyAlignment="1">
      <alignment horizontal="center" vertical="center" wrapText="1"/>
    </xf>
    <xf numFmtId="0" fontId="19" fillId="43" borderId="61" xfId="0" applyFont="1" applyFill="1" applyBorder="1" applyAlignment="1">
      <alignment horizontal="center" vertical="center" wrapText="1"/>
    </xf>
    <xf numFmtId="0" fontId="19" fillId="43" borderId="0" xfId="0" applyFont="1" applyFill="1" applyBorder="1" applyAlignment="1">
      <alignment horizontal="center" vertical="center" wrapText="1"/>
    </xf>
    <xf numFmtId="0" fontId="19" fillId="43" borderId="115" xfId="0" applyFont="1" applyFill="1" applyBorder="1" applyAlignment="1">
      <alignment horizontal="center" vertical="center" wrapText="1"/>
    </xf>
    <xf numFmtId="0" fontId="19" fillId="43" borderId="59" xfId="0" applyFont="1" applyFill="1" applyBorder="1" applyAlignment="1">
      <alignment horizontal="center" vertical="center" wrapText="1"/>
    </xf>
    <xf numFmtId="0" fontId="19" fillId="43" borderId="65" xfId="0" applyFont="1" applyFill="1" applyBorder="1" applyAlignment="1">
      <alignment horizontal="center" vertical="center" wrapText="1"/>
    </xf>
    <xf numFmtId="0" fontId="19" fillId="43" borderId="116" xfId="0" applyFont="1" applyFill="1" applyBorder="1" applyAlignment="1">
      <alignment horizontal="center" vertical="center" wrapText="1"/>
    </xf>
    <xf numFmtId="167" fontId="24" fillId="8" borderId="42" xfId="60" applyNumberFormat="1" applyFont="1" applyFill="1" applyBorder="1" applyAlignment="1">
      <alignment horizontal="left" vertical="center"/>
      <protection/>
    </xf>
    <xf numFmtId="0" fontId="24" fillId="0" borderId="33"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167" fontId="24" fillId="0" borderId="33" xfId="60" applyNumberFormat="1" applyFont="1" applyFill="1" applyBorder="1" applyAlignment="1">
      <alignment horizontal="right" vertical="center"/>
      <protection/>
    </xf>
    <xf numFmtId="167" fontId="24" fillId="0" borderId="39" xfId="60" applyNumberFormat="1" applyFont="1" applyFill="1" applyBorder="1" applyAlignment="1">
      <alignment horizontal="right" vertical="center"/>
      <protection/>
    </xf>
    <xf numFmtId="0" fontId="24" fillId="0" borderId="33"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33" xfId="0" applyFont="1" applyFill="1" applyBorder="1" applyAlignment="1">
      <alignment horizontal="right" vertical="center"/>
    </xf>
    <xf numFmtId="0" fontId="24" fillId="0" borderId="39" xfId="0" applyFont="1" applyFill="1" applyBorder="1" applyAlignment="1">
      <alignment horizontal="right" vertical="center"/>
    </xf>
    <xf numFmtId="0" fontId="19" fillId="35" borderId="32" xfId="54" applyFont="1" applyFill="1" applyBorder="1" applyAlignment="1">
      <alignment horizontal="center" vertical="center"/>
      <protection/>
    </xf>
    <xf numFmtId="0" fontId="19" fillId="35" borderId="65" xfId="54" applyFont="1" applyFill="1" applyBorder="1" applyAlignment="1">
      <alignment horizontal="center" vertical="center"/>
      <protection/>
    </xf>
    <xf numFmtId="0" fontId="19" fillId="35" borderId="66" xfId="54" applyFont="1" applyFill="1" applyBorder="1" applyAlignment="1">
      <alignment horizontal="center" vertical="center"/>
      <protection/>
    </xf>
    <xf numFmtId="0" fontId="19" fillId="43" borderId="58" xfId="0" applyFont="1" applyFill="1" applyBorder="1" applyAlignment="1">
      <alignment horizontal="justify" vertical="center" wrapText="1"/>
    </xf>
    <xf numFmtId="0" fontId="19" fillId="43" borderId="108" xfId="0" applyFont="1" applyFill="1" applyBorder="1" applyAlignment="1">
      <alignment horizontal="justify" vertical="center" wrapText="1"/>
    </xf>
    <xf numFmtId="0" fontId="19" fillId="43" borderId="59" xfId="0" applyFont="1" applyFill="1" applyBorder="1" applyAlignment="1">
      <alignment horizontal="justify" vertical="center" wrapText="1"/>
    </xf>
    <xf numFmtId="0" fontId="19" fillId="43" borderId="65" xfId="0" applyFont="1" applyFill="1" applyBorder="1" applyAlignment="1">
      <alignment horizontal="justify" vertical="center" wrapText="1"/>
    </xf>
    <xf numFmtId="1" fontId="19" fillId="43" borderId="58" xfId="0" applyNumberFormat="1" applyFont="1" applyFill="1" applyBorder="1" applyAlignment="1">
      <alignment horizontal="center" vertical="center" wrapText="1"/>
    </xf>
    <xf numFmtId="1" fontId="19" fillId="43" borderId="59" xfId="0" applyNumberFormat="1" applyFont="1" applyFill="1" applyBorder="1" applyAlignment="1">
      <alignment horizontal="center" vertical="center" wrapText="1"/>
    </xf>
    <xf numFmtId="167" fontId="19" fillId="43" borderId="91" xfId="60" applyNumberFormat="1" applyFont="1" applyFill="1" applyBorder="1" applyAlignment="1">
      <alignment horizontal="center" vertical="center" wrapText="1"/>
      <protection/>
    </xf>
    <xf numFmtId="167" fontId="19" fillId="43" borderId="32" xfId="60" applyNumberFormat="1" applyFont="1" applyFill="1" applyBorder="1" applyAlignment="1">
      <alignment horizontal="center" vertical="center" wrapText="1"/>
      <protection/>
    </xf>
    <xf numFmtId="167" fontId="19" fillId="43" borderId="117" xfId="60" applyNumberFormat="1" applyFont="1" applyFill="1" applyBorder="1" applyAlignment="1">
      <alignment horizontal="left" vertical="center" wrapText="1"/>
      <protection/>
    </xf>
    <xf numFmtId="167" fontId="19" fillId="43" borderId="116" xfId="60" applyNumberFormat="1" applyFont="1" applyFill="1" applyBorder="1" applyAlignment="1">
      <alignment horizontal="left" vertical="center" wrapText="1"/>
      <protection/>
    </xf>
    <xf numFmtId="0" fontId="20" fillId="0" borderId="69"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109" xfId="0" applyFont="1" applyFill="1" applyBorder="1" applyAlignment="1">
      <alignment horizontal="center" vertical="center" wrapText="1"/>
    </xf>
    <xf numFmtId="0" fontId="20" fillId="0" borderId="33" xfId="0" applyFont="1" applyFill="1" applyBorder="1" applyAlignment="1">
      <alignment horizontal="right" vertical="center"/>
    </xf>
    <xf numFmtId="0" fontId="20" fillId="0" borderId="39" xfId="0" applyFont="1" applyFill="1" applyBorder="1" applyAlignment="1">
      <alignment horizontal="right" vertical="center"/>
    </xf>
    <xf numFmtId="167" fontId="20" fillId="0" borderId="39" xfId="60" applyNumberFormat="1" applyFont="1" applyBorder="1" applyAlignment="1">
      <alignment horizontal="left" vertical="center"/>
      <protection/>
    </xf>
    <xf numFmtId="167" fontId="20" fillId="8" borderId="42" xfId="60" applyNumberFormat="1" applyFont="1" applyFill="1" applyBorder="1" applyAlignment="1">
      <alignment horizontal="left" vertical="center"/>
      <protection/>
    </xf>
    <xf numFmtId="1" fontId="19" fillId="0" borderId="91" xfId="0" applyNumberFormat="1" applyFont="1" applyFill="1" applyBorder="1" applyAlignment="1">
      <alignment horizontal="center" vertical="center" wrapText="1"/>
    </xf>
    <xf numFmtId="1" fontId="19" fillId="0" borderId="92" xfId="0" applyNumberFormat="1" applyFont="1" applyFill="1" applyBorder="1" applyAlignment="1">
      <alignment horizontal="center" vertical="center" wrapText="1"/>
    </xf>
    <xf numFmtId="1" fontId="19" fillId="0" borderId="93" xfId="0" applyNumberFormat="1"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167" fontId="20" fillId="0" borderId="69" xfId="60" applyNumberFormat="1" applyFont="1" applyBorder="1" applyAlignment="1">
      <alignment horizontal="center" vertical="center"/>
      <protection/>
    </xf>
    <xf numFmtId="167" fontId="20" fillId="0" borderId="85" xfId="60" applyNumberFormat="1" applyFont="1" applyBorder="1" applyAlignment="1">
      <alignment horizontal="center" vertical="center"/>
      <protection/>
    </xf>
    <xf numFmtId="167" fontId="20" fillId="0" borderId="109" xfId="60" applyNumberFormat="1" applyFont="1" applyBorder="1" applyAlignment="1">
      <alignment horizontal="center" vertical="center"/>
      <protection/>
    </xf>
    <xf numFmtId="167" fontId="21" fillId="0" borderId="39" xfId="60" applyNumberFormat="1" applyFont="1" applyBorder="1" applyAlignment="1">
      <alignment horizontal="left" vertical="center"/>
      <protection/>
    </xf>
    <xf numFmtId="0" fontId="102" fillId="0" borderId="85" xfId="0" applyFont="1" applyBorder="1" applyAlignment="1">
      <alignment horizontal="center" wrapText="1"/>
    </xf>
    <xf numFmtId="0" fontId="102" fillId="11" borderId="48" xfId="0" applyFont="1" applyFill="1" applyBorder="1" applyAlignment="1">
      <alignment horizontal="center" vertical="center" wrapText="1"/>
    </xf>
    <xf numFmtId="0" fontId="102" fillId="11" borderId="46" xfId="0" applyFont="1" applyFill="1" applyBorder="1" applyAlignment="1">
      <alignment horizontal="center" vertical="center" wrapText="1"/>
    </xf>
    <xf numFmtId="0" fontId="102" fillId="11" borderId="47" xfId="0" applyFont="1" applyFill="1" applyBorder="1" applyAlignment="1">
      <alignment horizontal="center" vertical="center" wrapText="1"/>
    </xf>
    <xf numFmtId="0" fontId="102" fillId="11" borderId="39" xfId="0" applyFont="1" applyFill="1" applyBorder="1" applyAlignment="1">
      <alignment horizontal="center" wrapText="1"/>
    </xf>
    <xf numFmtId="0" fontId="107" fillId="2" borderId="39" xfId="0" applyFont="1" applyFill="1" applyBorder="1" applyAlignment="1">
      <alignment horizontal="center" vertical="center"/>
    </xf>
    <xf numFmtId="0" fontId="20" fillId="0" borderId="48" xfId="0" applyFont="1" applyBorder="1" applyAlignment="1">
      <alignment horizontal="center" vertical="center"/>
    </xf>
    <xf numFmtId="0" fontId="20" fillId="0" borderId="47" xfId="0" applyFont="1" applyBorder="1" applyAlignment="1">
      <alignment horizontal="center" vertical="center"/>
    </xf>
    <xf numFmtId="14" fontId="103" fillId="0" borderId="39" xfId="0" applyNumberFormat="1" applyFont="1" applyBorder="1" applyAlignment="1">
      <alignment horizontal="center" vertical="center"/>
    </xf>
    <xf numFmtId="0" fontId="103" fillId="0" borderId="39" xfId="0" applyFont="1" applyBorder="1" applyAlignment="1">
      <alignment horizontal="center" vertical="center"/>
    </xf>
    <xf numFmtId="0" fontId="107" fillId="0" borderId="39" xfId="0" applyFont="1" applyBorder="1" applyAlignment="1">
      <alignment horizontal="right" vertical="center"/>
    </xf>
    <xf numFmtId="0" fontId="10" fillId="0" borderId="39" xfId="0" applyFont="1" applyBorder="1" applyAlignment="1">
      <alignment horizontal="center"/>
    </xf>
    <xf numFmtId="0" fontId="10" fillId="35" borderId="39" xfId="0" applyFont="1" applyFill="1" applyBorder="1" applyAlignment="1">
      <alignment horizontal="center"/>
    </xf>
    <xf numFmtId="0" fontId="102" fillId="35" borderId="39" xfId="0" applyFont="1" applyFill="1" applyBorder="1" applyAlignment="1">
      <alignment horizontal="center" wrapText="1"/>
    </xf>
    <xf numFmtId="0" fontId="102" fillId="35" borderId="39" xfId="0" applyFont="1" applyFill="1" applyBorder="1" applyAlignment="1">
      <alignment horizontal="center"/>
    </xf>
    <xf numFmtId="0" fontId="20" fillId="0" borderId="69" xfId="0" applyFont="1" applyFill="1" applyBorder="1" applyAlignment="1">
      <alignment horizontal="center" vertical="center"/>
    </xf>
    <xf numFmtId="0" fontId="20" fillId="0" borderId="85" xfId="0" applyFont="1" applyFill="1" applyBorder="1" applyAlignment="1">
      <alignment horizontal="center" vertical="center"/>
    </xf>
    <xf numFmtId="0" fontId="20" fillId="0" borderId="109" xfId="0" applyFont="1" applyFill="1" applyBorder="1" applyAlignment="1">
      <alignment horizontal="center" vertical="center"/>
    </xf>
    <xf numFmtId="17" fontId="105" fillId="44" borderId="114" xfId="0" applyNumberFormat="1" applyFont="1" applyFill="1" applyBorder="1" applyAlignment="1">
      <alignment horizontal="center" vertical="center" wrapText="1"/>
    </xf>
    <xf numFmtId="17" fontId="105" fillId="44" borderId="36" xfId="0" applyNumberFormat="1" applyFont="1" applyFill="1" applyBorder="1" applyAlignment="1">
      <alignment horizontal="center" vertical="center" wrapText="1"/>
    </xf>
    <xf numFmtId="167" fontId="19" fillId="0" borderId="69" xfId="60" applyNumberFormat="1" applyFont="1" applyFill="1" applyBorder="1" applyAlignment="1">
      <alignment horizontal="center" vertical="center"/>
      <protection/>
    </xf>
    <xf numFmtId="167" fontId="19" fillId="0" borderId="85" xfId="60" applyNumberFormat="1" applyFont="1" applyFill="1" applyBorder="1" applyAlignment="1">
      <alignment horizontal="center" vertical="center"/>
      <protection/>
    </xf>
    <xf numFmtId="167" fontId="19" fillId="0" borderId="109" xfId="60" applyNumberFormat="1" applyFont="1" applyFill="1" applyBorder="1" applyAlignment="1">
      <alignment horizontal="center" vertical="center"/>
      <protection/>
    </xf>
    <xf numFmtId="167" fontId="10" fillId="0" borderId="101" xfId="60" applyNumberFormat="1" applyFont="1" applyFill="1" applyBorder="1" applyAlignment="1">
      <alignment horizontal="center" vertical="center" wrapText="1"/>
      <protection/>
    </xf>
    <xf numFmtId="167" fontId="10" fillId="0" borderId="0" xfId="60" applyNumberFormat="1" applyFont="1" applyFill="1" applyBorder="1" applyAlignment="1">
      <alignment horizontal="center" vertical="center" wrapText="1"/>
      <protection/>
    </xf>
    <xf numFmtId="167" fontId="10" fillId="0" borderId="38" xfId="60" applyNumberFormat="1" applyFont="1" applyFill="1" applyBorder="1" applyAlignment="1">
      <alignment horizontal="center" vertical="center" wrapText="1"/>
      <protection/>
    </xf>
    <xf numFmtId="167" fontId="10" fillId="0" borderId="48" xfId="60" applyNumberFormat="1" applyFont="1" applyFill="1" applyBorder="1" applyAlignment="1">
      <alignment horizontal="right" vertical="center"/>
      <protection/>
    </xf>
    <xf numFmtId="167" fontId="10" fillId="0" borderId="46" xfId="60" applyNumberFormat="1" applyFont="1" applyFill="1" applyBorder="1" applyAlignment="1">
      <alignment horizontal="right" vertical="center"/>
      <protection/>
    </xf>
    <xf numFmtId="167" fontId="10" fillId="0" borderId="49" xfId="60" applyNumberFormat="1" applyFont="1" applyFill="1" applyBorder="1" applyAlignment="1">
      <alignment horizontal="right" vertical="center"/>
      <protection/>
    </xf>
    <xf numFmtId="0" fontId="102" fillId="35" borderId="44" xfId="0" applyFont="1" applyFill="1" applyBorder="1" applyAlignment="1">
      <alignment horizontal="center"/>
    </xf>
    <xf numFmtId="0" fontId="102" fillId="35" borderId="0" xfId="0" applyFont="1" applyFill="1" applyBorder="1" applyAlignment="1">
      <alignment horizontal="center"/>
    </xf>
    <xf numFmtId="0" fontId="102" fillId="35" borderId="38" xfId="0" applyFont="1" applyFill="1" applyBorder="1" applyAlignment="1">
      <alignment horizontal="center"/>
    </xf>
    <xf numFmtId="167" fontId="19" fillId="43" borderId="44" xfId="60" applyNumberFormat="1" applyFont="1" applyFill="1" applyBorder="1" applyAlignment="1">
      <alignment horizontal="center" vertical="center" wrapText="1"/>
      <protection/>
    </xf>
    <xf numFmtId="167" fontId="19" fillId="43" borderId="61" xfId="60" applyNumberFormat="1" applyFont="1" applyFill="1" applyBorder="1" applyAlignment="1">
      <alignment horizontal="left" vertical="center" wrapText="1"/>
      <protection/>
    </xf>
    <xf numFmtId="167" fontId="19" fillId="43" borderId="0" xfId="60" applyNumberFormat="1" applyFont="1" applyFill="1" applyBorder="1" applyAlignment="1">
      <alignment horizontal="left" vertical="center" wrapText="1"/>
      <protection/>
    </xf>
    <xf numFmtId="167" fontId="19" fillId="43" borderId="115" xfId="60" applyNumberFormat="1" applyFont="1" applyFill="1" applyBorder="1" applyAlignment="1">
      <alignment horizontal="left" vertical="center" wrapText="1"/>
      <protection/>
    </xf>
    <xf numFmtId="0" fontId="93" fillId="0" borderId="45" xfId="0" applyFont="1" applyBorder="1" applyAlignment="1">
      <alignment horizontal="center" vertical="center"/>
    </xf>
    <xf numFmtId="0" fontId="93" fillId="0" borderId="46" xfId="0" applyFont="1" applyBorder="1" applyAlignment="1">
      <alignment horizontal="center" vertical="center"/>
    </xf>
    <xf numFmtId="0" fontId="93" fillId="0" borderId="47" xfId="0" applyFont="1" applyBorder="1" applyAlignment="1">
      <alignment horizontal="center" vertical="center"/>
    </xf>
    <xf numFmtId="0" fontId="93" fillId="0" borderId="69" xfId="0" applyFont="1" applyBorder="1" applyAlignment="1">
      <alignment horizontal="center" vertical="center"/>
    </xf>
    <xf numFmtId="0" fontId="93" fillId="0" borderId="85" xfId="0" applyFont="1" applyBorder="1" applyAlignment="1">
      <alignment horizontal="center" vertical="center"/>
    </xf>
    <xf numFmtId="0" fontId="93" fillId="0" borderId="77" xfId="0" applyFont="1" applyBorder="1" applyAlignment="1">
      <alignment horizontal="center" vertical="center"/>
    </xf>
    <xf numFmtId="0" fontId="93" fillId="34" borderId="41" xfId="0" applyFont="1" applyFill="1" applyBorder="1" applyAlignment="1">
      <alignment horizontal="center" vertical="center"/>
    </xf>
    <xf numFmtId="0" fontId="93" fillId="34" borderId="42" xfId="0" applyFont="1" applyFill="1" applyBorder="1" applyAlignment="1">
      <alignment horizontal="center" vertical="center"/>
    </xf>
    <xf numFmtId="0" fontId="92" fillId="0" borderId="0" xfId="0" applyFont="1" applyFill="1" applyBorder="1" applyAlignment="1">
      <alignment horizontal="left" vertical="center"/>
    </xf>
    <xf numFmtId="0" fontId="109" fillId="0" borderId="110" xfId="0" applyFont="1" applyFill="1" applyBorder="1" applyAlignment="1">
      <alignment horizontal="center" vertical="center" wrapText="1"/>
    </xf>
    <xf numFmtId="0" fontId="109" fillId="0" borderId="111" xfId="0" applyFont="1" applyFill="1" applyBorder="1" applyAlignment="1">
      <alignment horizontal="center" vertical="center" wrapText="1"/>
    </xf>
    <xf numFmtId="0" fontId="109" fillId="0" borderId="112" xfId="0" applyFont="1" applyFill="1" applyBorder="1" applyAlignment="1">
      <alignment horizontal="center" vertical="center" wrapText="1"/>
    </xf>
    <xf numFmtId="0" fontId="93" fillId="34" borderId="61" xfId="0" applyFont="1" applyFill="1" applyBorder="1" applyAlignment="1">
      <alignment horizontal="center" vertical="center"/>
    </xf>
    <xf numFmtId="0" fontId="93" fillId="34" borderId="115" xfId="0" applyFont="1" applyFill="1" applyBorder="1" applyAlignment="1">
      <alignment horizontal="center" vertical="center"/>
    </xf>
    <xf numFmtId="0" fontId="93" fillId="34" borderId="38" xfId="0" applyFont="1" applyFill="1" applyBorder="1" applyAlignment="1">
      <alignment horizontal="center" vertical="center"/>
    </xf>
    <xf numFmtId="0" fontId="93" fillId="34" borderId="44" xfId="0" applyFont="1" applyFill="1" applyBorder="1" applyAlignment="1">
      <alignment horizontal="center" vertical="center"/>
    </xf>
    <xf numFmtId="0" fontId="93" fillId="34" borderId="69" xfId="0" applyFont="1" applyFill="1" applyBorder="1" applyAlignment="1">
      <alignment horizontal="center" vertical="center"/>
    </xf>
    <xf numFmtId="0" fontId="93" fillId="34" borderId="55" xfId="0" applyFont="1" applyFill="1" applyBorder="1" applyAlignment="1">
      <alignment horizontal="center" vertical="center"/>
    </xf>
    <xf numFmtId="0" fontId="93" fillId="34" borderId="72" xfId="0" applyFont="1" applyFill="1" applyBorder="1" applyAlignment="1">
      <alignment horizontal="center" vertical="center"/>
    </xf>
    <xf numFmtId="0" fontId="93" fillId="34" borderId="24" xfId="0" applyFont="1" applyFill="1" applyBorder="1" applyAlignment="1">
      <alignment horizontal="center" vertical="center"/>
    </xf>
    <xf numFmtId="0" fontId="93" fillId="34" borderId="45" xfId="0" applyFont="1" applyFill="1" applyBorder="1" applyAlignment="1">
      <alignment horizontal="center" vertical="center" wrapText="1"/>
    </xf>
    <xf numFmtId="0" fontId="93" fillId="34" borderId="46" xfId="0" applyFont="1" applyFill="1" applyBorder="1" applyAlignment="1">
      <alignment horizontal="center" vertical="center" wrapText="1"/>
    </xf>
    <xf numFmtId="0" fontId="93" fillId="34" borderId="49" xfId="0" applyFont="1" applyFill="1" applyBorder="1" applyAlignment="1">
      <alignment horizontal="center" vertical="center" wrapText="1"/>
    </xf>
    <xf numFmtId="0" fontId="94" fillId="35" borderId="31" xfId="0" applyFont="1" applyFill="1" applyBorder="1" applyAlignment="1">
      <alignment horizontal="center" vertical="center"/>
    </xf>
    <xf numFmtId="0" fontId="94" fillId="35" borderId="53" xfId="0" applyFont="1" applyFill="1" applyBorder="1" applyAlignment="1">
      <alignment horizontal="center" vertical="center"/>
    </xf>
    <xf numFmtId="0" fontId="94" fillId="35" borderId="54" xfId="0" applyFont="1" applyFill="1" applyBorder="1" applyAlignment="1">
      <alignment horizontal="center" vertical="center"/>
    </xf>
    <xf numFmtId="0" fontId="109" fillId="35" borderId="44" xfId="0" applyFont="1" applyFill="1" applyBorder="1" applyAlignment="1">
      <alignment horizontal="center" vertical="center"/>
    </xf>
    <xf numFmtId="0" fontId="109" fillId="35" borderId="0" xfId="0" applyFont="1" applyFill="1" applyBorder="1" applyAlignment="1">
      <alignment horizontal="center" vertical="center"/>
    </xf>
    <xf numFmtId="0" fontId="109" fillId="35" borderId="38" xfId="0" applyFont="1" applyFill="1" applyBorder="1" applyAlignment="1">
      <alignment horizontal="center" vertical="center"/>
    </xf>
    <xf numFmtId="0" fontId="92"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38" xfId="0" applyFont="1" applyFill="1" applyBorder="1" applyAlignment="1">
      <alignment horizontal="center" vertical="center"/>
    </xf>
    <xf numFmtId="0" fontId="94" fillId="35" borderId="32" xfId="0" applyFont="1" applyFill="1" applyBorder="1" applyAlignment="1">
      <alignment horizontal="center" vertical="center"/>
    </xf>
    <xf numFmtId="0" fontId="94" fillId="35" borderId="65" xfId="0" applyFont="1" applyFill="1" applyBorder="1" applyAlignment="1">
      <alignment horizontal="center" vertical="center"/>
    </xf>
    <xf numFmtId="0" fontId="94" fillId="35" borderId="66" xfId="0" applyFont="1" applyFill="1" applyBorder="1" applyAlignment="1">
      <alignment horizontal="center" vertical="center"/>
    </xf>
    <xf numFmtId="0" fontId="109" fillId="43" borderId="35" xfId="0" applyFont="1" applyFill="1" applyBorder="1" applyAlignment="1">
      <alignment horizontal="center" vertical="center"/>
    </xf>
    <xf numFmtId="0" fontId="109" fillId="43" borderId="36" xfId="0" applyFont="1" applyFill="1" applyBorder="1" applyAlignment="1">
      <alignment horizontal="center" vertical="center"/>
    </xf>
    <xf numFmtId="0" fontId="109" fillId="43" borderId="56" xfId="0" applyFont="1" applyFill="1" applyBorder="1" applyAlignment="1">
      <alignment horizontal="center" vertical="center"/>
    </xf>
    <xf numFmtId="0" fontId="94" fillId="35" borderId="44" xfId="0" applyFont="1" applyFill="1" applyBorder="1" applyAlignment="1">
      <alignment horizontal="center" vertical="center"/>
    </xf>
    <xf numFmtId="0" fontId="94" fillId="35" borderId="0" xfId="0" applyFont="1" applyFill="1" applyBorder="1" applyAlignment="1">
      <alignment horizontal="center" vertical="center"/>
    </xf>
    <xf numFmtId="0" fontId="94" fillId="35" borderId="38" xfId="0" applyFont="1" applyFill="1" applyBorder="1" applyAlignment="1">
      <alignment horizontal="center" vertical="center"/>
    </xf>
    <xf numFmtId="0" fontId="110" fillId="0" borderId="101"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38" xfId="0" applyFont="1" applyFill="1" applyBorder="1" applyAlignment="1">
      <alignment horizontal="center" vertical="center" wrapText="1"/>
    </xf>
    <xf numFmtId="0" fontId="9" fillId="35" borderId="31" xfId="0" applyFont="1" applyFill="1" applyBorder="1" applyAlignment="1" applyProtection="1">
      <alignment horizontal="center" vertical="center"/>
      <protection locked="0"/>
    </xf>
    <xf numFmtId="0" fontId="9" fillId="35" borderId="53" xfId="0" applyFont="1" applyFill="1" applyBorder="1" applyAlignment="1" applyProtection="1">
      <alignment horizontal="center" vertical="center"/>
      <protection locked="0"/>
    </xf>
    <xf numFmtId="0" fontId="9" fillId="35" borderId="54" xfId="0" applyFont="1" applyFill="1" applyBorder="1" applyAlignment="1" applyProtection="1">
      <alignment horizontal="center" vertical="center"/>
      <protection locked="0"/>
    </xf>
    <xf numFmtId="2" fontId="18" fillId="35" borderId="44" xfId="63" applyNumberFormat="1" applyFont="1" applyFill="1" applyBorder="1" applyAlignment="1" applyProtection="1">
      <alignment horizontal="center" vertical="center"/>
      <protection locked="0"/>
    </xf>
    <xf numFmtId="2" fontId="18" fillId="35" borderId="0" xfId="63" applyNumberFormat="1" applyFont="1" applyFill="1" applyBorder="1" applyAlignment="1" applyProtection="1">
      <alignment horizontal="center" vertical="center"/>
      <protection locked="0"/>
    </xf>
    <xf numFmtId="2" fontId="18" fillId="35" borderId="38" xfId="63" applyNumberFormat="1" applyFont="1" applyFill="1" applyBorder="1" applyAlignment="1" applyProtection="1">
      <alignment horizontal="center" vertical="center"/>
      <protection locked="0"/>
    </xf>
    <xf numFmtId="2" fontId="13" fillId="35" borderId="44" xfId="63" applyNumberFormat="1" applyFont="1" applyFill="1" applyBorder="1" applyAlignment="1" applyProtection="1">
      <alignment horizontal="center" vertical="center"/>
      <protection locked="0"/>
    </xf>
    <xf numFmtId="2" fontId="13" fillId="35" borderId="0" xfId="63" applyNumberFormat="1" applyFont="1" applyFill="1" applyBorder="1" applyAlignment="1" applyProtection="1">
      <alignment horizontal="center" vertical="center"/>
      <protection locked="0"/>
    </xf>
    <xf numFmtId="2" fontId="13" fillId="35" borderId="38" xfId="63" applyNumberFormat="1" applyFont="1" applyFill="1" applyBorder="1" applyAlignment="1" applyProtection="1">
      <alignment horizontal="center" vertical="center"/>
      <protection locked="0"/>
    </xf>
    <xf numFmtId="0" fontId="12" fillId="35" borderId="65" xfId="63" applyFont="1" applyFill="1" applyBorder="1" applyAlignment="1" applyProtection="1">
      <alignment horizontal="center" vertical="center"/>
      <protection locked="0"/>
    </xf>
    <xf numFmtId="171" fontId="12" fillId="35" borderId="65" xfId="0" applyNumberFormat="1" applyFont="1" applyFill="1" applyBorder="1" applyAlignment="1" applyProtection="1">
      <alignment horizontal="center" vertical="center"/>
      <protection locked="0"/>
    </xf>
    <xf numFmtId="171" fontId="12" fillId="35" borderId="66" xfId="0" applyNumberFormat="1" applyFont="1" applyFill="1" applyBorder="1" applyAlignment="1" applyProtection="1">
      <alignment horizontal="center" vertical="center"/>
      <protection locked="0"/>
    </xf>
    <xf numFmtId="0" fontId="11" fillId="0" borderId="44" xfId="62" applyFont="1" applyFill="1" applyBorder="1" applyAlignment="1">
      <alignment horizontal="center" vertical="center" wrapText="1"/>
      <protection/>
    </xf>
    <xf numFmtId="0" fontId="11" fillId="0" borderId="0" xfId="62" applyFont="1" applyFill="1" applyBorder="1" applyAlignment="1">
      <alignment horizontal="center" vertical="center" wrapText="1"/>
      <protection/>
    </xf>
    <xf numFmtId="0" fontId="11" fillId="0" borderId="38" xfId="62" applyFont="1" applyFill="1" applyBorder="1" applyAlignment="1">
      <alignment horizontal="center" vertical="center" wrapText="1"/>
      <protection/>
    </xf>
    <xf numFmtId="0" fontId="13" fillId="0" borderId="101" xfId="6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3" fillId="0" borderId="38" xfId="62" applyFont="1" applyFill="1" applyBorder="1" applyAlignment="1">
      <alignment horizontal="center" vertical="center" wrapText="1"/>
      <protection/>
    </xf>
    <xf numFmtId="0" fontId="14" fillId="0" borderId="48"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1" fillId="43" borderId="88" xfId="62" applyFont="1" applyFill="1" applyBorder="1" applyAlignment="1">
      <alignment horizontal="center" vertical="center" wrapText="1"/>
      <protection/>
    </xf>
    <xf numFmtId="0" fontId="11" fillId="43" borderId="89" xfId="62" applyFont="1" applyFill="1" applyBorder="1" applyAlignment="1">
      <alignment horizontal="center" vertical="center" wrapText="1"/>
      <protection/>
    </xf>
    <xf numFmtId="0" fontId="11" fillId="43" borderId="90" xfId="62" applyFont="1" applyFill="1" applyBorder="1" applyAlignment="1">
      <alignment horizontal="center" vertical="center" wrapText="1"/>
      <protection/>
    </xf>
    <xf numFmtId="0" fontId="11" fillId="0" borderId="110" xfId="62" applyFont="1" applyFill="1" applyBorder="1" applyAlignment="1">
      <alignment horizontal="center" vertical="center" wrapText="1"/>
      <protection/>
    </xf>
    <xf numFmtId="0" fontId="11" fillId="0" borderId="111" xfId="62" applyFont="1" applyFill="1" applyBorder="1" applyAlignment="1">
      <alignment horizontal="center" vertical="center" wrapText="1"/>
      <protection/>
    </xf>
    <xf numFmtId="0" fontId="11" fillId="0" borderId="112" xfId="62" applyFont="1" applyFill="1" applyBorder="1" applyAlignment="1">
      <alignment horizontal="center" vertical="center" wrapText="1"/>
      <protection/>
    </xf>
    <xf numFmtId="0" fontId="13" fillId="0" borderId="0" xfId="0" applyFont="1" applyAlignment="1">
      <alignment horizontal="left" wrapText="1"/>
    </xf>
    <xf numFmtId="0" fontId="13" fillId="0" borderId="38" xfId="0" applyFont="1" applyBorder="1" applyAlignment="1">
      <alignment horizontal="left" wrapText="1"/>
    </xf>
    <xf numFmtId="0" fontId="13" fillId="0" borderId="51" xfId="0" applyFont="1" applyBorder="1" applyAlignment="1">
      <alignment horizontal="left" wrapText="1"/>
    </xf>
    <xf numFmtId="0" fontId="13" fillId="0" borderId="76" xfId="0" applyFont="1" applyBorder="1" applyAlignment="1">
      <alignment horizontal="left"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120" xfId="0" applyFont="1" applyBorder="1" applyAlignment="1">
      <alignment horizontal="center" vertical="center" wrapText="1"/>
    </xf>
    <xf numFmtId="0" fontId="14" fillId="34" borderId="45" xfId="0" applyFont="1" applyFill="1" applyBorder="1" applyAlignment="1">
      <alignment horizontal="right" vertical="center"/>
    </xf>
    <xf numFmtId="0" fontId="14" fillId="34" borderId="46" xfId="0" applyFont="1" applyFill="1" applyBorder="1" applyAlignment="1">
      <alignment horizontal="right" vertical="center"/>
    </xf>
    <xf numFmtId="0" fontId="14" fillId="34" borderId="47" xfId="0" applyFont="1" applyFill="1" applyBorder="1" applyAlignment="1">
      <alignment horizontal="righ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Border="1" applyAlignment="1">
      <alignment horizontal="left"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1" fillId="43" borderId="44" xfId="0" applyFont="1" applyFill="1" applyBorder="1" applyAlignment="1">
      <alignment horizontal="center" vertical="center" wrapText="1"/>
    </xf>
    <xf numFmtId="0" fontId="11" fillId="43" borderId="0" xfId="0" applyFont="1" applyFill="1" applyBorder="1" applyAlignment="1">
      <alignment horizontal="center" vertical="center" wrapText="1"/>
    </xf>
    <xf numFmtId="0" fontId="11" fillId="43" borderId="38" xfId="0" applyFont="1" applyFill="1" applyBorder="1" applyAlignment="1">
      <alignment horizontal="center" vertical="center" wrapText="1"/>
    </xf>
    <xf numFmtId="0" fontId="14" fillId="0" borderId="68" xfId="0" applyFont="1" applyFill="1" applyBorder="1" applyAlignment="1">
      <alignment horizontal="left" vertical="center"/>
    </xf>
    <xf numFmtId="0" fontId="14" fillId="0" borderId="94" xfId="0" applyFont="1" applyFill="1" applyBorder="1" applyAlignment="1">
      <alignment horizontal="left" vertical="center"/>
    </xf>
    <xf numFmtId="0" fontId="14" fillId="0" borderId="73" xfId="0" applyFont="1" applyFill="1" applyBorder="1" applyAlignment="1">
      <alignment horizontal="left" vertical="center"/>
    </xf>
    <xf numFmtId="0" fontId="11" fillId="0" borderId="0" xfId="0" applyFont="1" applyBorder="1" applyAlignment="1">
      <alignment horizontal="center" vertical="center"/>
    </xf>
    <xf numFmtId="0" fontId="16" fillId="0" borderId="0" xfId="0" applyFont="1" applyBorder="1" applyAlignment="1">
      <alignment horizontal="left" vertical="center"/>
    </xf>
    <xf numFmtId="0" fontId="13" fillId="0" borderId="44" xfId="0" applyFont="1" applyBorder="1" applyAlignment="1">
      <alignment horizontal="center"/>
    </xf>
    <xf numFmtId="0" fontId="13" fillId="0" borderId="0" xfId="0" applyFont="1" applyBorder="1" applyAlignment="1">
      <alignment horizontal="center"/>
    </xf>
    <xf numFmtId="0" fontId="22" fillId="0" borderId="69" xfId="54" applyFont="1" applyFill="1" applyBorder="1" applyAlignment="1">
      <alignment horizontal="center" vertical="center"/>
      <protection/>
    </xf>
    <xf numFmtId="0" fontId="22" fillId="0" borderId="85" xfId="54" applyFont="1" applyFill="1" applyBorder="1" applyAlignment="1">
      <alignment horizontal="center" vertical="center"/>
      <protection/>
    </xf>
    <xf numFmtId="0" fontId="22" fillId="0" borderId="109" xfId="54" applyFont="1" applyFill="1" applyBorder="1" applyAlignment="1">
      <alignment horizontal="center" vertical="center"/>
      <protection/>
    </xf>
    <xf numFmtId="167" fontId="22" fillId="0" borderId="110" xfId="60" applyNumberFormat="1" applyFont="1" applyFill="1" applyBorder="1" applyAlignment="1">
      <alignment horizontal="center" vertical="center" wrapText="1"/>
      <protection/>
    </xf>
    <xf numFmtId="167" fontId="22" fillId="0" borderId="111" xfId="60" applyNumberFormat="1" applyFont="1" applyFill="1" applyBorder="1" applyAlignment="1">
      <alignment horizontal="center" vertical="center" wrapText="1"/>
      <protection/>
    </xf>
    <xf numFmtId="167" fontId="22" fillId="0" borderId="112" xfId="60" applyNumberFormat="1" applyFont="1" applyFill="1" applyBorder="1" applyAlignment="1">
      <alignment horizontal="center" vertical="center" wrapText="1"/>
      <protection/>
    </xf>
    <xf numFmtId="167" fontId="22" fillId="43" borderId="91" xfId="60" applyNumberFormat="1" applyFont="1" applyFill="1" applyBorder="1" applyAlignment="1">
      <alignment horizontal="center" vertical="center" wrapText="1"/>
      <protection/>
    </xf>
    <xf numFmtId="167" fontId="22" fillId="43" borderId="32" xfId="60" applyNumberFormat="1" applyFont="1" applyFill="1" applyBorder="1" applyAlignment="1">
      <alignment horizontal="center" vertical="center" wrapText="1"/>
      <protection/>
    </xf>
    <xf numFmtId="167" fontId="22" fillId="43" borderId="62" xfId="60" applyNumberFormat="1" applyFont="1" applyFill="1" applyBorder="1" applyAlignment="1">
      <alignment horizontal="center" vertical="center" wrapText="1"/>
      <protection/>
    </xf>
    <xf numFmtId="167" fontId="22" fillId="43" borderId="92" xfId="60" applyNumberFormat="1" applyFont="1" applyFill="1" applyBorder="1" applyAlignment="1">
      <alignment horizontal="center" vertical="center" wrapText="1"/>
      <protection/>
    </xf>
    <xf numFmtId="167" fontId="22" fillId="43" borderId="59" xfId="60" applyNumberFormat="1" applyFont="1" applyFill="1" applyBorder="1" applyAlignment="1">
      <alignment horizontal="center" vertical="center" wrapText="1"/>
      <protection/>
    </xf>
    <xf numFmtId="167" fontId="22" fillId="43" borderId="65" xfId="60" applyNumberFormat="1" applyFont="1" applyFill="1" applyBorder="1" applyAlignment="1">
      <alignment horizontal="center" vertical="center" wrapText="1"/>
      <protection/>
    </xf>
    <xf numFmtId="167" fontId="22" fillId="0" borderId="39" xfId="60" applyNumberFormat="1" applyFont="1" applyFill="1" applyBorder="1" applyAlignment="1">
      <alignment horizontal="right" vertical="center"/>
      <protection/>
    </xf>
    <xf numFmtId="0" fontId="22" fillId="0" borderId="39" xfId="54" applyFont="1" applyFill="1" applyBorder="1" applyAlignment="1">
      <alignment horizontal="center" vertical="center"/>
      <protection/>
    </xf>
    <xf numFmtId="0" fontId="100" fillId="35" borderId="44" xfId="0" applyFont="1" applyFill="1" applyBorder="1" applyAlignment="1">
      <alignment horizontal="center" vertical="center"/>
    </xf>
    <xf numFmtId="0" fontId="100" fillId="35" borderId="0" xfId="0" applyFont="1" applyFill="1" applyBorder="1" applyAlignment="1">
      <alignment horizontal="center" vertical="center"/>
    </xf>
    <xf numFmtId="0" fontId="100" fillId="35" borderId="38" xfId="0" applyFont="1" applyFill="1" applyBorder="1" applyAlignment="1">
      <alignment horizontal="center" vertical="center"/>
    </xf>
    <xf numFmtId="0" fontId="99" fillId="35" borderId="44"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38" xfId="0" applyFont="1" applyFill="1" applyBorder="1" applyAlignment="1">
      <alignment horizontal="center" vertical="center"/>
    </xf>
    <xf numFmtId="0" fontId="100" fillId="35" borderId="32" xfId="0" applyFont="1" applyFill="1" applyBorder="1" applyAlignment="1">
      <alignment horizontal="center" vertical="center"/>
    </xf>
    <xf numFmtId="0" fontId="100" fillId="35" borderId="65" xfId="0" applyFont="1" applyFill="1" applyBorder="1" applyAlignment="1">
      <alignment horizontal="center" vertical="center"/>
    </xf>
    <xf numFmtId="0" fontId="100" fillId="35" borderId="66" xfId="0" applyFont="1" applyFill="1" applyBorder="1" applyAlignment="1">
      <alignment horizontal="center"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67" fontId="22" fillId="0" borderId="69" xfId="60" applyNumberFormat="1" applyFont="1" applyBorder="1" applyAlignment="1">
      <alignment horizontal="center" vertical="center"/>
      <protection/>
    </xf>
    <xf numFmtId="167" fontId="22" fillId="0" borderId="85" xfId="60" applyNumberFormat="1" applyFont="1" applyBorder="1" applyAlignment="1">
      <alignment horizontal="center" vertical="center"/>
      <protection/>
    </xf>
    <xf numFmtId="167" fontId="22" fillId="0" borderId="109" xfId="60" applyNumberFormat="1" applyFont="1" applyBorder="1" applyAlignment="1">
      <alignment horizontal="center" vertical="center"/>
      <protection/>
    </xf>
    <xf numFmtId="167" fontId="23" fillId="0" borderId="39" xfId="60" applyNumberFormat="1" applyFont="1" applyBorder="1" applyAlignment="1">
      <alignment horizontal="left" vertical="center"/>
      <protection/>
    </xf>
    <xf numFmtId="167" fontId="55" fillId="0" borderId="121" xfId="60" applyNumberFormat="1" applyFont="1" applyBorder="1" applyAlignment="1">
      <alignment horizontal="center" vertical="center"/>
      <protection/>
    </xf>
    <xf numFmtId="167" fontId="55" fillId="0" borderId="122" xfId="60" applyNumberFormat="1" applyFont="1" applyBorder="1" applyAlignment="1">
      <alignment horizontal="center" vertical="center"/>
      <protection/>
    </xf>
    <xf numFmtId="0" fontId="55" fillId="0" borderId="17" xfId="0" applyFont="1" applyFill="1" applyBorder="1" applyAlignment="1">
      <alignment horizontal="right" vertical="center"/>
    </xf>
    <xf numFmtId="0" fontId="55" fillId="0" borderId="26" xfId="0" applyFont="1" applyFill="1" applyBorder="1" applyAlignment="1">
      <alignment horizontal="right" vertical="center"/>
    </xf>
    <xf numFmtId="0" fontId="57" fillId="0" borderId="27" xfId="0" applyFont="1" applyFill="1" applyBorder="1" applyAlignment="1">
      <alignment horizontal="right" vertical="center"/>
    </xf>
    <xf numFmtId="1" fontId="57" fillId="0" borderId="91" xfId="0" applyNumberFormat="1" applyFont="1" applyFill="1" applyBorder="1" applyAlignment="1">
      <alignment horizontal="center" vertical="center" wrapText="1"/>
    </xf>
    <xf numFmtId="1" fontId="57" fillId="0" borderId="92" xfId="0" applyNumberFormat="1" applyFont="1" applyFill="1" applyBorder="1" applyAlignment="1">
      <alignment horizontal="center" vertical="center" wrapText="1"/>
    </xf>
    <xf numFmtId="1" fontId="57" fillId="0" borderId="93" xfId="0" applyNumberFormat="1" applyFont="1" applyFill="1" applyBorder="1" applyAlignment="1">
      <alignment horizontal="center" vertical="center" wrapText="1"/>
    </xf>
    <xf numFmtId="0" fontId="57" fillId="37" borderId="45" xfId="0" applyFont="1" applyFill="1" applyBorder="1" applyAlignment="1">
      <alignment horizontal="center" vertical="center"/>
    </xf>
    <xf numFmtId="0" fontId="57" fillId="37" borderId="46" xfId="0" applyFont="1" applyFill="1" applyBorder="1" applyAlignment="1">
      <alignment horizontal="center" vertical="center"/>
    </xf>
    <xf numFmtId="0" fontId="57" fillId="37" borderId="49" xfId="0" applyFont="1" applyFill="1" applyBorder="1" applyAlignment="1">
      <alignment horizontal="center" vertical="center"/>
    </xf>
    <xf numFmtId="167" fontId="55" fillId="0" borderId="123" xfId="60" applyNumberFormat="1" applyFont="1" applyBorder="1" applyAlignment="1">
      <alignment horizontal="center" vertical="center"/>
      <protection/>
    </xf>
    <xf numFmtId="167" fontId="55" fillId="0" borderId="124" xfId="60" applyNumberFormat="1" applyFont="1" applyBorder="1" applyAlignment="1">
      <alignment horizontal="center" vertical="center"/>
      <protection/>
    </xf>
    <xf numFmtId="0" fontId="57" fillId="37" borderId="69" xfId="0" applyFont="1" applyFill="1" applyBorder="1" applyAlignment="1">
      <alignment horizontal="center" vertical="center"/>
    </xf>
    <xf numFmtId="0" fontId="57" fillId="37" borderId="85" xfId="0" applyFont="1" applyFill="1" applyBorder="1" applyAlignment="1">
      <alignment horizontal="center" vertical="center"/>
    </xf>
    <xf numFmtId="0" fontId="57" fillId="37" borderId="109" xfId="0" applyFont="1" applyFill="1" applyBorder="1" applyAlignment="1">
      <alignment horizontal="center" vertical="center"/>
    </xf>
    <xf numFmtId="0" fontId="57" fillId="37" borderId="69" xfId="0" applyFont="1" applyFill="1" applyBorder="1" applyAlignment="1">
      <alignment horizontal="center" vertical="center" wrapText="1"/>
    </xf>
    <xf numFmtId="0" fontId="57" fillId="37" borderId="85" xfId="0" applyFont="1" applyFill="1" applyBorder="1" applyAlignment="1">
      <alignment horizontal="center" vertical="center" wrapText="1"/>
    </xf>
    <xf numFmtId="0" fontId="57" fillId="37" borderId="109" xfId="0" applyFont="1" applyFill="1" applyBorder="1" applyAlignment="1">
      <alignment horizontal="center" vertical="center" wrapText="1"/>
    </xf>
    <xf numFmtId="0" fontId="57" fillId="35" borderId="53" xfId="54" applyFont="1" applyFill="1" applyBorder="1" applyAlignment="1">
      <alignment horizontal="center" vertical="center"/>
      <protection/>
    </xf>
    <xf numFmtId="0" fontId="57" fillId="35" borderId="54" xfId="54" applyFont="1" applyFill="1" applyBorder="1" applyAlignment="1">
      <alignment horizontal="center" vertical="center"/>
      <protection/>
    </xf>
    <xf numFmtId="0" fontId="57" fillId="35" borderId="44" xfId="54" applyFont="1" applyFill="1" applyBorder="1" applyAlignment="1">
      <alignment horizontal="center" vertical="center"/>
      <protection/>
    </xf>
    <xf numFmtId="0" fontId="57" fillId="35" borderId="0" xfId="54" applyFont="1" applyFill="1" applyBorder="1" applyAlignment="1">
      <alignment horizontal="center" vertical="center"/>
      <protection/>
    </xf>
    <xf numFmtId="0" fontId="57" fillId="35" borderId="38" xfId="54" applyFont="1" applyFill="1" applyBorder="1" applyAlignment="1">
      <alignment horizontal="center" vertical="center"/>
      <protection/>
    </xf>
    <xf numFmtId="0" fontId="55" fillId="35" borderId="44" xfId="54" applyFont="1" applyFill="1" applyBorder="1" applyAlignment="1">
      <alignment horizontal="center" vertical="center"/>
      <protection/>
    </xf>
    <xf numFmtId="0" fontId="55" fillId="35" borderId="0" xfId="54" applyFont="1" applyFill="1" applyBorder="1" applyAlignment="1">
      <alignment horizontal="center" vertical="center"/>
      <protection/>
    </xf>
    <xf numFmtId="0" fontId="55" fillId="35" borderId="38" xfId="54" applyFont="1" applyFill="1" applyBorder="1" applyAlignment="1">
      <alignment horizontal="center" vertical="center"/>
      <protection/>
    </xf>
    <xf numFmtId="0" fontId="57" fillId="35" borderId="65" xfId="54" applyFont="1" applyFill="1" applyBorder="1" applyAlignment="1">
      <alignment horizontal="center" vertical="center"/>
      <protection/>
    </xf>
    <xf numFmtId="0" fontId="57" fillId="35" borderId="66" xfId="54" applyFont="1" applyFill="1" applyBorder="1" applyAlignment="1">
      <alignment horizontal="center" vertical="center"/>
      <protection/>
    </xf>
    <xf numFmtId="167" fontId="57" fillId="14" borderId="36" xfId="60" applyNumberFormat="1" applyFont="1" applyFill="1" applyBorder="1" applyAlignment="1">
      <alignment horizontal="center" vertical="center" wrapText="1"/>
      <protection/>
    </xf>
    <xf numFmtId="167" fontId="57" fillId="14" borderId="125" xfId="60" applyNumberFormat="1" applyFont="1" applyFill="1" applyBorder="1" applyAlignment="1">
      <alignment horizontal="center" vertical="center" wrapText="1"/>
      <protection/>
    </xf>
    <xf numFmtId="167" fontId="57" fillId="14" borderId="90" xfId="60" applyNumberFormat="1" applyFont="1" applyFill="1" applyBorder="1" applyAlignment="1">
      <alignment horizontal="center" vertical="center" wrapText="1"/>
      <protection/>
    </xf>
    <xf numFmtId="0" fontId="25" fillId="0" borderId="24" xfId="0" applyFont="1" applyFill="1" applyBorder="1" applyAlignment="1">
      <alignment horizontal="left" vertical="center" wrapText="1"/>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222">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924425" y="123825"/>
          <a:ext cx="0" cy="66675"/>
        </a:xfrm>
        <a:prstGeom prst="rect">
          <a:avLst/>
        </a:prstGeom>
        <a:noFill/>
        <a:ln w="9525" cmpd="sng">
          <a:noFill/>
        </a:ln>
      </xdr:spPr>
    </xdr:pic>
    <xdr:clientData/>
  </xdr:twoCellAnchor>
  <xdr:twoCellAnchor editAs="oneCell">
    <xdr:from>
      <xdr:col>6</xdr:col>
      <xdr:colOff>66675</xdr:colOff>
      <xdr:row>0</xdr:row>
      <xdr:rowOff>57150</xdr:rowOff>
    </xdr:from>
    <xdr:to>
      <xdr:col>7</xdr:col>
      <xdr:colOff>628650</xdr:colOff>
      <xdr:row>4</xdr:row>
      <xdr:rowOff>0</xdr:rowOff>
    </xdr:to>
    <xdr:pic>
      <xdr:nvPicPr>
        <xdr:cNvPr id="2" name="Imagem 3"/>
        <xdr:cNvPicPr preferRelativeResize="1">
          <a:picLocks noChangeAspect="1"/>
        </xdr:cNvPicPr>
      </xdr:nvPicPr>
      <xdr:blipFill>
        <a:blip r:embed="rId2"/>
        <a:stretch>
          <a:fillRect/>
        </a:stretch>
      </xdr:blipFill>
      <xdr:spPr>
        <a:xfrm>
          <a:off x="7086600" y="57150"/>
          <a:ext cx="160972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2295525</xdr:colOff>
      <xdr:row>0</xdr:row>
      <xdr:rowOff>104775</xdr:rowOff>
    </xdr:from>
    <xdr:to>
      <xdr:col>3</xdr:col>
      <xdr:colOff>76200</xdr:colOff>
      <xdr:row>1</xdr:row>
      <xdr:rowOff>561975</xdr:rowOff>
    </xdr:to>
    <xdr:pic>
      <xdr:nvPicPr>
        <xdr:cNvPr id="1" name="Imagem 3"/>
        <xdr:cNvPicPr preferRelativeResize="1">
          <a:picLocks noChangeAspect="1"/>
        </xdr:cNvPicPr>
      </xdr:nvPicPr>
      <xdr:blipFill>
        <a:blip r:embed="rId1"/>
        <a:stretch>
          <a:fillRect/>
        </a:stretch>
      </xdr:blipFill>
      <xdr:spPr>
        <a:xfrm>
          <a:off x="3600450" y="10477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38100</xdr:rowOff>
    </xdr:from>
    <xdr:to>
      <xdr:col>5</xdr:col>
      <xdr:colOff>123825</xdr:colOff>
      <xdr:row>1</xdr:row>
      <xdr:rowOff>781050</xdr:rowOff>
    </xdr:to>
    <xdr:pic>
      <xdr:nvPicPr>
        <xdr:cNvPr id="1" name="Imagem 1"/>
        <xdr:cNvPicPr preferRelativeResize="1">
          <a:picLocks noChangeAspect="1"/>
        </xdr:cNvPicPr>
      </xdr:nvPicPr>
      <xdr:blipFill>
        <a:blip r:embed="rId1"/>
        <a:stretch>
          <a:fillRect/>
        </a:stretch>
      </xdr:blipFill>
      <xdr:spPr>
        <a:xfrm>
          <a:off x="4067175" y="209550"/>
          <a:ext cx="1685925" cy="742950"/>
        </a:xfrm>
        <a:prstGeom prst="rect">
          <a:avLst/>
        </a:prstGeom>
        <a:noFill/>
        <a:ln w="9525" cmpd="sng">
          <a:noFill/>
        </a:ln>
      </xdr:spPr>
    </xdr:pic>
    <xdr:clientData/>
  </xdr:twoCellAnchor>
  <xdr:oneCellAnchor>
    <xdr:from>
      <xdr:col>1</xdr:col>
      <xdr:colOff>19050</xdr:colOff>
      <xdr:row>46</xdr:row>
      <xdr:rowOff>161925</xdr:rowOff>
    </xdr:from>
    <xdr:ext cx="1571625" cy="1790700"/>
    <xdr:sp>
      <xdr:nvSpPr>
        <xdr:cNvPr id="2" name="CaixaDeTexto 4"/>
        <xdr:cNvSpPr txBox="1">
          <a:spLocks noChangeArrowheads="1"/>
        </xdr:cNvSpPr>
      </xdr:nvSpPr>
      <xdr:spPr>
        <a:xfrm>
          <a:off x="14573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46</xdr:row>
      <xdr:rowOff>161925</xdr:rowOff>
    </xdr:from>
    <xdr:ext cx="1571625" cy="1790700"/>
    <xdr:sp>
      <xdr:nvSpPr>
        <xdr:cNvPr id="3" name="CaixaDeTexto 6"/>
        <xdr:cNvSpPr txBox="1">
          <a:spLocks noChangeArrowheads="1"/>
        </xdr:cNvSpPr>
      </xdr:nvSpPr>
      <xdr:spPr>
        <a:xfrm>
          <a:off x="73628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3943350</xdr:colOff>
      <xdr:row>0</xdr:row>
      <xdr:rowOff>180975</xdr:rowOff>
    </xdr:from>
    <xdr:to>
      <xdr:col>5</xdr:col>
      <xdr:colOff>6296025</xdr:colOff>
      <xdr:row>3</xdr:row>
      <xdr:rowOff>285750</xdr:rowOff>
    </xdr:to>
    <xdr:pic>
      <xdr:nvPicPr>
        <xdr:cNvPr id="1" name="Imagem 3"/>
        <xdr:cNvPicPr preferRelativeResize="1">
          <a:picLocks noChangeAspect="1"/>
        </xdr:cNvPicPr>
      </xdr:nvPicPr>
      <xdr:blipFill>
        <a:blip r:embed="rId1"/>
        <a:stretch>
          <a:fillRect/>
        </a:stretch>
      </xdr:blipFill>
      <xdr:spPr>
        <a:xfrm>
          <a:off x="8277225" y="180975"/>
          <a:ext cx="235267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1743075</xdr:colOff>
      <xdr:row>0</xdr:row>
      <xdr:rowOff>228600</xdr:rowOff>
    </xdr:from>
    <xdr:to>
      <xdr:col>12</xdr:col>
      <xdr:colOff>2933700</xdr:colOff>
      <xdr:row>3</xdr:row>
      <xdr:rowOff>381000</xdr:rowOff>
    </xdr:to>
    <xdr:pic>
      <xdr:nvPicPr>
        <xdr:cNvPr id="1" name="Imagem 3"/>
        <xdr:cNvPicPr preferRelativeResize="1">
          <a:picLocks noChangeAspect="1"/>
        </xdr:cNvPicPr>
      </xdr:nvPicPr>
      <xdr:blipFill>
        <a:blip r:embed="rId1"/>
        <a:stretch>
          <a:fillRect/>
        </a:stretch>
      </xdr:blipFill>
      <xdr:spPr>
        <a:xfrm>
          <a:off x="33337500" y="228600"/>
          <a:ext cx="4238625" cy="1666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0</xdr:row>
      <xdr:rowOff>28575</xdr:rowOff>
    </xdr:from>
    <xdr:to>
      <xdr:col>5</xdr:col>
      <xdr:colOff>771525</xdr:colOff>
      <xdr:row>3</xdr:row>
      <xdr:rowOff>304800</xdr:rowOff>
    </xdr:to>
    <xdr:pic>
      <xdr:nvPicPr>
        <xdr:cNvPr id="1" name="Imagem 3"/>
        <xdr:cNvPicPr preferRelativeResize="1">
          <a:picLocks noChangeAspect="1"/>
        </xdr:cNvPicPr>
      </xdr:nvPicPr>
      <xdr:blipFill>
        <a:blip r:embed="rId1"/>
        <a:stretch>
          <a:fillRect/>
        </a:stretch>
      </xdr:blipFill>
      <xdr:spPr>
        <a:xfrm>
          <a:off x="13411200" y="28575"/>
          <a:ext cx="3981450" cy="1790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495300</xdr:colOff>
      <xdr:row>0</xdr:row>
      <xdr:rowOff>38100</xdr:rowOff>
    </xdr:from>
    <xdr:to>
      <xdr:col>8</xdr:col>
      <xdr:colOff>266700</xdr:colOff>
      <xdr:row>2</xdr:row>
      <xdr:rowOff>219075</xdr:rowOff>
    </xdr:to>
    <xdr:pic>
      <xdr:nvPicPr>
        <xdr:cNvPr id="1" name="Imagem 3"/>
        <xdr:cNvPicPr preferRelativeResize="1">
          <a:picLocks noChangeAspect="1"/>
        </xdr:cNvPicPr>
      </xdr:nvPicPr>
      <xdr:blipFill>
        <a:blip r:embed="rId1"/>
        <a:stretch>
          <a:fillRect/>
        </a:stretch>
      </xdr:blipFill>
      <xdr:spPr>
        <a:xfrm>
          <a:off x="6505575" y="38100"/>
          <a:ext cx="14668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828675</xdr:colOff>
      <xdr:row>0</xdr:row>
      <xdr:rowOff>19050</xdr:rowOff>
    </xdr:from>
    <xdr:to>
      <xdr:col>4</xdr:col>
      <xdr:colOff>238125</xdr:colOff>
      <xdr:row>1</xdr:row>
      <xdr:rowOff>419100</xdr:rowOff>
    </xdr:to>
    <xdr:pic>
      <xdr:nvPicPr>
        <xdr:cNvPr id="1" name="Imagem 3"/>
        <xdr:cNvPicPr preferRelativeResize="1">
          <a:picLocks noChangeAspect="1"/>
        </xdr:cNvPicPr>
      </xdr:nvPicPr>
      <xdr:blipFill>
        <a:blip r:embed="rId1"/>
        <a:stretch>
          <a:fillRect/>
        </a:stretch>
      </xdr:blipFill>
      <xdr:spPr>
        <a:xfrm>
          <a:off x="3905250" y="19050"/>
          <a:ext cx="112395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R45"/>
  <sheetViews>
    <sheetView view="pageBreakPreview" zoomScale="70" zoomScaleSheetLayoutView="70" zoomScalePageLayoutView="0" workbookViewId="0" topLeftCell="A1">
      <selection activeCell="D15" sqref="D15"/>
    </sheetView>
  </sheetViews>
  <sheetFormatPr defaultColWidth="9.140625" defaultRowHeight="12.75"/>
  <cols>
    <col min="1" max="1" width="6.7109375" style="394" bestFit="1" customWidth="1"/>
    <col min="2" max="2" width="20.7109375" style="394" customWidth="1"/>
    <col min="3" max="3" width="25.7109375" style="394" bestFit="1" customWidth="1"/>
    <col min="4" max="4" width="20.7109375" style="394" customWidth="1"/>
    <col min="5" max="7" width="15.7109375" style="394" customWidth="1"/>
    <col min="8" max="8" width="18.28125" style="394" bestFit="1" customWidth="1"/>
    <col min="9" max="9" width="17.28125" style="394" bestFit="1" customWidth="1"/>
    <col min="10" max="10" width="16.140625" style="394" bestFit="1" customWidth="1"/>
    <col min="11" max="11" width="16.140625" style="394" hidden="1" customWidth="1"/>
    <col min="12" max="12" width="21.140625" style="394" bestFit="1" customWidth="1"/>
    <col min="13" max="13" width="20.140625" style="394" hidden="1" customWidth="1"/>
    <col min="14" max="14" width="20.140625" style="394" customWidth="1"/>
    <col min="15" max="15" width="19.421875" style="394" bestFit="1" customWidth="1"/>
    <col min="16" max="16" width="17.7109375" style="394" bestFit="1" customWidth="1"/>
    <col min="17" max="17" width="15.421875" style="394" bestFit="1" customWidth="1"/>
    <col min="18" max="18" width="13.8515625" style="394" bestFit="1" customWidth="1"/>
    <col min="19" max="16384" width="9.140625" style="394" customWidth="1"/>
  </cols>
  <sheetData>
    <row r="1" spans="1:15" ht="15" customHeight="1">
      <c r="A1" s="808"/>
      <c r="B1" s="809"/>
      <c r="C1" s="809"/>
      <c r="D1" s="809"/>
      <c r="E1" s="809"/>
      <c r="F1" s="809"/>
      <c r="G1" s="809"/>
      <c r="H1" s="809"/>
      <c r="I1" s="809"/>
      <c r="J1" s="809"/>
      <c r="K1" s="809"/>
      <c r="L1" s="809"/>
      <c r="M1" s="809"/>
      <c r="N1" s="809"/>
      <c r="O1" s="810"/>
    </row>
    <row r="2" spans="1:15" ht="15" customHeight="1">
      <c r="A2" s="802"/>
      <c r="B2" s="803"/>
      <c r="C2" s="803"/>
      <c r="D2" s="803"/>
      <c r="E2" s="803"/>
      <c r="F2" s="803"/>
      <c r="G2" s="803"/>
      <c r="H2" s="803"/>
      <c r="I2" s="803"/>
      <c r="J2" s="803"/>
      <c r="K2" s="803"/>
      <c r="L2" s="803"/>
      <c r="M2" s="803"/>
      <c r="N2" s="803"/>
      <c r="O2" s="804"/>
    </row>
    <row r="3" spans="1:15" ht="15" customHeight="1">
      <c r="A3" s="805"/>
      <c r="B3" s="806"/>
      <c r="C3" s="806"/>
      <c r="D3" s="806"/>
      <c r="E3" s="806"/>
      <c r="F3" s="806"/>
      <c r="G3" s="806"/>
      <c r="H3" s="806"/>
      <c r="I3" s="806"/>
      <c r="J3" s="806"/>
      <c r="K3" s="806"/>
      <c r="L3" s="806"/>
      <c r="M3" s="806"/>
      <c r="N3" s="806"/>
      <c r="O3" s="807"/>
    </row>
    <row r="4" spans="1:15" ht="15" customHeight="1">
      <c r="A4" s="805"/>
      <c r="B4" s="806"/>
      <c r="C4" s="806"/>
      <c r="D4" s="806"/>
      <c r="E4" s="806"/>
      <c r="F4" s="806"/>
      <c r="G4" s="806"/>
      <c r="H4" s="806"/>
      <c r="I4" s="806"/>
      <c r="J4" s="806"/>
      <c r="K4" s="806"/>
      <c r="L4" s="806"/>
      <c r="M4" s="806"/>
      <c r="N4" s="806"/>
      <c r="O4" s="807"/>
    </row>
    <row r="5" spans="1:15" ht="24.75" customHeight="1">
      <c r="A5" s="802" t="s">
        <v>19</v>
      </c>
      <c r="B5" s="803"/>
      <c r="C5" s="803"/>
      <c r="D5" s="803"/>
      <c r="E5" s="803"/>
      <c r="F5" s="803"/>
      <c r="G5" s="803"/>
      <c r="H5" s="803"/>
      <c r="I5" s="803"/>
      <c r="J5" s="803"/>
      <c r="K5" s="803"/>
      <c r="L5" s="803"/>
      <c r="M5" s="803"/>
      <c r="N5" s="803"/>
      <c r="O5" s="804"/>
    </row>
    <row r="6" spans="1:15" ht="15" customHeight="1">
      <c r="A6" s="805" t="s">
        <v>193</v>
      </c>
      <c r="B6" s="806"/>
      <c r="C6" s="806"/>
      <c r="D6" s="806"/>
      <c r="E6" s="806"/>
      <c r="F6" s="806"/>
      <c r="G6" s="806"/>
      <c r="H6" s="806"/>
      <c r="I6" s="806"/>
      <c r="J6" s="806"/>
      <c r="K6" s="806"/>
      <c r="L6" s="806"/>
      <c r="M6" s="806"/>
      <c r="N6" s="806"/>
      <c r="O6" s="807"/>
    </row>
    <row r="7" spans="1:15" ht="15" customHeight="1">
      <c r="A7" s="805" t="s">
        <v>18</v>
      </c>
      <c r="B7" s="806"/>
      <c r="C7" s="806"/>
      <c r="D7" s="806"/>
      <c r="E7" s="806"/>
      <c r="F7" s="806"/>
      <c r="G7" s="806"/>
      <c r="H7" s="806"/>
      <c r="I7" s="806"/>
      <c r="J7" s="806"/>
      <c r="K7" s="806"/>
      <c r="L7" s="806"/>
      <c r="M7" s="806"/>
      <c r="N7" s="806"/>
      <c r="O7" s="807"/>
    </row>
    <row r="8" spans="1:15" ht="15" customHeight="1" thickBot="1">
      <c r="A8" s="395"/>
      <c r="B8" s="396"/>
      <c r="C8" s="396"/>
      <c r="D8" s="396"/>
      <c r="E8" s="396"/>
      <c r="F8" s="396"/>
      <c r="G8" s="396"/>
      <c r="H8" s="396"/>
      <c r="I8" s="396"/>
      <c r="J8" s="396"/>
      <c r="K8" s="396"/>
      <c r="L8" s="396"/>
      <c r="M8" s="396"/>
      <c r="N8" s="396"/>
      <c r="O8" s="397"/>
    </row>
    <row r="9" spans="1:15" ht="39" customHeight="1" thickBot="1" thickTop="1">
      <c r="A9" s="811" t="s">
        <v>560</v>
      </c>
      <c r="B9" s="812"/>
      <c r="C9" s="812"/>
      <c r="D9" s="812"/>
      <c r="E9" s="812"/>
      <c r="F9" s="812"/>
      <c r="G9" s="812"/>
      <c r="H9" s="812"/>
      <c r="I9" s="812"/>
      <c r="J9" s="812"/>
      <c r="K9" s="812"/>
      <c r="L9" s="812"/>
      <c r="M9" s="812"/>
      <c r="N9" s="812"/>
      <c r="O9" s="813"/>
    </row>
    <row r="10" spans="1:15" ht="35.25" customHeight="1" thickTop="1">
      <c r="A10" s="814"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B10" s="815"/>
      <c r="C10" s="815"/>
      <c r="D10" s="815"/>
      <c r="E10" s="815"/>
      <c r="F10" s="815"/>
      <c r="G10" s="815"/>
      <c r="H10" s="815"/>
      <c r="I10" s="815"/>
      <c r="J10" s="815"/>
      <c r="K10" s="815"/>
      <c r="L10" s="815"/>
      <c r="M10" s="815"/>
      <c r="N10" s="815"/>
      <c r="O10" s="816"/>
    </row>
    <row r="11" spans="1:15" ht="51.75">
      <c r="A11" s="723" t="s">
        <v>6</v>
      </c>
      <c r="B11" s="724" t="s">
        <v>766</v>
      </c>
      <c r="C11" s="724" t="s">
        <v>357</v>
      </c>
      <c r="D11" s="724" t="s">
        <v>358</v>
      </c>
      <c r="E11" s="724" t="s">
        <v>377</v>
      </c>
      <c r="F11" s="724" t="s">
        <v>355</v>
      </c>
      <c r="G11" s="724" t="s">
        <v>767</v>
      </c>
      <c r="H11" s="724" t="s">
        <v>1</v>
      </c>
      <c r="I11" s="724" t="s">
        <v>551</v>
      </c>
      <c r="J11" s="724" t="s">
        <v>554</v>
      </c>
      <c r="K11" s="724" t="s">
        <v>553</v>
      </c>
      <c r="L11" s="724" t="s">
        <v>722</v>
      </c>
      <c r="M11" s="724" t="s">
        <v>552</v>
      </c>
      <c r="N11" s="724" t="s">
        <v>11</v>
      </c>
      <c r="O11" s="725" t="s">
        <v>23</v>
      </c>
    </row>
    <row r="12" spans="1:18" s="384" customFormat="1" ht="39.75" customHeight="1">
      <c r="A12" s="378">
        <v>1</v>
      </c>
      <c r="B12" s="796" t="s">
        <v>806</v>
      </c>
      <c r="C12" s="379" t="s">
        <v>807</v>
      </c>
      <c r="D12" s="380" t="s">
        <v>808</v>
      </c>
      <c r="E12" s="380">
        <f>62*2</f>
        <v>124</v>
      </c>
      <c r="F12" s="381">
        <v>6</v>
      </c>
      <c r="G12" s="381">
        <f>E12*F12</f>
        <v>744</v>
      </c>
      <c r="H12" s="382">
        <f>('ORÇAMENTO GERAL'!$K$22/COUNTIF($E$12:$E$31,"&gt;0"))</f>
        <v>6571.09</v>
      </c>
      <c r="I12" s="382">
        <f>'MC-DRE'!AC20+'MC-DRE'!AC48+'MC-DRE'!AC76+'MC-DRE'!AC104+'MC-DRE'!AC132+'MC-DRE'!AC160+'MC-DRE'!AC184+'MC-DRE'!AF184+'MC-DRE'!AC208+'MC-DRE'!AF208+'MC-DRE'!AI208</f>
        <v>136521.35</v>
      </c>
      <c r="J12" s="382">
        <f>'MC-PAV'!AD18</f>
        <v>0</v>
      </c>
      <c r="K12" s="382">
        <f>'MC-PAV'!AJ18</f>
        <v>0</v>
      </c>
      <c r="L12" s="382">
        <f>'MC-TER'!AR20</f>
        <v>0</v>
      </c>
      <c r="M12" s="382">
        <f>'MC-PAV'!AU18</f>
        <v>0</v>
      </c>
      <c r="N12" s="382">
        <f>('ORÇAMENTO GERAL'!$K$150/COUNTIF($E$12:$E$31,"&gt;0"))</f>
        <v>7269.25</v>
      </c>
      <c r="O12" s="383">
        <f>H12+I12+J12+K12+L12+M12+N12</f>
        <v>150361.69</v>
      </c>
      <c r="Q12" s="385"/>
      <c r="R12" s="386"/>
    </row>
    <row r="13" spans="1:15" s="384" customFormat="1" ht="39.75" customHeight="1">
      <c r="A13" s="387">
        <v>2</v>
      </c>
      <c r="B13" s="796" t="s">
        <v>809</v>
      </c>
      <c r="C13" s="379" t="s">
        <v>810</v>
      </c>
      <c r="D13" s="380" t="s">
        <v>808</v>
      </c>
      <c r="E13" s="380">
        <v>246</v>
      </c>
      <c r="F13" s="381">
        <v>5</v>
      </c>
      <c r="G13" s="381">
        <f>E13*F13</f>
        <v>1230</v>
      </c>
      <c r="H13" s="382">
        <f>('ORÇAMENTO GERAL'!$K$22/COUNTIF($E$12:$E$31,"&gt;0"))</f>
        <v>6571.09</v>
      </c>
      <c r="I13" s="382">
        <f>'MC-DRE'!AC21+'MC-DRE'!AC49+'MC-DRE'!AC77+'MC-DRE'!AC105+'MC-DRE'!AC133+'MC-DRE'!AC161+'MC-DRE'!AC185+'MC-DRE'!AF185+'MC-DRE'!AC209+'MC-DRE'!AF209+'MC-DRE'!AI209</f>
        <v>280117.64</v>
      </c>
      <c r="J13" s="382">
        <f>'MC-PAV'!AD19</f>
        <v>0</v>
      </c>
      <c r="K13" s="382">
        <f>'MC-PAV'!AJ19</f>
        <v>0</v>
      </c>
      <c r="L13" s="382">
        <f>'MC-TER'!AR21</f>
        <v>0</v>
      </c>
      <c r="M13" s="382">
        <f>'MC-PAV'!AU19</f>
        <v>0</v>
      </c>
      <c r="N13" s="382">
        <f>('ORÇAMENTO GERAL'!$K$150/COUNTIF($E$12:$E$31,"&gt;0"))</f>
        <v>7269.25</v>
      </c>
      <c r="O13" s="383">
        <f>H13+I13+J13+K13+L13+M13+N13</f>
        <v>293957.98</v>
      </c>
    </row>
    <row r="14" spans="1:15" s="384" customFormat="1" ht="39.75" customHeight="1">
      <c r="A14" s="387">
        <v>3</v>
      </c>
      <c r="B14" s="1397" t="s">
        <v>811</v>
      </c>
      <c r="C14" s="389" t="s">
        <v>817</v>
      </c>
      <c r="D14" s="380" t="s">
        <v>808</v>
      </c>
      <c r="E14" s="380">
        <v>30</v>
      </c>
      <c r="F14" s="381">
        <v>10</v>
      </c>
      <c r="G14" s="381">
        <f>E14*F14</f>
        <v>300</v>
      </c>
      <c r="H14" s="382">
        <f>('ORÇAMENTO GERAL'!$K$22/COUNTIF($E$12:$E$31,"&gt;0"))</f>
        <v>6571.09</v>
      </c>
      <c r="I14" s="382">
        <f>'MC-DRE'!AC22+'MC-DRE'!AC50+'MC-DRE'!AC78+'MC-DRE'!AC106+'MC-DRE'!AC134+'MC-DRE'!AC162+'MC-DRE'!AC186+'MC-DRE'!AF186+'MC-DRE'!AC210+'MC-DRE'!AF210+'MC-DRE'!AI210</f>
        <v>45359.02</v>
      </c>
      <c r="J14" s="382">
        <f>'MC-PAV'!AD20</f>
        <v>0</v>
      </c>
      <c r="K14" s="382">
        <f>'MC-PAV'!AJ20</f>
        <v>0</v>
      </c>
      <c r="L14" s="382">
        <f>'MC-TER'!AR22</f>
        <v>0</v>
      </c>
      <c r="M14" s="382">
        <f>'MC-PAV'!AU20</f>
        <v>0</v>
      </c>
      <c r="N14" s="382">
        <f>('ORÇAMENTO GERAL'!$K$150/COUNTIF($E$12:$E$31,"&gt;0"))</f>
        <v>7269.25</v>
      </c>
      <c r="O14" s="383">
        <f>H14+I14+J14+K14+L14+M14+N14</f>
        <v>59199.36</v>
      </c>
    </row>
    <row r="15" spans="1:15" s="384" customFormat="1" ht="39.75" customHeight="1">
      <c r="A15" s="387">
        <v>4</v>
      </c>
      <c r="B15" s="797" t="s">
        <v>812</v>
      </c>
      <c r="C15" s="379" t="s">
        <v>813</v>
      </c>
      <c r="D15" s="380" t="s">
        <v>808</v>
      </c>
      <c r="E15" s="380">
        <v>150</v>
      </c>
      <c r="F15" s="381">
        <v>3.5</v>
      </c>
      <c r="G15" s="381">
        <f>E15*F15</f>
        <v>525</v>
      </c>
      <c r="H15" s="382">
        <f>('ORÇAMENTO GERAL'!$K$22/COUNTIF($E$12:$E$31,"&gt;0"))</f>
        <v>6571.09</v>
      </c>
      <c r="I15" s="382">
        <f>'MC-DRE'!AC23+'MC-DRE'!AC51+'MC-DRE'!AC79+'MC-DRE'!AC107+'MC-DRE'!AC135+'MC-DRE'!AC163+'MC-DRE'!AC187+'MC-DRE'!AF187+'MC-DRE'!AC211+'MC-DRE'!AF211+'MC-DRE'!AI211</f>
        <v>128405.37</v>
      </c>
      <c r="J15" s="382">
        <f>'MC-PAV'!AD21</f>
        <v>30374.4</v>
      </c>
      <c r="K15" s="382">
        <f>'MC-PAV'!AJ21</f>
        <v>0</v>
      </c>
      <c r="L15" s="382">
        <f>'MC-TER'!AR23</f>
        <v>103791.2</v>
      </c>
      <c r="M15" s="382">
        <f>'MC-PAV'!AU21</f>
        <v>0</v>
      </c>
      <c r="N15" s="382">
        <f>('ORÇAMENTO GERAL'!$K$150/COUNTIF($E$12:$E$31,"&gt;0"))</f>
        <v>7269.25</v>
      </c>
      <c r="O15" s="383">
        <f>H15+I15+J15+K15+L15+M15+N15</f>
        <v>276411.31</v>
      </c>
    </row>
    <row r="16" spans="1:15" s="384" customFormat="1" ht="39.75" customHeight="1" thickBot="1">
      <c r="A16" s="387">
        <v>5</v>
      </c>
      <c r="B16" s="798" t="s">
        <v>814</v>
      </c>
      <c r="C16" s="379" t="s">
        <v>815</v>
      </c>
      <c r="D16" s="380" t="s">
        <v>808</v>
      </c>
      <c r="E16" s="380">
        <v>185</v>
      </c>
      <c r="F16" s="381">
        <v>5</v>
      </c>
      <c r="G16" s="381">
        <f>E16*F16</f>
        <v>925</v>
      </c>
      <c r="H16" s="382">
        <f>('ORÇAMENTO GERAL'!$K$22/COUNTIF($E$12:$E$31,"&gt;0"))-0.01</f>
        <v>6571.08</v>
      </c>
      <c r="I16" s="382">
        <f>'MC-DRE'!AC24+'MC-DRE'!AC52+'MC-DRE'!AC80+'MC-DRE'!AC108+'MC-DRE'!AC136+'MC-DRE'!AC164+'MC-DRE'!AC188+'MC-DRE'!AF188+'MC-DRE'!AC212+'MC-DRE'!AF212+'MC-DRE'!AI212+0.01</f>
        <v>197472.11</v>
      </c>
      <c r="J16" s="382">
        <f>'MC-PAV'!AD22</f>
        <v>37462.64</v>
      </c>
      <c r="K16" s="382">
        <f>'MC-PAV'!AJ22</f>
        <v>0</v>
      </c>
      <c r="L16" s="382">
        <f>'MC-TER'!AR24</f>
        <v>170678.86</v>
      </c>
      <c r="M16" s="382">
        <f>'MC-PAV'!AU22</f>
        <v>0</v>
      </c>
      <c r="N16" s="382">
        <f>('ORÇAMENTO GERAL'!$K$150/COUNTIF($E$12:$E$31,"&gt;0"))</f>
        <v>7269.25</v>
      </c>
      <c r="O16" s="383">
        <f>H16+I16+J16+K16+L16+M16+N16-0.01</f>
        <v>419453.93</v>
      </c>
    </row>
    <row r="17" spans="1:15" s="384" customFormat="1" ht="39.75" customHeight="1" hidden="1">
      <c r="A17" s="387">
        <v>6</v>
      </c>
      <c r="B17" s="388"/>
      <c r="C17" s="390"/>
      <c r="D17" s="390"/>
      <c r="E17" s="380"/>
      <c r="F17" s="381"/>
      <c r="G17" s="381"/>
      <c r="H17" s="382"/>
      <c r="I17" s="382"/>
      <c r="J17" s="382"/>
      <c r="K17" s="382"/>
      <c r="L17" s="382"/>
      <c r="M17" s="382"/>
      <c r="N17" s="382"/>
      <c r="O17" s="383"/>
    </row>
    <row r="18" spans="1:15" s="384" customFormat="1" ht="39.75" customHeight="1" hidden="1">
      <c r="A18" s="387">
        <v>7</v>
      </c>
      <c r="B18" s="388"/>
      <c r="C18" s="390"/>
      <c r="D18" s="390"/>
      <c r="E18" s="380"/>
      <c r="F18" s="381"/>
      <c r="G18" s="381"/>
      <c r="H18" s="382"/>
      <c r="I18" s="382"/>
      <c r="J18" s="382"/>
      <c r="K18" s="382"/>
      <c r="L18" s="382"/>
      <c r="M18" s="382"/>
      <c r="N18" s="382"/>
      <c r="O18" s="383"/>
    </row>
    <row r="19" spans="1:15" s="384" customFormat="1" ht="39.75" customHeight="1" hidden="1">
      <c r="A19" s="387">
        <v>8</v>
      </c>
      <c r="B19" s="388"/>
      <c r="C19" s="390"/>
      <c r="D19" s="390"/>
      <c r="E19" s="380"/>
      <c r="F19" s="381"/>
      <c r="G19" s="381"/>
      <c r="H19" s="382"/>
      <c r="I19" s="382"/>
      <c r="J19" s="382"/>
      <c r="K19" s="382"/>
      <c r="L19" s="382"/>
      <c r="M19" s="382"/>
      <c r="N19" s="382"/>
      <c r="O19" s="383"/>
    </row>
    <row r="20" spans="1:15" s="384" customFormat="1" ht="39.75" customHeight="1" hidden="1">
      <c r="A20" s="387">
        <v>9</v>
      </c>
      <c r="B20" s="388"/>
      <c r="C20" s="390"/>
      <c r="D20" s="390"/>
      <c r="E20" s="380"/>
      <c r="F20" s="381"/>
      <c r="G20" s="381"/>
      <c r="H20" s="382"/>
      <c r="I20" s="382"/>
      <c r="J20" s="382"/>
      <c r="K20" s="382"/>
      <c r="L20" s="382"/>
      <c r="M20" s="382"/>
      <c r="N20" s="382"/>
      <c r="O20" s="383"/>
    </row>
    <row r="21" spans="1:15" s="384" customFormat="1" ht="39.75" customHeight="1" hidden="1">
      <c r="A21" s="387">
        <v>10</v>
      </c>
      <c r="B21" s="388"/>
      <c r="C21" s="390"/>
      <c r="D21" s="390"/>
      <c r="E21" s="380"/>
      <c r="F21" s="381"/>
      <c r="G21" s="381"/>
      <c r="H21" s="382"/>
      <c r="I21" s="382"/>
      <c r="J21" s="382"/>
      <c r="K21" s="382"/>
      <c r="L21" s="382"/>
      <c r="M21" s="382"/>
      <c r="N21" s="382"/>
      <c r="O21" s="383"/>
    </row>
    <row r="22" spans="1:15" s="384" customFormat="1" ht="39.75" customHeight="1" hidden="1">
      <c r="A22" s="387">
        <v>11</v>
      </c>
      <c r="B22" s="388"/>
      <c r="C22" s="390"/>
      <c r="D22" s="390"/>
      <c r="E22" s="380"/>
      <c r="F22" s="381"/>
      <c r="G22" s="381"/>
      <c r="H22" s="382"/>
      <c r="I22" s="382"/>
      <c r="J22" s="382"/>
      <c r="K22" s="382"/>
      <c r="L22" s="382"/>
      <c r="M22" s="382"/>
      <c r="N22" s="382"/>
      <c r="O22" s="383"/>
    </row>
    <row r="23" spans="1:15" s="384" customFormat="1" ht="39.75" customHeight="1" hidden="1">
      <c r="A23" s="387">
        <v>12</v>
      </c>
      <c r="B23" s="388"/>
      <c r="C23" s="390"/>
      <c r="D23" s="390"/>
      <c r="E23" s="380"/>
      <c r="F23" s="381"/>
      <c r="G23" s="381"/>
      <c r="H23" s="382"/>
      <c r="I23" s="382"/>
      <c r="J23" s="382"/>
      <c r="K23" s="382"/>
      <c r="L23" s="382"/>
      <c r="M23" s="382"/>
      <c r="N23" s="382"/>
      <c r="O23" s="383"/>
    </row>
    <row r="24" spans="1:15" s="384" customFormat="1" ht="39.75" customHeight="1" hidden="1">
      <c r="A24" s="387">
        <v>13</v>
      </c>
      <c r="B24" s="388"/>
      <c r="C24" s="390"/>
      <c r="D24" s="390"/>
      <c r="E24" s="380"/>
      <c r="F24" s="381"/>
      <c r="G24" s="381"/>
      <c r="H24" s="382"/>
      <c r="I24" s="382"/>
      <c r="J24" s="382"/>
      <c r="K24" s="382"/>
      <c r="L24" s="382"/>
      <c r="M24" s="382"/>
      <c r="N24" s="382"/>
      <c r="O24" s="383"/>
    </row>
    <row r="25" spans="1:15" s="384" customFormat="1" ht="39.75" customHeight="1" hidden="1">
      <c r="A25" s="387">
        <v>14</v>
      </c>
      <c r="B25" s="388"/>
      <c r="C25" s="390"/>
      <c r="D25" s="390"/>
      <c r="E25" s="380"/>
      <c r="F25" s="381"/>
      <c r="G25" s="381"/>
      <c r="H25" s="382"/>
      <c r="I25" s="382"/>
      <c r="J25" s="382"/>
      <c r="K25" s="382"/>
      <c r="L25" s="382"/>
      <c r="M25" s="382"/>
      <c r="N25" s="382"/>
      <c r="O25" s="383"/>
    </row>
    <row r="26" spans="1:15" s="384" customFormat="1" ht="39.75" customHeight="1" hidden="1">
      <c r="A26" s="387">
        <v>15</v>
      </c>
      <c r="B26" s="388"/>
      <c r="C26" s="390"/>
      <c r="D26" s="390"/>
      <c r="E26" s="380"/>
      <c r="F26" s="381"/>
      <c r="G26" s="381"/>
      <c r="H26" s="382"/>
      <c r="I26" s="382"/>
      <c r="J26" s="382"/>
      <c r="K26" s="382"/>
      <c r="L26" s="382"/>
      <c r="M26" s="382"/>
      <c r="N26" s="382"/>
      <c r="O26" s="383"/>
    </row>
    <row r="27" spans="1:15" s="384" customFormat="1" ht="39.75" customHeight="1" hidden="1">
      <c r="A27" s="387">
        <v>16</v>
      </c>
      <c r="B27" s="388"/>
      <c r="C27" s="390"/>
      <c r="D27" s="390"/>
      <c r="E27" s="380"/>
      <c r="F27" s="381"/>
      <c r="G27" s="381"/>
      <c r="H27" s="382"/>
      <c r="I27" s="382"/>
      <c r="J27" s="382"/>
      <c r="K27" s="382"/>
      <c r="L27" s="382"/>
      <c r="M27" s="382"/>
      <c r="N27" s="382"/>
      <c r="O27" s="383"/>
    </row>
    <row r="28" spans="1:15" s="384" customFormat="1" ht="39.75" customHeight="1" hidden="1">
      <c r="A28" s="387">
        <v>17</v>
      </c>
      <c r="B28" s="388"/>
      <c r="C28" s="390"/>
      <c r="D28" s="390"/>
      <c r="E28" s="380"/>
      <c r="F28" s="381"/>
      <c r="G28" s="381"/>
      <c r="H28" s="382"/>
      <c r="I28" s="382"/>
      <c r="J28" s="382"/>
      <c r="K28" s="382"/>
      <c r="L28" s="382"/>
      <c r="M28" s="382"/>
      <c r="N28" s="382"/>
      <c r="O28" s="383"/>
    </row>
    <row r="29" spans="1:15" s="384" customFormat="1" ht="39.75" customHeight="1" hidden="1">
      <c r="A29" s="387">
        <v>18</v>
      </c>
      <c r="B29" s="388"/>
      <c r="C29" s="390"/>
      <c r="D29" s="390"/>
      <c r="E29" s="380"/>
      <c r="F29" s="381"/>
      <c r="G29" s="381"/>
      <c r="H29" s="382"/>
      <c r="I29" s="382"/>
      <c r="J29" s="382"/>
      <c r="K29" s="382"/>
      <c r="L29" s="382"/>
      <c r="M29" s="382"/>
      <c r="N29" s="382"/>
      <c r="O29" s="383"/>
    </row>
    <row r="30" spans="1:15" s="384" customFormat="1" ht="39.75" customHeight="1" hidden="1">
      <c r="A30" s="387">
        <v>19</v>
      </c>
      <c r="B30" s="388"/>
      <c r="C30" s="390"/>
      <c r="D30" s="390"/>
      <c r="E30" s="380"/>
      <c r="F30" s="381"/>
      <c r="G30" s="381"/>
      <c r="H30" s="382"/>
      <c r="I30" s="382"/>
      <c r="J30" s="382"/>
      <c r="K30" s="382"/>
      <c r="L30" s="382"/>
      <c r="M30" s="382"/>
      <c r="N30" s="382"/>
      <c r="O30" s="383"/>
    </row>
    <row r="31" spans="1:15" s="384" customFormat="1" ht="39.75" customHeight="1" hidden="1" thickBot="1">
      <c r="A31" s="391">
        <v>20</v>
      </c>
      <c r="B31" s="392"/>
      <c r="C31" s="393"/>
      <c r="D31" s="393"/>
      <c r="E31" s="380"/>
      <c r="F31" s="381"/>
      <c r="G31" s="381"/>
      <c r="H31" s="382"/>
      <c r="I31" s="382"/>
      <c r="J31" s="382"/>
      <c r="K31" s="382"/>
      <c r="L31" s="382"/>
      <c r="M31" s="382"/>
      <c r="N31" s="382"/>
      <c r="O31" s="383"/>
    </row>
    <row r="32" spans="1:17" s="398" customFormat="1" ht="50.25" customHeight="1" thickBot="1">
      <c r="A32" s="800" t="s">
        <v>378</v>
      </c>
      <c r="B32" s="801"/>
      <c r="C32" s="801"/>
      <c r="D32" s="801"/>
      <c r="E32" s="726">
        <f aca="true" t="shared" si="0" ref="E32:O32">SUM(E12:E31)</f>
        <v>735</v>
      </c>
      <c r="F32" s="726"/>
      <c r="G32" s="726">
        <f t="shared" si="0"/>
        <v>3724</v>
      </c>
      <c r="H32" s="727">
        <f t="shared" si="0"/>
        <v>32855.44</v>
      </c>
      <c r="I32" s="727">
        <f t="shared" si="0"/>
        <v>787875.49</v>
      </c>
      <c r="J32" s="727">
        <f t="shared" si="0"/>
        <v>67837.04</v>
      </c>
      <c r="K32" s="727">
        <f t="shared" si="0"/>
        <v>0</v>
      </c>
      <c r="L32" s="727">
        <f t="shared" si="0"/>
        <v>274470.06</v>
      </c>
      <c r="M32" s="727">
        <f t="shared" si="0"/>
        <v>0</v>
      </c>
      <c r="N32" s="727">
        <f t="shared" si="0"/>
        <v>36346.25</v>
      </c>
      <c r="O32" s="728">
        <f t="shared" si="0"/>
        <v>1199384.27</v>
      </c>
      <c r="P32" s="722">
        <f>'ORÇAMENTO GERAL'!$K$151</f>
        <v>1199384.27</v>
      </c>
      <c r="Q32" s="722">
        <f>P32-O32</f>
        <v>0</v>
      </c>
    </row>
    <row r="34" spans="1:15" ht="17.25">
      <c r="A34" s="799" t="s">
        <v>499</v>
      </c>
      <c r="B34" s="799"/>
      <c r="C34" s="799"/>
      <c r="D34" s="799"/>
      <c r="E34" s="799"/>
      <c r="F34" s="799"/>
      <c r="G34" s="799"/>
      <c r="H34" s="799"/>
      <c r="I34" s="799"/>
      <c r="J34" s="799"/>
      <c r="K34" s="799"/>
      <c r="L34" s="799"/>
      <c r="M34" s="799"/>
      <c r="N34" s="799"/>
      <c r="O34" s="799"/>
    </row>
    <row r="35" spans="1:15" ht="17.25">
      <c r="A35" s="799"/>
      <c r="B35" s="799"/>
      <c r="C35" s="799"/>
      <c r="D35" s="799"/>
      <c r="E35" s="799"/>
      <c r="F35" s="799"/>
      <c r="G35" s="799"/>
      <c r="H35" s="799"/>
      <c r="I35" s="799"/>
      <c r="J35" s="799"/>
      <c r="K35" s="799"/>
      <c r="L35" s="799"/>
      <c r="M35" s="799"/>
      <c r="N35" s="799"/>
      <c r="O35" s="799"/>
    </row>
    <row r="36" spans="1:15" ht="17.25">
      <c r="A36" s="799"/>
      <c r="B36" s="799"/>
      <c r="C36" s="799"/>
      <c r="D36" s="799"/>
      <c r="E36" s="799"/>
      <c r="F36" s="799"/>
      <c r="G36" s="799"/>
      <c r="H36" s="799"/>
      <c r="I36" s="799"/>
      <c r="J36" s="799"/>
      <c r="K36" s="799"/>
      <c r="L36" s="799"/>
      <c r="M36" s="799"/>
      <c r="N36" s="799"/>
      <c r="O36" s="799"/>
    </row>
    <row r="37" spans="1:15" ht="17.25">
      <c r="A37" s="799" t="s">
        <v>768</v>
      </c>
      <c r="B37" s="799"/>
      <c r="C37" s="799"/>
      <c r="D37" s="799"/>
      <c r="E37" s="799"/>
      <c r="F37" s="799"/>
      <c r="G37" s="799"/>
      <c r="H37" s="799"/>
      <c r="I37" s="799"/>
      <c r="J37" s="799"/>
      <c r="K37" s="799"/>
      <c r="L37" s="799"/>
      <c r="M37" s="799"/>
      <c r="N37" s="799"/>
      <c r="O37" s="799"/>
    </row>
    <row r="38" spans="1:15" ht="17.25">
      <c r="A38" s="799"/>
      <c r="B38" s="799"/>
      <c r="C38" s="799"/>
      <c r="D38" s="799"/>
      <c r="E38" s="799"/>
      <c r="F38" s="799"/>
      <c r="G38" s="799"/>
      <c r="H38" s="799"/>
      <c r="I38" s="799"/>
      <c r="J38" s="799"/>
      <c r="K38" s="799"/>
      <c r="L38" s="799"/>
      <c r="M38" s="799"/>
      <c r="N38" s="799"/>
      <c r="O38" s="799"/>
    </row>
    <row r="39" spans="1:15" ht="17.25">
      <c r="A39" s="799"/>
      <c r="B39" s="799"/>
      <c r="C39" s="799"/>
      <c r="D39" s="799"/>
      <c r="E39" s="799"/>
      <c r="F39" s="799"/>
      <c r="G39" s="799"/>
      <c r="H39" s="799"/>
      <c r="I39" s="799"/>
      <c r="J39" s="799"/>
      <c r="K39" s="799"/>
      <c r="L39" s="799"/>
      <c r="M39" s="799"/>
      <c r="N39" s="799"/>
      <c r="O39" s="799"/>
    </row>
    <row r="40" spans="1:15" ht="17.25">
      <c r="A40" s="799" t="s">
        <v>769</v>
      </c>
      <c r="B40" s="799"/>
      <c r="C40" s="799"/>
      <c r="D40" s="799"/>
      <c r="E40" s="799"/>
      <c r="F40" s="799"/>
      <c r="G40" s="799"/>
      <c r="H40" s="799"/>
      <c r="I40" s="799"/>
      <c r="J40" s="799"/>
      <c r="K40" s="799"/>
      <c r="L40" s="799"/>
      <c r="M40" s="799"/>
      <c r="N40" s="799"/>
      <c r="O40" s="799"/>
    </row>
    <row r="41" spans="1:15" ht="17.25">
      <c r="A41" s="799"/>
      <c r="B41" s="799"/>
      <c r="C41" s="799"/>
      <c r="D41" s="799"/>
      <c r="E41" s="799"/>
      <c r="F41" s="799"/>
      <c r="G41" s="799"/>
      <c r="H41" s="799"/>
      <c r="I41" s="799"/>
      <c r="J41" s="799"/>
      <c r="K41" s="799"/>
      <c r="L41" s="799"/>
      <c r="M41" s="799"/>
      <c r="N41" s="799"/>
      <c r="O41" s="799"/>
    </row>
    <row r="42" spans="1:15" ht="17.25">
      <c r="A42" s="799"/>
      <c r="B42" s="799"/>
      <c r="C42" s="799"/>
      <c r="D42" s="799"/>
      <c r="E42" s="799"/>
      <c r="F42" s="799"/>
      <c r="G42" s="799"/>
      <c r="H42" s="799"/>
      <c r="I42" s="799"/>
      <c r="J42" s="799"/>
      <c r="K42" s="799"/>
      <c r="L42" s="799"/>
      <c r="M42" s="799"/>
      <c r="N42" s="799"/>
      <c r="O42" s="799"/>
    </row>
    <row r="43" spans="1:15" ht="17.25">
      <c r="A43" s="799" t="s">
        <v>770</v>
      </c>
      <c r="B43" s="799"/>
      <c r="C43" s="799"/>
      <c r="D43" s="799"/>
      <c r="E43" s="799"/>
      <c r="F43" s="799"/>
      <c r="G43" s="799"/>
      <c r="H43" s="799"/>
      <c r="I43" s="799"/>
      <c r="J43" s="799"/>
      <c r="K43" s="799"/>
      <c r="L43" s="799"/>
      <c r="M43" s="799"/>
      <c r="N43" s="799"/>
      <c r="O43" s="799"/>
    </row>
    <row r="44" spans="1:15" ht="17.25">
      <c r="A44" s="799"/>
      <c r="B44" s="799"/>
      <c r="C44" s="799"/>
      <c r="D44" s="799"/>
      <c r="E44" s="799"/>
      <c r="F44" s="799"/>
      <c r="G44" s="799"/>
      <c r="H44" s="799"/>
      <c r="I44" s="799"/>
      <c r="J44" s="799"/>
      <c r="K44" s="799"/>
      <c r="L44" s="799"/>
      <c r="M44" s="799"/>
      <c r="N44" s="799"/>
      <c r="O44" s="799"/>
    </row>
    <row r="45" spans="1:15" ht="17.25">
      <c r="A45" s="799"/>
      <c r="B45" s="799"/>
      <c r="C45" s="799"/>
      <c r="D45" s="799"/>
      <c r="E45" s="799"/>
      <c r="F45" s="799"/>
      <c r="G45" s="799"/>
      <c r="H45" s="799"/>
      <c r="I45" s="799"/>
      <c r="J45" s="799"/>
      <c r="K45" s="799"/>
      <c r="L45" s="799"/>
      <c r="M45" s="799"/>
      <c r="N45" s="799"/>
      <c r="O45" s="799"/>
    </row>
  </sheetData>
  <sheetProtection/>
  <mergeCells count="14">
    <mergeCell ref="A1:O1"/>
    <mergeCell ref="A5:O5"/>
    <mergeCell ref="A6:O6"/>
    <mergeCell ref="A7:O7"/>
    <mergeCell ref="A9:O9"/>
    <mergeCell ref="A10:O10"/>
    <mergeCell ref="A43:O45"/>
    <mergeCell ref="A32:D32"/>
    <mergeCell ref="A2:O2"/>
    <mergeCell ref="A3:O3"/>
    <mergeCell ref="A4:O4"/>
    <mergeCell ref="A40:O42"/>
    <mergeCell ref="A37:O39"/>
    <mergeCell ref="A34:O36"/>
  </mergeCells>
  <conditionalFormatting sqref="B12:B14">
    <cfRule type="cellIs" priority="2" dxfId="45" operator="equal" stopIfTrue="1">
      <formula>0</formula>
    </cfRule>
  </conditionalFormatting>
  <conditionalFormatting sqref="B12:B14">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40"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H41"/>
  <sheetViews>
    <sheetView view="pageBreakPreview" zoomScale="85" zoomScaleNormal="85" zoomScaleSheetLayoutView="85" zoomScalePageLayoutView="0" workbookViewId="0" topLeftCell="A1">
      <selection activeCell="A12" sqref="A12:G12"/>
    </sheetView>
  </sheetViews>
  <sheetFormatPr defaultColWidth="9.140625" defaultRowHeight="12.75"/>
  <cols>
    <col min="1" max="1" width="9.28125" style="293" bestFit="1" customWidth="1"/>
    <col min="2" max="2" width="9.28125" style="293" customWidth="1"/>
    <col min="3" max="3" width="47.140625" style="293" customWidth="1"/>
    <col min="4" max="4" width="9.140625" style="293" customWidth="1"/>
    <col min="5" max="5" width="16.28125" style="293" customWidth="1"/>
    <col min="6" max="6" width="12.140625" style="293" bestFit="1" customWidth="1"/>
    <col min="7" max="7" width="16.57421875" style="293" bestFit="1" customWidth="1"/>
    <col min="8" max="16384" width="9.140625" style="293" customWidth="1"/>
  </cols>
  <sheetData>
    <row r="1" spans="1:7" s="275" customFormat="1" ht="14.25">
      <c r="A1" s="1010"/>
      <c r="B1" s="1011"/>
      <c r="C1" s="1011"/>
      <c r="D1" s="1011"/>
      <c r="E1" s="1011"/>
      <c r="F1" s="1011"/>
      <c r="G1" s="1012"/>
    </row>
    <row r="2" spans="1:7" s="275" customFormat="1" ht="19.5" customHeight="1">
      <c r="A2" s="1013"/>
      <c r="B2" s="1014"/>
      <c r="C2" s="1014"/>
      <c r="D2" s="1014"/>
      <c r="E2" s="1014"/>
      <c r="F2" s="1014"/>
      <c r="G2" s="1015"/>
    </row>
    <row r="3" spans="1:7" s="275" customFormat="1" ht="19.5" customHeight="1">
      <c r="A3" s="1016"/>
      <c r="B3" s="1017"/>
      <c r="C3" s="1017"/>
      <c r="D3" s="1017"/>
      <c r="E3" s="1017"/>
      <c r="F3" s="1017"/>
      <c r="G3" s="1018"/>
    </row>
    <row r="4" spans="1:7" s="275" customFormat="1" ht="19.5" customHeight="1">
      <c r="A4" s="1013" t="s">
        <v>19</v>
      </c>
      <c r="B4" s="1014"/>
      <c r="C4" s="1014"/>
      <c r="D4" s="1014"/>
      <c r="E4" s="1014"/>
      <c r="F4" s="1014"/>
      <c r="G4" s="1015"/>
    </row>
    <row r="5" spans="1:7" s="275" customFormat="1" ht="19.5" customHeight="1">
      <c r="A5" s="1016" t="s">
        <v>193</v>
      </c>
      <c r="B5" s="1017"/>
      <c r="C5" s="1017"/>
      <c r="D5" s="1017"/>
      <c r="E5" s="1017"/>
      <c r="F5" s="1017"/>
      <c r="G5" s="1018"/>
    </row>
    <row r="6" spans="1:7" s="275" customFormat="1" ht="19.5" customHeight="1">
      <c r="A6" s="1016" t="s">
        <v>18</v>
      </c>
      <c r="B6" s="1017"/>
      <c r="C6" s="1017"/>
      <c r="D6" s="1017"/>
      <c r="E6" s="1017"/>
      <c r="F6" s="1017"/>
      <c r="G6" s="1018"/>
    </row>
    <row r="7" spans="1:7" s="275" customFormat="1" ht="19.5" customHeight="1">
      <c r="A7" s="588"/>
      <c r="B7" s="589"/>
      <c r="C7" s="589"/>
      <c r="D7" s="589"/>
      <c r="E7" s="589"/>
      <c r="F7" s="589"/>
      <c r="G7" s="590"/>
    </row>
    <row r="8" spans="1:7" s="277" customFormat="1" ht="43.5" customHeight="1">
      <c r="A8" s="639" t="s">
        <v>649</v>
      </c>
      <c r="B8" s="103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8" s="1032"/>
      <c r="D8" s="1032"/>
      <c r="E8" s="1032"/>
      <c r="F8" s="1032"/>
      <c r="G8" s="1033"/>
    </row>
    <row r="9" spans="1:7" s="275" customFormat="1" ht="15" thickBot="1">
      <c r="A9" s="1019"/>
      <c r="B9" s="1020"/>
      <c r="C9" s="1020"/>
      <c r="D9" s="1020"/>
      <c r="E9" s="1020"/>
      <c r="F9" s="1020"/>
      <c r="G9" s="1021"/>
    </row>
    <row r="10" spans="1:7" s="277" customFormat="1" ht="24.75" customHeight="1" thickTop="1">
      <c r="A10" s="1179" t="s">
        <v>605</v>
      </c>
      <c r="B10" s="1179" t="s">
        <v>652</v>
      </c>
      <c r="C10" s="1175" t="s">
        <v>616</v>
      </c>
      <c r="D10" s="1176"/>
      <c r="E10" s="1176"/>
      <c r="F10" s="1176"/>
      <c r="G10" s="353" t="s">
        <v>651</v>
      </c>
    </row>
    <row r="11" spans="1:7" s="277" customFormat="1" ht="24.75" customHeight="1" thickBot="1">
      <c r="A11" s="1180"/>
      <c r="B11" s="1180"/>
      <c r="C11" s="1177"/>
      <c r="D11" s="1178"/>
      <c r="E11" s="1178"/>
      <c r="F11" s="1178"/>
      <c r="G11" s="640" t="s">
        <v>580</v>
      </c>
    </row>
    <row r="12" spans="1:7" s="277" customFormat="1" ht="12.75" customHeight="1" thickTop="1">
      <c r="A12" s="1051"/>
      <c r="B12" s="1052"/>
      <c r="C12" s="1052"/>
      <c r="D12" s="1052"/>
      <c r="E12" s="1052"/>
      <c r="F12" s="1052"/>
      <c r="G12" s="1053"/>
    </row>
    <row r="13" spans="1:7" s="208" customFormat="1" ht="19.5" customHeight="1">
      <c r="A13" s="263" t="s">
        <v>38</v>
      </c>
      <c r="B13" s="264" t="s">
        <v>280</v>
      </c>
      <c r="C13" s="265" t="s">
        <v>39</v>
      </c>
      <c r="D13" s="264" t="s">
        <v>40</v>
      </c>
      <c r="E13" s="265" t="s">
        <v>157</v>
      </c>
      <c r="F13" s="266" t="s">
        <v>41</v>
      </c>
      <c r="G13" s="267" t="s">
        <v>42</v>
      </c>
    </row>
    <row r="14" spans="1:7" s="363" customFormat="1" ht="24.75" customHeight="1">
      <c r="A14" s="1162" t="s">
        <v>37</v>
      </c>
      <c r="B14" s="1163"/>
      <c r="C14" s="1163"/>
      <c r="D14" s="1163"/>
      <c r="E14" s="1163"/>
      <c r="F14" s="1163"/>
      <c r="G14" s="1164"/>
    </row>
    <row r="15" spans="1:7" s="277" customFormat="1" ht="24.75" customHeight="1">
      <c r="A15" s="641">
        <v>1</v>
      </c>
      <c r="B15" s="312">
        <v>88316</v>
      </c>
      <c r="C15" s="455" t="s">
        <v>195</v>
      </c>
      <c r="D15" s="279" t="s">
        <v>238</v>
      </c>
      <c r="E15" s="744">
        <v>0.0575</v>
      </c>
      <c r="F15" s="280">
        <v>19.22</v>
      </c>
      <c r="G15" s="282">
        <f>E15*F15</f>
        <v>1.11</v>
      </c>
    </row>
    <row r="16" spans="1:7" s="363" customFormat="1" ht="24.75" customHeight="1">
      <c r="A16" s="1165" t="s">
        <v>47</v>
      </c>
      <c r="B16" s="1166"/>
      <c r="C16" s="1166"/>
      <c r="D16" s="1166"/>
      <c r="E16" s="1166"/>
      <c r="F16" s="1166"/>
      <c r="G16" s="630">
        <f>SUM(G15:G15)</f>
        <v>1.11</v>
      </c>
    </row>
    <row r="17" spans="1:7" s="363" customFormat="1" ht="24.75" customHeight="1">
      <c r="A17" s="1167" t="s">
        <v>657</v>
      </c>
      <c r="B17" s="1168"/>
      <c r="C17" s="1168"/>
      <c r="D17" s="1168"/>
      <c r="E17" s="1168"/>
      <c r="F17" s="1168"/>
      <c r="G17" s="1169"/>
    </row>
    <row r="18" spans="1:7" s="277" customFormat="1" ht="24.75" customHeight="1">
      <c r="A18" s="641">
        <v>1</v>
      </c>
      <c r="B18" s="312">
        <v>6079</v>
      </c>
      <c r="C18" s="287" t="s">
        <v>573</v>
      </c>
      <c r="D18" s="285" t="s">
        <v>580</v>
      </c>
      <c r="E18" s="744">
        <v>1</v>
      </c>
      <c r="F18" s="286">
        <v>36.51</v>
      </c>
      <c r="G18" s="282">
        <f>E18*F18</f>
        <v>36.51</v>
      </c>
    </row>
    <row r="19" spans="1:7" s="363" customFormat="1" ht="24.75" customHeight="1">
      <c r="A19" s="1170" t="s">
        <v>655</v>
      </c>
      <c r="B19" s="1171"/>
      <c r="C19" s="1171"/>
      <c r="D19" s="1171"/>
      <c r="E19" s="1171"/>
      <c r="F19" s="1171"/>
      <c r="G19" s="630">
        <f>SUM(G18:G18)</f>
        <v>36.51</v>
      </c>
    </row>
    <row r="20" spans="1:7" s="363" customFormat="1" ht="24.75" customHeight="1">
      <c r="A20" s="1162" t="s">
        <v>654</v>
      </c>
      <c r="B20" s="1163"/>
      <c r="C20" s="1163"/>
      <c r="D20" s="1163"/>
      <c r="E20" s="1163"/>
      <c r="F20" s="1163"/>
      <c r="G20" s="1164"/>
    </row>
    <row r="21" spans="1:7" s="277" customFormat="1" ht="24.75" customHeight="1">
      <c r="A21" s="278">
        <v>1</v>
      </c>
      <c r="B21" s="284">
        <v>5901</v>
      </c>
      <c r="C21" s="288" t="s">
        <v>283</v>
      </c>
      <c r="D21" s="285" t="s">
        <v>180</v>
      </c>
      <c r="E21" s="745">
        <v>0.0527</v>
      </c>
      <c r="F21" s="286">
        <v>302.64</v>
      </c>
      <c r="G21" s="282">
        <f>E21*F21</f>
        <v>15.95</v>
      </c>
    </row>
    <row r="22" spans="1:7" s="277" customFormat="1" ht="24.75" customHeight="1">
      <c r="A22" s="278">
        <v>2</v>
      </c>
      <c r="B22" s="284">
        <v>5903</v>
      </c>
      <c r="C22" s="288" t="s">
        <v>285</v>
      </c>
      <c r="D22" s="285" t="s">
        <v>182</v>
      </c>
      <c r="E22" s="744">
        <v>0.0168</v>
      </c>
      <c r="F22" s="286">
        <v>58.4</v>
      </c>
      <c r="G22" s="282">
        <f aca="true" t="shared" si="0" ref="G22:G32">E22*F22</f>
        <v>0.98</v>
      </c>
    </row>
    <row r="23" spans="1:7" s="277" customFormat="1" ht="24.75" customHeight="1">
      <c r="A23" s="278">
        <v>3</v>
      </c>
      <c r="B23" s="284">
        <v>5921</v>
      </c>
      <c r="C23" s="288" t="s">
        <v>404</v>
      </c>
      <c r="D23" s="285" t="s">
        <v>180</v>
      </c>
      <c r="E23" s="744">
        <v>0.0072</v>
      </c>
      <c r="F23" s="286">
        <v>5.36</v>
      </c>
      <c r="G23" s="282">
        <f t="shared" si="0"/>
        <v>0.04</v>
      </c>
    </row>
    <row r="24" spans="1:7" s="277" customFormat="1" ht="24.75" customHeight="1">
      <c r="A24" s="278">
        <v>4</v>
      </c>
      <c r="B24" s="284">
        <v>5923</v>
      </c>
      <c r="C24" s="288" t="s">
        <v>406</v>
      </c>
      <c r="D24" s="285" t="s">
        <v>182</v>
      </c>
      <c r="E24" s="744">
        <v>0.0503</v>
      </c>
      <c r="F24" s="286">
        <v>3.33</v>
      </c>
      <c r="G24" s="282">
        <f t="shared" si="0"/>
        <v>0.17</v>
      </c>
    </row>
    <row r="25" spans="1:7" s="277" customFormat="1" ht="24.75" customHeight="1">
      <c r="A25" s="278">
        <v>5</v>
      </c>
      <c r="B25" s="284">
        <v>5932</v>
      </c>
      <c r="C25" s="288" t="s">
        <v>288</v>
      </c>
      <c r="D25" s="285" t="s">
        <v>180</v>
      </c>
      <c r="E25" s="744">
        <v>0.0059</v>
      </c>
      <c r="F25" s="286">
        <v>272.13</v>
      </c>
      <c r="G25" s="282">
        <f t="shared" si="0"/>
        <v>1.61</v>
      </c>
    </row>
    <row r="26" spans="1:7" s="277" customFormat="1" ht="24.75" customHeight="1">
      <c r="A26" s="278">
        <v>6</v>
      </c>
      <c r="B26" s="284">
        <v>5934</v>
      </c>
      <c r="C26" s="288" t="s">
        <v>291</v>
      </c>
      <c r="D26" s="285" t="s">
        <v>182</v>
      </c>
      <c r="E26" s="744">
        <v>0.0516</v>
      </c>
      <c r="F26" s="286">
        <v>95.04</v>
      </c>
      <c r="G26" s="282">
        <f t="shared" si="0"/>
        <v>4.9</v>
      </c>
    </row>
    <row r="27" spans="1:7" s="277" customFormat="1" ht="24.75" customHeight="1">
      <c r="A27" s="278">
        <v>7</v>
      </c>
      <c r="B27" s="284">
        <v>73436</v>
      </c>
      <c r="C27" s="288" t="s">
        <v>607</v>
      </c>
      <c r="D27" s="285" t="s">
        <v>180</v>
      </c>
      <c r="E27" s="744">
        <v>0.0407</v>
      </c>
      <c r="F27" s="286">
        <v>209.33</v>
      </c>
      <c r="G27" s="282">
        <f t="shared" si="0"/>
        <v>8.52</v>
      </c>
    </row>
    <row r="28" spans="1:7" s="277" customFormat="1" ht="24.75" customHeight="1">
      <c r="A28" s="278">
        <v>8</v>
      </c>
      <c r="B28" s="284">
        <v>89035</v>
      </c>
      <c r="C28" s="288" t="s">
        <v>274</v>
      </c>
      <c r="D28" s="285" t="s">
        <v>180</v>
      </c>
      <c r="E28" s="744">
        <v>0.0072</v>
      </c>
      <c r="F28" s="286">
        <v>123.71</v>
      </c>
      <c r="G28" s="282">
        <f t="shared" si="0"/>
        <v>0.89</v>
      </c>
    </row>
    <row r="29" spans="1:7" s="277" customFormat="1" ht="24.75" customHeight="1">
      <c r="A29" s="278">
        <v>9</v>
      </c>
      <c r="B29" s="284">
        <v>89036</v>
      </c>
      <c r="C29" s="288" t="s">
        <v>275</v>
      </c>
      <c r="D29" s="285" t="s">
        <v>182</v>
      </c>
      <c r="E29" s="744">
        <v>0.0503</v>
      </c>
      <c r="F29" s="286">
        <v>38.89</v>
      </c>
      <c r="G29" s="282">
        <f t="shared" si="0"/>
        <v>1.96</v>
      </c>
    </row>
    <row r="30" spans="1:7" s="277" customFormat="1" ht="24.75" customHeight="1">
      <c r="A30" s="278">
        <v>10</v>
      </c>
      <c r="B30" s="284">
        <v>93244</v>
      </c>
      <c r="C30" s="288" t="s">
        <v>608</v>
      </c>
      <c r="D30" s="285" t="s">
        <v>182</v>
      </c>
      <c r="E30" s="744">
        <v>0.0058</v>
      </c>
      <c r="F30" s="286">
        <v>62.42</v>
      </c>
      <c r="G30" s="282">
        <f t="shared" si="0"/>
        <v>0.36</v>
      </c>
    </row>
    <row r="31" spans="1:7" s="277" customFormat="1" ht="24.75" customHeight="1">
      <c r="A31" s="278">
        <v>11</v>
      </c>
      <c r="B31" s="284">
        <v>96463</v>
      </c>
      <c r="C31" s="288" t="s">
        <v>293</v>
      </c>
      <c r="D31" s="285" t="s">
        <v>180</v>
      </c>
      <c r="E31" s="744">
        <v>0.0058</v>
      </c>
      <c r="F31" s="286">
        <v>222.22</v>
      </c>
      <c r="G31" s="282">
        <f t="shared" si="0"/>
        <v>1.29</v>
      </c>
    </row>
    <row r="32" spans="1:7" s="277" customFormat="1" ht="24.75" customHeight="1">
      <c r="A32" s="278">
        <v>12</v>
      </c>
      <c r="B32" s="284">
        <v>96464</v>
      </c>
      <c r="C32" s="288" t="s">
        <v>295</v>
      </c>
      <c r="D32" s="285" t="s">
        <v>182</v>
      </c>
      <c r="E32" s="744">
        <v>0.0517</v>
      </c>
      <c r="F32" s="286">
        <v>86.41</v>
      </c>
      <c r="G32" s="282">
        <f t="shared" si="0"/>
        <v>4.47</v>
      </c>
    </row>
    <row r="33" spans="1:7" s="363" customFormat="1" ht="24.75" customHeight="1">
      <c r="A33" s="1170" t="s">
        <v>656</v>
      </c>
      <c r="B33" s="1171"/>
      <c r="C33" s="1171"/>
      <c r="D33" s="1171"/>
      <c r="E33" s="1171"/>
      <c r="F33" s="1171"/>
      <c r="G33" s="630">
        <f>SUM(G21:G32)</f>
        <v>41.14</v>
      </c>
    </row>
    <row r="34" spans="1:8" s="362" customFormat="1" ht="24.75" customHeight="1">
      <c r="A34" s="1145" t="s">
        <v>52</v>
      </c>
      <c r="B34" s="1146"/>
      <c r="C34" s="1146"/>
      <c r="D34" s="1146"/>
      <c r="E34" s="1146"/>
      <c r="F34" s="1146"/>
      <c r="G34" s="1147"/>
      <c r="H34" s="371"/>
    </row>
    <row r="35" spans="1:8" s="362" customFormat="1" ht="24.75" customHeight="1">
      <c r="A35" s="632" t="s">
        <v>38</v>
      </c>
      <c r="B35" s="372"/>
      <c r="C35" s="372" t="s">
        <v>53</v>
      </c>
      <c r="D35" s="372" t="s">
        <v>42</v>
      </c>
      <c r="E35" s="372"/>
      <c r="F35" s="373"/>
      <c r="G35" s="633"/>
      <c r="H35" s="371"/>
    </row>
    <row r="36" spans="1:8" s="362" customFormat="1" ht="24.75" customHeight="1">
      <c r="A36" s="632" t="s">
        <v>54</v>
      </c>
      <c r="B36" s="372"/>
      <c r="C36" s="374" t="s">
        <v>55</v>
      </c>
      <c r="D36" s="1148" t="s">
        <v>56</v>
      </c>
      <c r="E36" s="1148"/>
      <c r="F36" s="1148"/>
      <c r="G36" s="633">
        <f>G15</f>
        <v>1.11</v>
      </c>
      <c r="H36" s="371"/>
    </row>
    <row r="37" spans="1:8" s="362" customFormat="1" ht="24.75" customHeight="1">
      <c r="A37" s="632" t="s">
        <v>57</v>
      </c>
      <c r="B37" s="372"/>
      <c r="C37" s="374" t="s">
        <v>58</v>
      </c>
      <c r="D37" s="1148" t="s">
        <v>59</v>
      </c>
      <c r="E37" s="1148"/>
      <c r="F37" s="1148"/>
      <c r="G37" s="633">
        <f>G19</f>
        <v>36.51</v>
      </c>
      <c r="H37" s="371"/>
    </row>
    <row r="38" spans="1:8" s="362" customFormat="1" ht="24.75" customHeight="1">
      <c r="A38" s="632" t="s">
        <v>15</v>
      </c>
      <c r="B38" s="372"/>
      <c r="C38" s="374" t="s">
        <v>60</v>
      </c>
      <c r="D38" s="1148" t="s">
        <v>61</v>
      </c>
      <c r="E38" s="1148"/>
      <c r="F38" s="1148"/>
      <c r="G38" s="633">
        <f>G33</f>
        <v>41.14</v>
      </c>
      <c r="H38" s="371"/>
    </row>
    <row r="39" spans="1:8" s="362" customFormat="1" ht="24.75" customHeight="1">
      <c r="A39" s="632" t="s">
        <v>8</v>
      </c>
      <c r="B39" s="372"/>
      <c r="C39" s="375" t="s">
        <v>62</v>
      </c>
      <c r="D39" s="1149" t="s">
        <v>63</v>
      </c>
      <c r="E39" s="1149"/>
      <c r="F39" s="1149"/>
      <c r="G39" s="634">
        <f>G36+G37+G38</f>
        <v>78.76</v>
      </c>
      <c r="H39" s="371"/>
    </row>
    <row r="40" spans="1:8" s="362" customFormat="1" ht="24.75" customHeight="1">
      <c r="A40" s="632"/>
      <c r="B40" s="372"/>
      <c r="C40" s="375"/>
      <c r="D40" s="376" t="s">
        <v>204</v>
      </c>
      <c r="E40" s="376"/>
      <c r="F40" s="377">
        <v>0.2746</v>
      </c>
      <c r="G40" s="635">
        <f>G39*F40</f>
        <v>21.63</v>
      </c>
      <c r="H40" s="371"/>
    </row>
    <row r="41" spans="1:8" s="362" customFormat="1" ht="24.75" customHeight="1" thickBot="1">
      <c r="A41" s="636"/>
      <c r="B41" s="637"/>
      <c r="C41" s="637"/>
      <c r="D41" s="1161" t="s">
        <v>65</v>
      </c>
      <c r="E41" s="1161"/>
      <c r="F41" s="1161"/>
      <c r="G41" s="638">
        <f>G39+G40</f>
        <v>100.39</v>
      </c>
      <c r="H41" s="371"/>
    </row>
  </sheetData>
  <sheetProtection/>
  <mergeCells count="24">
    <mergeCell ref="A1:G1"/>
    <mergeCell ref="A4:G4"/>
    <mergeCell ref="A5:G5"/>
    <mergeCell ref="A6:G6"/>
    <mergeCell ref="A9:G9"/>
    <mergeCell ref="A2:G2"/>
    <mergeCell ref="A3:G3"/>
    <mergeCell ref="B8:G8"/>
    <mergeCell ref="D38:F38"/>
    <mergeCell ref="D39:F39"/>
    <mergeCell ref="D41:F41"/>
    <mergeCell ref="A16:F16"/>
    <mergeCell ref="A17:G17"/>
    <mergeCell ref="A19:F19"/>
    <mergeCell ref="A20:G20"/>
    <mergeCell ref="D37:F37"/>
    <mergeCell ref="A33:F33"/>
    <mergeCell ref="A34:G34"/>
    <mergeCell ref="D36:F36"/>
    <mergeCell ref="C10:F11"/>
    <mergeCell ref="A14:G14"/>
    <mergeCell ref="A12:G12"/>
    <mergeCell ref="A10:A11"/>
    <mergeCell ref="B10:B11"/>
  </mergeCells>
  <printOptions/>
  <pageMargins left="0.511811024" right="0.511811024" top="0.787401575" bottom="0.787401575" header="0.31496062" footer="0.31496062"/>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B22" sqref="B22"/>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1011"/>
      <c r="C1" s="1011"/>
      <c r="D1" s="1011"/>
      <c r="E1" s="1011"/>
      <c r="F1" s="1011"/>
      <c r="G1" s="1012"/>
    </row>
    <row r="2" spans="1:7" s="275" customFormat="1" ht="45.75" customHeight="1">
      <c r="A2" s="311"/>
      <c r="B2" s="586"/>
      <c r="C2" s="586"/>
      <c r="D2" s="586"/>
      <c r="E2" s="586"/>
      <c r="F2" s="586"/>
      <c r="G2" s="587"/>
    </row>
    <row r="3" spans="1:7" s="275" customFormat="1" ht="15" customHeight="1">
      <c r="A3" s="1013" t="s">
        <v>19</v>
      </c>
      <c r="B3" s="1014"/>
      <c r="C3" s="1014"/>
      <c r="D3" s="1014"/>
      <c r="E3" s="1014"/>
      <c r="F3" s="1014"/>
      <c r="G3" s="1015"/>
    </row>
    <row r="4" spans="1:7" s="275" customFormat="1" ht="15" customHeight="1">
      <c r="A4" s="1016" t="s">
        <v>193</v>
      </c>
      <c r="B4" s="1017"/>
      <c r="C4" s="1017"/>
      <c r="D4" s="1017"/>
      <c r="E4" s="1017"/>
      <c r="F4" s="1017"/>
      <c r="G4" s="1018"/>
    </row>
    <row r="5" spans="1:7" s="275" customFormat="1" ht="15" customHeight="1">
      <c r="A5" s="1016" t="s">
        <v>18</v>
      </c>
      <c r="B5" s="1017"/>
      <c r="C5" s="1017"/>
      <c r="D5" s="1017"/>
      <c r="E5" s="1017"/>
      <c r="F5" s="1017"/>
      <c r="G5" s="1018"/>
    </row>
    <row r="6" spans="1:7" s="275" customFormat="1" ht="15" customHeight="1">
      <c r="A6" s="588"/>
      <c r="B6" s="589"/>
      <c r="C6" s="589"/>
      <c r="D6" s="589"/>
      <c r="E6" s="589"/>
      <c r="F6" s="589"/>
      <c r="G6" s="590"/>
    </row>
    <row r="7" spans="1:7" s="277" customFormat="1" ht="40.5" customHeight="1">
      <c r="A7" s="622" t="s">
        <v>649</v>
      </c>
      <c r="B7" s="103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032"/>
      <c r="D7" s="1032"/>
      <c r="E7" s="1032"/>
      <c r="F7" s="1032"/>
      <c r="G7" s="1033"/>
    </row>
    <row r="8" spans="1:7" s="275" customFormat="1" ht="15" customHeight="1" thickBot="1">
      <c r="A8" s="276"/>
      <c r="B8" s="1173"/>
      <c r="C8" s="1173"/>
      <c r="D8" s="1173"/>
      <c r="E8" s="1173"/>
      <c r="F8" s="1173"/>
      <c r="G8" s="1174"/>
    </row>
    <row r="9" spans="1:7" s="277" customFormat="1" ht="24" customHeight="1" thickTop="1">
      <c r="A9" s="1181" t="s">
        <v>614</v>
      </c>
      <c r="B9" s="356" t="s">
        <v>721</v>
      </c>
      <c r="C9" s="1138" t="s">
        <v>640</v>
      </c>
      <c r="D9" s="1139"/>
      <c r="E9" s="1139"/>
      <c r="F9" s="1183"/>
      <c r="G9" s="457" t="s">
        <v>647</v>
      </c>
    </row>
    <row r="10" spans="1:7" s="277" customFormat="1" ht="15" thickBot="1">
      <c r="A10" s="1182"/>
      <c r="B10" s="685">
        <v>96401</v>
      </c>
      <c r="C10" s="1140"/>
      <c r="D10" s="1141"/>
      <c r="E10" s="1141"/>
      <c r="F10" s="1184"/>
      <c r="G10" s="183" t="s">
        <v>660</v>
      </c>
    </row>
    <row r="11" spans="1:7" s="277" customFormat="1" ht="12.75" customHeight="1" thickTop="1">
      <c r="A11" s="1192"/>
      <c r="B11" s="1193"/>
      <c r="C11" s="1193"/>
      <c r="D11" s="1193"/>
      <c r="E11" s="1193"/>
      <c r="F11" s="1193"/>
      <c r="G11" s="1194"/>
    </row>
    <row r="12" spans="1:8" s="208" customFormat="1" ht="19.5" customHeight="1">
      <c r="A12" s="345" t="s">
        <v>38</v>
      </c>
      <c r="B12" s="346" t="s">
        <v>280</v>
      </c>
      <c r="C12" s="347" t="s">
        <v>39</v>
      </c>
      <c r="D12" s="346" t="s">
        <v>40</v>
      </c>
      <c r="E12" s="347" t="s">
        <v>157</v>
      </c>
      <c r="F12" s="348" t="s">
        <v>41</v>
      </c>
      <c r="G12" s="349" t="s">
        <v>42</v>
      </c>
      <c r="H12" s="202"/>
    </row>
    <row r="13" spans="1:7" s="277" customFormat="1" ht="19.5" customHeight="1">
      <c r="A13" s="1195" t="s">
        <v>37</v>
      </c>
      <c r="B13" s="1196"/>
      <c r="C13" s="1196"/>
      <c r="D13" s="1196"/>
      <c r="E13" s="1196"/>
      <c r="F13" s="1196"/>
      <c r="G13" s="1197"/>
    </row>
    <row r="14" spans="1:7" s="277" customFormat="1" ht="19.5" customHeight="1">
      <c r="A14" s="317">
        <v>1</v>
      </c>
      <c r="B14" s="313" t="s">
        <v>46</v>
      </c>
      <c r="C14" s="314" t="s">
        <v>195</v>
      </c>
      <c r="D14" s="313" t="s">
        <v>238</v>
      </c>
      <c r="E14" s="315">
        <v>0.0058</v>
      </c>
      <c r="F14" s="316">
        <v>19.22</v>
      </c>
      <c r="G14" s="323">
        <f>E14*F14</f>
        <v>0.11</v>
      </c>
    </row>
    <row r="15" spans="1:7" s="277" customFormat="1" ht="19.5" customHeight="1">
      <c r="A15" s="1188" t="s">
        <v>641</v>
      </c>
      <c r="B15" s="1189"/>
      <c r="C15" s="1189"/>
      <c r="D15" s="1189"/>
      <c r="E15" s="1189"/>
      <c r="F15" s="1189"/>
      <c r="G15" s="328">
        <f>SUM(G14:G14)</f>
        <v>0.11</v>
      </c>
    </row>
    <row r="16" spans="1:7" s="277" customFormat="1" ht="19.5" customHeight="1">
      <c r="A16" s="1185" t="s">
        <v>48</v>
      </c>
      <c r="B16" s="1186"/>
      <c r="C16" s="1186"/>
      <c r="D16" s="1186"/>
      <c r="E16" s="1186"/>
      <c r="F16" s="1186"/>
      <c r="G16" s="1187"/>
    </row>
    <row r="17" spans="1:7" s="277" customFormat="1" ht="19.5" customHeight="1">
      <c r="A17" s="317">
        <v>1</v>
      </c>
      <c r="B17" s="318">
        <v>5839</v>
      </c>
      <c r="C17" s="319" t="s">
        <v>272</v>
      </c>
      <c r="D17" s="320" t="s">
        <v>180</v>
      </c>
      <c r="E17" s="321" t="s">
        <v>310</v>
      </c>
      <c r="F17" s="322">
        <v>10.28</v>
      </c>
      <c r="G17" s="323">
        <f aca="true" t="shared" si="0" ref="G17:G22">E17*F17</f>
        <v>0.02</v>
      </c>
    </row>
    <row r="18" spans="1:7" s="277" customFormat="1" ht="19.5" customHeight="1">
      <c r="A18" s="317">
        <v>2</v>
      </c>
      <c r="B18" s="318" t="s">
        <v>311</v>
      </c>
      <c r="C18" s="319" t="s">
        <v>273</v>
      </c>
      <c r="D18" s="320" t="s">
        <v>182</v>
      </c>
      <c r="E18" s="321" t="s">
        <v>312</v>
      </c>
      <c r="F18" s="322">
        <v>4.89</v>
      </c>
      <c r="G18" s="323">
        <f t="shared" si="0"/>
        <v>0.02</v>
      </c>
    </row>
    <row r="19" spans="1:7" s="277" customFormat="1" ht="19.5" customHeight="1">
      <c r="A19" s="317">
        <v>3</v>
      </c>
      <c r="B19" s="318">
        <v>83362</v>
      </c>
      <c r="C19" s="319" t="s">
        <v>313</v>
      </c>
      <c r="D19" s="320" t="s">
        <v>180</v>
      </c>
      <c r="E19" s="321" t="s">
        <v>314</v>
      </c>
      <c r="F19" s="322">
        <v>250.05</v>
      </c>
      <c r="G19" s="323">
        <f t="shared" si="0"/>
        <v>0.25</v>
      </c>
    </row>
    <row r="20" spans="1:7" s="277" customFormat="1" ht="19.5" customHeight="1">
      <c r="A20" s="317">
        <v>4</v>
      </c>
      <c r="B20" s="318" t="s">
        <v>315</v>
      </c>
      <c r="C20" s="319" t="s">
        <v>274</v>
      </c>
      <c r="D20" s="320" t="s">
        <v>180</v>
      </c>
      <c r="E20" s="321" t="s">
        <v>316</v>
      </c>
      <c r="F20" s="322">
        <v>123.71</v>
      </c>
      <c r="G20" s="323">
        <f t="shared" si="0"/>
        <v>0.21</v>
      </c>
    </row>
    <row r="21" spans="1:7" s="277" customFormat="1" ht="19.5" customHeight="1">
      <c r="A21" s="317">
        <v>5</v>
      </c>
      <c r="B21" s="318" t="s">
        <v>317</v>
      </c>
      <c r="C21" s="319" t="s">
        <v>275</v>
      </c>
      <c r="D21" s="320" t="s">
        <v>182</v>
      </c>
      <c r="E21" s="321" t="s">
        <v>318</v>
      </c>
      <c r="F21" s="322">
        <v>38.89</v>
      </c>
      <c r="G21" s="323">
        <f t="shared" si="0"/>
        <v>0.16</v>
      </c>
    </row>
    <row r="22" spans="1:7" s="277" customFormat="1" ht="19.5" customHeight="1">
      <c r="A22" s="317">
        <v>6</v>
      </c>
      <c r="B22" s="318">
        <v>91486</v>
      </c>
      <c r="C22" s="319" t="s">
        <v>319</v>
      </c>
      <c r="D22" s="320" t="s">
        <v>182</v>
      </c>
      <c r="E22" s="321" t="s">
        <v>320</v>
      </c>
      <c r="F22" s="322">
        <v>53.12</v>
      </c>
      <c r="G22" s="323">
        <f t="shared" si="0"/>
        <v>0.26</v>
      </c>
    </row>
    <row r="23" spans="1:7" s="277" customFormat="1" ht="19.5" customHeight="1">
      <c r="A23" s="1188" t="s">
        <v>642</v>
      </c>
      <c r="B23" s="1189"/>
      <c r="C23" s="1189"/>
      <c r="D23" s="1189"/>
      <c r="E23" s="1189"/>
      <c r="F23" s="1189"/>
      <c r="G23" s="328">
        <f>SUM(G17:G22)</f>
        <v>0.92</v>
      </c>
    </row>
    <row r="24" spans="1:7" s="277" customFormat="1" ht="19.5" customHeight="1">
      <c r="A24" s="1217" t="s">
        <v>50</v>
      </c>
      <c r="B24" s="1218"/>
      <c r="C24" s="1218"/>
      <c r="D24" s="1218"/>
      <c r="E24" s="1218"/>
      <c r="F24" s="1218"/>
      <c r="G24" s="1219"/>
    </row>
    <row r="25" spans="1:7" s="277" customFormat="1" ht="19.5" customHeight="1">
      <c r="A25" s="317">
        <v>1</v>
      </c>
      <c r="B25" s="318" t="s">
        <v>308</v>
      </c>
      <c r="C25" s="324" t="s">
        <v>309</v>
      </c>
      <c r="D25" s="320" t="s">
        <v>181</v>
      </c>
      <c r="E25" s="325">
        <v>1.2</v>
      </c>
      <c r="F25" s="322">
        <f>G41</f>
        <v>7.87</v>
      </c>
      <c r="G25" s="323">
        <f>E25*F25</f>
        <v>9.44</v>
      </c>
    </row>
    <row r="26" spans="1:7" s="277" customFormat="1" ht="19.5" customHeight="1">
      <c r="A26" s="1188" t="s">
        <v>643</v>
      </c>
      <c r="B26" s="1189"/>
      <c r="C26" s="1189"/>
      <c r="D26" s="1189"/>
      <c r="E26" s="1189"/>
      <c r="F26" s="1189"/>
      <c r="G26" s="328">
        <f>SUM(G25:G25)</f>
        <v>9.44</v>
      </c>
    </row>
    <row r="27" spans="1:8" s="208" customFormat="1" ht="19.5" customHeight="1">
      <c r="A27" s="1198" t="s">
        <v>52</v>
      </c>
      <c r="B27" s="1199"/>
      <c r="C27" s="1199"/>
      <c r="D27" s="1199"/>
      <c r="E27" s="1199"/>
      <c r="F27" s="1199"/>
      <c r="G27" s="1200"/>
      <c r="H27" s="202"/>
    </row>
    <row r="28" spans="1:8" s="208" customFormat="1" ht="19.5" customHeight="1">
      <c r="A28" s="184" t="s">
        <v>38</v>
      </c>
      <c r="B28" s="185"/>
      <c r="C28" s="185" t="s">
        <v>53</v>
      </c>
      <c r="D28" s="185" t="s">
        <v>42</v>
      </c>
      <c r="E28" s="185"/>
      <c r="F28" s="188"/>
      <c r="G28" s="186"/>
      <c r="H28" s="202"/>
    </row>
    <row r="29" spans="1:8" s="208" customFormat="1" ht="19.5" customHeight="1">
      <c r="A29" s="184" t="s">
        <v>54</v>
      </c>
      <c r="B29" s="185"/>
      <c r="C29" s="187" t="s">
        <v>55</v>
      </c>
      <c r="D29" s="1201" t="s">
        <v>56</v>
      </c>
      <c r="E29" s="1201"/>
      <c r="F29" s="1201"/>
      <c r="G29" s="186">
        <f>G15</f>
        <v>0.11</v>
      </c>
      <c r="H29" s="202"/>
    </row>
    <row r="30" spans="1:8" s="208" customFormat="1" ht="19.5" customHeight="1">
      <c r="A30" s="184" t="s">
        <v>57</v>
      </c>
      <c r="B30" s="185"/>
      <c r="C30" s="187" t="s">
        <v>58</v>
      </c>
      <c r="D30" s="1201" t="s">
        <v>59</v>
      </c>
      <c r="E30" s="1201"/>
      <c r="F30" s="1201"/>
      <c r="G30" s="186">
        <f>G23</f>
        <v>0.92</v>
      </c>
      <c r="H30" s="202"/>
    </row>
    <row r="31" spans="1:8" s="208" customFormat="1" ht="19.5" customHeight="1">
      <c r="A31" s="184" t="s">
        <v>15</v>
      </c>
      <c r="B31" s="185"/>
      <c r="C31" s="187" t="s">
        <v>60</v>
      </c>
      <c r="D31" s="1201" t="s">
        <v>61</v>
      </c>
      <c r="E31" s="1201"/>
      <c r="F31" s="1201"/>
      <c r="G31" s="186">
        <f>G26</f>
        <v>9.44</v>
      </c>
      <c r="H31" s="202"/>
    </row>
    <row r="32" spans="1:8" s="208" customFormat="1" ht="19.5" customHeight="1">
      <c r="A32" s="184" t="s">
        <v>8</v>
      </c>
      <c r="B32" s="185"/>
      <c r="C32" s="189" t="s">
        <v>62</v>
      </c>
      <c r="D32" s="1190" t="s">
        <v>63</v>
      </c>
      <c r="E32" s="1190"/>
      <c r="F32" s="1190"/>
      <c r="G32" s="190">
        <f>G29+G30+G31</f>
        <v>10.47</v>
      </c>
      <c r="H32" s="202"/>
    </row>
    <row r="33" spans="1:8" s="208" customFormat="1" ht="19.5" customHeight="1">
      <c r="A33" s="184"/>
      <c r="B33" s="185"/>
      <c r="C33" s="189"/>
      <c r="D33" s="191" t="s">
        <v>204</v>
      </c>
      <c r="E33" s="192"/>
      <c r="F33" s="193">
        <v>0.2746</v>
      </c>
      <c r="G33" s="194">
        <f>G32*F33</f>
        <v>2.88</v>
      </c>
      <c r="H33" s="202"/>
    </row>
    <row r="34" spans="1:8" s="208" customFormat="1" ht="19.5" customHeight="1" thickBot="1">
      <c r="A34" s="195"/>
      <c r="B34" s="196"/>
      <c r="C34" s="196"/>
      <c r="D34" s="1191" t="s">
        <v>65</v>
      </c>
      <c r="E34" s="1191"/>
      <c r="F34" s="1191"/>
      <c r="G34" s="197">
        <f>G32+G33</f>
        <v>13.35</v>
      </c>
      <c r="H34" s="202"/>
    </row>
    <row r="35" spans="1:7" s="277" customFormat="1" ht="19.5" customHeight="1">
      <c r="A35" s="289"/>
      <c r="B35" s="290"/>
      <c r="C35" s="290"/>
      <c r="D35" s="291"/>
      <c r="E35" s="290"/>
      <c r="F35" s="290"/>
      <c r="G35" s="292"/>
    </row>
    <row r="36" spans="1:7" ht="14.25">
      <c r="A36" s="1207" t="s">
        <v>683</v>
      </c>
      <c r="B36" s="1207"/>
      <c r="C36" s="1207"/>
      <c r="D36" s="1207"/>
      <c r="E36" s="1207"/>
      <c r="F36" s="1207"/>
      <c r="G36" s="1207"/>
    </row>
    <row r="37" spans="1:7" ht="14.25">
      <c r="A37" s="1208" t="s">
        <v>682</v>
      </c>
      <c r="B37" s="1209"/>
      <c r="C37" s="326" t="s">
        <v>189</v>
      </c>
      <c r="D37" s="327" t="s">
        <v>153</v>
      </c>
      <c r="E37" s="327" t="s">
        <v>528</v>
      </c>
      <c r="F37" s="327" t="s">
        <v>529</v>
      </c>
      <c r="G37" s="673" t="s">
        <v>323</v>
      </c>
    </row>
    <row r="38" spans="1:7" ht="14.25">
      <c r="A38" s="1210">
        <v>44944</v>
      </c>
      <c r="B38" s="1211"/>
      <c r="C38" s="674" t="s">
        <v>680</v>
      </c>
      <c r="D38" s="675">
        <v>1</v>
      </c>
      <c r="E38" s="675" t="s">
        <v>500</v>
      </c>
      <c r="F38" s="676">
        <v>5300</v>
      </c>
      <c r="G38" s="676">
        <f>F38/1000</f>
        <v>5.3</v>
      </c>
    </row>
    <row r="39" spans="1:7" ht="14.25">
      <c r="A39" s="1210">
        <v>44945</v>
      </c>
      <c r="B39" s="1211"/>
      <c r="C39" s="674" t="s">
        <v>684</v>
      </c>
      <c r="D39" s="675">
        <v>1</v>
      </c>
      <c r="E39" s="675" t="s">
        <v>500</v>
      </c>
      <c r="F39" s="676">
        <v>10500</v>
      </c>
      <c r="G39" s="676">
        <f>F39/1000</f>
        <v>10.5</v>
      </c>
    </row>
    <row r="40" spans="1:7" ht="14.25">
      <c r="A40" s="1210">
        <v>44949</v>
      </c>
      <c r="B40" s="1211"/>
      <c r="C40" s="674" t="s">
        <v>686</v>
      </c>
      <c r="D40" s="675">
        <v>1</v>
      </c>
      <c r="E40" s="675" t="s">
        <v>500</v>
      </c>
      <c r="F40" s="676">
        <v>7810</v>
      </c>
      <c r="G40" s="676">
        <f>F40/1000</f>
        <v>7.81</v>
      </c>
    </row>
    <row r="41" spans="1:7" ht="14.25">
      <c r="A41" s="1212" t="s">
        <v>530</v>
      </c>
      <c r="B41" s="1212"/>
      <c r="C41" s="1212"/>
      <c r="D41" s="1212"/>
      <c r="E41" s="1212"/>
      <c r="F41" s="1212"/>
      <c r="G41" s="677">
        <f>(G38+G39+G40)/3</f>
        <v>7.87</v>
      </c>
    </row>
    <row r="44" spans="1:7" ht="16.5">
      <c r="A44" s="1202" t="s">
        <v>308</v>
      </c>
      <c r="B44" s="1202"/>
      <c r="C44" s="1202"/>
      <c r="D44" s="1202"/>
      <c r="E44" s="1202"/>
      <c r="F44" s="1202"/>
      <c r="G44" s="1202"/>
    </row>
    <row r="45" spans="1:7" ht="16.5">
      <c r="A45" s="1203" t="s">
        <v>321</v>
      </c>
      <c r="B45" s="1204"/>
      <c r="C45" s="1205"/>
      <c r="D45" s="1206" t="s">
        <v>322</v>
      </c>
      <c r="E45" s="1206"/>
      <c r="F45" s="296"/>
      <c r="G45" s="297" t="s">
        <v>323</v>
      </c>
    </row>
    <row r="46" spans="1:7" ht="14.25">
      <c r="A46" s="1213" t="s">
        <v>324</v>
      </c>
      <c r="B46" s="1213"/>
      <c r="C46" s="1213"/>
      <c r="D46" s="1213"/>
      <c r="E46" s="1213"/>
      <c r="F46" s="299"/>
      <c r="G46" s="300"/>
    </row>
    <row r="47" spans="1:7" ht="14.25">
      <c r="A47" s="1214" t="s">
        <v>325</v>
      </c>
      <c r="B47" s="1214"/>
      <c r="C47" s="1214"/>
      <c r="D47" s="1214"/>
      <c r="E47" s="1214"/>
      <c r="F47" s="301"/>
      <c r="G47" s="301"/>
    </row>
    <row r="48" spans="1:7" ht="14.25">
      <c r="A48" s="1214" t="s">
        <v>326</v>
      </c>
      <c r="B48" s="1214"/>
      <c r="C48" s="1214"/>
      <c r="D48" s="1214"/>
      <c r="E48" s="1214"/>
      <c r="F48" s="301"/>
      <c r="G48" s="301"/>
    </row>
    <row r="49" spans="1:7" ht="16.5">
      <c r="A49" s="1215" t="s">
        <v>327</v>
      </c>
      <c r="B49" s="1215"/>
      <c r="C49" s="1215"/>
      <c r="D49" s="1215"/>
      <c r="E49" s="1215"/>
      <c r="F49" s="302"/>
      <c r="G49" s="302"/>
    </row>
    <row r="50" spans="1:7" ht="16.5">
      <c r="A50" s="1214" t="s">
        <v>328</v>
      </c>
      <c r="B50" s="1214"/>
      <c r="C50" s="1214"/>
      <c r="D50" s="1214"/>
      <c r="E50" s="1214"/>
      <c r="F50" s="303"/>
      <c r="G50" s="304"/>
    </row>
    <row r="51" spans="1:7" ht="16.5">
      <c r="A51" s="1214" t="s">
        <v>329</v>
      </c>
      <c r="B51" s="1214"/>
      <c r="C51" s="1214"/>
      <c r="D51" s="1214"/>
      <c r="E51" s="1214"/>
      <c r="F51" s="305"/>
      <c r="G51" s="304"/>
    </row>
    <row r="52" spans="1:7" ht="16.5">
      <c r="A52" s="1214" t="s">
        <v>330</v>
      </c>
      <c r="B52" s="1214"/>
      <c r="C52" s="1214"/>
      <c r="D52" s="1214"/>
      <c r="E52" s="1214"/>
      <c r="F52" s="305"/>
      <c r="G52" s="304"/>
    </row>
    <row r="53" spans="1:7" ht="16.5">
      <c r="A53" s="1214" t="s">
        <v>331</v>
      </c>
      <c r="B53" s="1214"/>
      <c r="C53" s="1214"/>
      <c r="D53" s="1214"/>
      <c r="E53" s="1214"/>
      <c r="F53" s="305"/>
      <c r="G53" s="304"/>
    </row>
    <row r="54" spans="1:7" ht="16.5">
      <c r="A54" s="1214" t="s">
        <v>332</v>
      </c>
      <c r="B54" s="1214"/>
      <c r="C54" s="1214"/>
      <c r="D54" s="1214"/>
      <c r="E54" s="1214"/>
      <c r="F54" s="305"/>
      <c r="G54" s="304"/>
    </row>
    <row r="55" spans="1:7" ht="16.5">
      <c r="A55" s="1216" t="s">
        <v>333</v>
      </c>
      <c r="B55" s="1216"/>
      <c r="C55" s="1216"/>
      <c r="D55" s="1216"/>
      <c r="E55" s="1216"/>
      <c r="F55" s="306"/>
      <c r="G55" s="307"/>
    </row>
    <row r="56" spans="1:7" ht="16.5">
      <c r="A56" s="1214" t="s">
        <v>334</v>
      </c>
      <c r="B56" s="1214"/>
      <c r="C56" s="1214"/>
      <c r="D56" s="1214"/>
      <c r="E56" s="1214"/>
      <c r="F56" s="305"/>
      <c r="G56" s="304"/>
    </row>
    <row r="57" spans="1:7" ht="16.5">
      <c r="A57" s="1214" t="s">
        <v>335</v>
      </c>
      <c r="B57" s="1214"/>
      <c r="C57" s="1214"/>
      <c r="D57" s="1214"/>
      <c r="E57" s="1214"/>
      <c r="F57" s="305"/>
      <c r="G57" s="304"/>
    </row>
    <row r="58" spans="1:7" ht="16.5">
      <c r="A58" s="1214" t="s">
        <v>336</v>
      </c>
      <c r="B58" s="1214"/>
      <c r="C58" s="1214"/>
      <c r="D58" s="1214" t="s">
        <v>337</v>
      </c>
      <c r="E58" s="1214"/>
      <c r="F58" s="305">
        <v>3680</v>
      </c>
      <c r="G58" s="304">
        <f>F58/1000</f>
        <v>3.68</v>
      </c>
    </row>
    <row r="59" spans="1:7" ht="16.5">
      <c r="A59" s="1214" t="s">
        <v>338</v>
      </c>
      <c r="B59" s="1214"/>
      <c r="C59" s="1214"/>
      <c r="D59" s="1214"/>
      <c r="E59" s="1214"/>
      <c r="F59" s="305"/>
      <c r="G59" s="304"/>
    </row>
    <row r="60" spans="1:7" ht="16.5">
      <c r="A60" s="1214" t="s">
        <v>339</v>
      </c>
      <c r="B60" s="1214"/>
      <c r="C60" s="1214"/>
      <c r="D60" s="1214"/>
      <c r="E60" s="1214"/>
      <c r="F60" s="305"/>
      <c r="G60" s="304"/>
    </row>
    <row r="61" spans="1:7" ht="16.5">
      <c r="A61" s="1214" t="s">
        <v>340</v>
      </c>
      <c r="B61" s="1214"/>
      <c r="C61" s="1214"/>
      <c r="D61" s="1214"/>
      <c r="E61" s="1214"/>
      <c r="F61" s="305"/>
      <c r="G61" s="304"/>
    </row>
    <row r="62" spans="1:7" ht="16.5">
      <c r="A62" s="1214" t="s">
        <v>341</v>
      </c>
      <c r="B62" s="1214"/>
      <c r="C62" s="1214"/>
      <c r="D62" s="1214"/>
      <c r="E62" s="1214"/>
      <c r="F62" s="305"/>
      <c r="G62" s="304"/>
    </row>
    <row r="63" spans="1:7" ht="16.5">
      <c r="A63" s="1214" t="s">
        <v>342</v>
      </c>
      <c r="B63" s="1214"/>
      <c r="C63" s="1214"/>
      <c r="D63" s="1214"/>
      <c r="E63" s="1214"/>
      <c r="F63" s="308"/>
      <c r="G63" s="309"/>
    </row>
    <row r="64" spans="1:7" ht="16.5">
      <c r="A64" s="1216" t="s">
        <v>343</v>
      </c>
      <c r="B64" s="1216"/>
      <c r="C64" s="1216"/>
      <c r="D64" s="1214"/>
      <c r="E64" s="1214"/>
      <c r="F64" s="305"/>
      <c r="G64" s="310"/>
    </row>
    <row r="65" spans="1:7" ht="16.5">
      <c r="A65" s="1214" t="s">
        <v>344</v>
      </c>
      <c r="B65" s="1214"/>
      <c r="C65" s="1214"/>
      <c r="D65" s="1214"/>
      <c r="E65" s="1214"/>
      <c r="F65" s="305"/>
      <c r="G65" s="304"/>
    </row>
    <row r="66" spans="1:7" ht="16.5">
      <c r="A66" s="1214" t="s">
        <v>345</v>
      </c>
      <c r="B66" s="1214"/>
      <c r="C66" s="1214"/>
      <c r="D66" s="1214"/>
      <c r="E66" s="1214"/>
      <c r="F66" s="305"/>
      <c r="G66" s="304"/>
    </row>
    <row r="67" spans="1:7" ht="16.5">
      <c r="A67" s="1214" t="s">
        <v>346</v>
      </c>
      <c r="B67" s="1214"/>
      <c r="C67" s="1214"/>
      <c r="D67" s="1214"/>
      <c r="E67" s="1214"/>
      <c r="F67" s="305"/>
      <c r="G67" s="304"/>
    </row>
  </sheetData>
  <sheetProtection/>
  <mergeCells count="74">
    <mergeCell ref="D30:F30"/>
    <mergeCell ref="D31:F31"/>
    <mergeCell ref="A24:G24"/>
    <mergeCell ref="A67:C67"/>
    <mergeCell ref="D67:E67"/>
    <mergeCell ref="A64:C64"/>
    <mergeCell ref="D64:E64"/>
    <mergeCell ref="A65:C65"/>
    <mergeCell ref="D65:E65"/>
    <mergeCell ref="A66:C66"/>
    <mergeCell ref="D66:E66"/>
    <mergeCell ref="A61:C61"/>
    <mergeCell ref="D61:E61"/>
    <mergeCell ref="A62:C62"/>
    <mergeCell ref="D62:E62"/>
    <mergeCell ref="A63:C63"/>
    <mergeCell ref="D63:E63"/>
    <mergeCell ref="A58:C58"/>
    <mergeCell ref="D58:E58"/>
    <mergeCell ref="A59:C59"/>
    <mergeCell ref="D59:E59"/>
    <mergeCell ref="A60:C60"/>
    <mergeCell ref="D60:E60"/>
    <mergeCell ref="A55:C55"/>
    <mergeCell ref="D55:E55"/>
    <mergeCell ref="A56:C56"/>
    <mergeCell ref="D56:E56"/>
    <mergeCell ref="A57:C57"/>
    <mergeCell ref="D57:E57"/>
    <mergeCell ref="A52:C52"/>
    <mergeCell ref="D52:E52"/>
    <mergeCell ref="A53:C53"/>
    <mergeCell ref="D53:E53"/>
    <mergeCell ref="A54:C54"/>
    <mergeCell ref="D54:E54"/>
    <mergeCell ref="A49:C49"/>
    <mergeCell ref="D49:E49"/>
    <mergeCell ref="A50:C50"/>
    <mergeCell ref="D50:E50"/>
    <mergeCell ref="A51:C51"/>
    <mergeCell ref="D51:E51"/>
    <mergeCell ref="A46:C46"/>
    <mergeCell ref="D46:E46"/>
    <mergeCell ref="A47:C47"/>
    <mergeCell ref="D47:E47"/>
    <mergeCell ref="A48:C48"/>
    <mergeCell ref="D48:E48"/>
    <mergeCell ref="A44:G44"/>
    <mergeCell ref="A45:C45"/>
    <mergeCell ref="D45:E45"/>
    <mergeCell ref="A36:G36"/>
    <mergeCell ref="A37:B37"/>
    <mergeCell ref="A38:B38"/>
    <mergeCell ref="A39:B39"/>
    <mergeCell ref="A40:B40"/>
    <mergeCell ref="A41:F41"/>
    <mergeCell ref="A16:G16"/>
    <mergeCell ref="A15:F15"/>
    <mergeCell ref="D32:F32"/>
    <mergeCell ref="D34:F34"/>
    <mergeCell ref="A11:G11"/>
    <mergeCell ref="A13:G13"/>
    <mergeCell ref="A23:F23"/>
    <mergeCell ref="A26:F26"/>
    <mergeCell ref="A27:G27"/>
    <mergeCell ref="D29:F29"/>
    <mergeCell ref="B1:G1"/>
    <mergeCell ref="A3:G3"/>
    <mergeCell ref="A4:G4"/>
    <mergeCell ref="A5:G5"/>
    <mergeCell ref="B8:G8"/>
    <mergeCell ref="A9:A10"/>
    <mergeCell ref="C9:F10"/>
    <mergeCell ref="B7:G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O19" sqref="O19"/>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1011"/>
      <c r="C1" s="1011"/>
      <c r="D1" s="1011"/>
      <c r="E1" s="1011"/>
      <c r="F1" s="1011"/>
      <c r="G1" s="1012"/>
    </row>
    <row r="2" spans="1:7" s="275" customFormat="1" ht="45.75" customHeight="1">
      <c r="A2" s="311"/>
      <c r="B2" s="667"/>
      <c r="C2" s="667"/>
      <c r="D2" s="667"/>
      <c r="E2" s="667"/>
      <c r="F2" s="667"/>
      <c r="G2" s="668"/>
    </row>
    <row r="3" spans="1:7" s="275" customFormat="1" ht="15" customHeight="1">
      <c r="A3" s="1013" t="s">
        <v>19</v>
      </c>
      <c r="B3" s="1014"/>
      <c r="C3" s="1014"/>
      <c r="D3" s="1014"/>
      <c r="E3" s="1014"/>
      <c r="F3" s="1014"/>
      <c r="G3" s="1015"/>
    </row>
    <row r="4" spans="1:7" s="275" customFormat="1" ht="15" customHeight="1">
      <c r="A4" s="1016" t="s">
        <v>193</v>
      </c>
      <c r="B4" s="1017"/>
      <c r="C4" s="1017"/>
      <c r="D4" s="1017"/>
      <c r="E4" s="1017"/>
      <c r="F4" s="1017"/>
      <c r="G4" s="1018"/>
    </row>
    <row r="5" spans="1:7" s="275" customFormat="1" ht="15" customHeight="1">
      <c r="A5" s="1016" t="s">
        <v>18</v>
      </c>
      <c r="B5" s="1017"/>
      <c r="C5" s="1017"/>
      <c r="D5" s="1017"/>
      <c r="E5" s="1017"/>
      <c r="F5" s="1017"/>
      <c r="G5" s="1018"/>
    </row>
    <row r="6" spans="1:7" s="275" customFormat="1" ht="15" customHeight="1">
      <c r="A6" s="669"/>
      <c r="B6" s="670"/>
      <c r="C6" s="670"/>
      <c r="D6" s="670"/>
      <c r="E6" s="670"/>
      <c r="F6" s="670"/>
      <c r="G6" s="671"/>
    </row>
    <row r="7" spans="1:7" s="277" customFormat="1" ht="40.5" customHeight="1">
      <c r="A7" s="622" t="s">
        <v>649</v>
      </c>
      <c r="B7" s="103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032"/>
      <c r="D7" s="1032"/>
      <c r="E7" s="1032"/>
      <c r="F7" s="1032"/>
      <c r="G7" s="1033"/>
    </row>
    <row r="8" spans="1:7" s="275" customFormat="1" ht="15" customHeight="1" thickBot="1">
      <c r="A8" s="276"/>
      <c r="B8" s="1173"/>
      <c r="C8" s="1173"/>
      <c r="D8" s="1173"/>
      <c r="E8" s="1173"/>
      <c r="F8" s="1173"/>
      <c r="G8" s="1174"/>
    </row>
    <row r="9" spans="1:7" s="277" customFormat="1" ht="24" customHeight="1" thickTop="1">
      <c r="A9" s="1181" t="s">
        <v>615</v>
      </c>
      <c r="B9" s="1220" t="s">
        <v>676</v>
      </c>
      <c r="C9" s="1138" t="s">
        <v>675</v>
      </c>
      <c r="D9" s="1139"/>
      <c r="E9" s="1139"/>
      <c r="F9" s="1183"/>
      <c r="G9" s="457" t="s">
        <v>647</v>
      </c>
    </row>
    <row r="10" spans="1:7" s="277" customFormat="1" ht="15" thickBot="1">
      <c r="A10" s="1182"/>
      <c r="B10" s="1221"/>
      <c r="C10" s="1140"/>
      <c r="D10" s="1141"/>
      <c r="E10" s="1141"/>
      <c r="F10" s="1184"/>
      <c r="G10" s="183" t="s">
        <v>660</v>
      </c>
    </row>
    <row r="11" spans="1:7" s="277" customFormat="1" ht="12.75" customHeight="1" thickTop="1">
      <c r="A11" s="1192"/>
      <c r="B11" s="1193"/>
      <c r="C11" s="1193"/>
      <c r="D11" s="1193"/>
      <c r="E11" s="1193"/>
      <c r="F11" s="1193"/>
      <c r="G11" s="1194"/>
    </row>
    <row r="12" spans="1:8" s="208" customFormat="1" ht="19.5" customHeight="1">
      <c r="A12" s="345" t="s">
        <v>38</v>
      </c>
      <c r="B12" s="346" t="s">
        <v>280</v>
      </c>
      <c r="C12" s="347" t="s">
        <v>39</v>
      </c>
      <c r="D12" s="346" t="s">
        <v>40</v>
      </c>
      <c r="E12" s="347" t="s">
        <v>157</v>
      </c>
      <c r="F12" s="348" t="s">
        <v>41</v>
      </c>
      <c r="G12" s="349" t="s">
        <v>42</v>
      </c>
      <c r="H12" s="202"/>
    </row>
    <row r="13" spans="1:7" s="277" customFormat="1" ht="19.5" customHeight="1">
      <c r="A13" s="1195" t="s">
        <v>37</v>
      </c>
      <c r="B13" s="1196"/>
      <c r="C13" s="1196"/>
      <c r="D13" s="1196"/>
      <c r="E13" s="1196"/>
      <c r="F13" s="1196"/>
      <c r="G13" s="1197"/>
    </row>
    <row r="14" spans="1:7" s="277" customFormat="1" ht="19.5" customHeight="1">
      <c r="A14" s="317">
        <v>1</v>
      </c>
      <c r="B14" s="313">
        <v>88316</v>
      </c>
      <c r="C14" s="314" t="s">
        <v>195</v>
      </c>
      <c r="D14" s="313" t="s">
        <v>238</v>
      </c>
      <c r="E14" s="315">
        <v>0.0055</v>
      </c>
      <c r="F14" s="316">
        <v>19.22</v>
      </c>
      <c r="G14" s="323">
        <f>E14*F14</f>
        <v>0.11</v>
      </c>
    </row>
    <row r="15" spans="1:7" s="277" customFormat="1" ht="19.5" customHeight="1">
      <c r="A15" s="1188" t="s">
        <v>641</v>
      </c>
      <c r="B15" s="1189"/>
      <c r="C15" s="1189"/>
      <c r="D15" s="1189"/>
      <c r="E15" s="1189"/>
      <c r="F15" s="1189"/>
      <c r="G15" s="328">
        <f>SUM(G14:G14)</f>
        <v>0.11</v>
      </c>
    </row>
    <row r="16" spans="1:7" s="277" customFormat="1" ht="19.5" customHeight="1">
      <c r="A16" s="1185" t="s">
        <v>48</v>
      </c>
      <c r="B16" s="1186"/>
      <c r="C16" s="1186"/>
      <c r="D16" s="1186"/>
      <c r="E16" s="1186"/>
      <c r="F16" s="1186"/>
      <c r="G16" s="1187"/>
    </row>
    <row r="17" spans="1:7" s="277" customFormat="1" ht="19.5" customHeight="1">
      <c r="A17" s="317">
        <v>1</v>
      </c>
      <c r="B17" s="318">
        <v>5839</v>
      </c>
      <c r="C17" s="319" t="s">
        <v>272</v>
      </c>
      <c r="D17" s="320" t="s">
        <v>180</v>
      </c>
      <c r="E17" s="321">
        <v>0.002</v>
      </c>
      <c r="F17" s="322">
        <v>10.28</v>
      </c>
      <c r="G17" s="323">
        <f aca="true" t="shared" si="0" ref="G17:G22">E17*F17</f>
        <v>0.02</v>
      </c>
    </row>
    <row r="18" spans="1:7" s="277" customFormat="1" ht="19.5" customHeight="1">
      <c r="A18" s="317">
        <v>2</v>
      </c>
      <c r="B18" s="318">
        <v>5841</v>
      </c>
      <c r="C18" s="319" t="s">
        <v>273</v>
      </c>
      <c r="D18" s="320" t="s">
        <v>182</v>
      </c>
      <c r="E18" s="321">
        <v>0.004</v>
      </c>
      <c r="F18" s="322">
        <v>4.89</v>
      </c>
      <c r="G18" s="323">
        <f t="shared" si="0"/>
        <v>0.02</v>
      </c>
    </row>
    <row r="19" spans="1:7" s="277" customFormat="1" ht="19.5" customHeight="1">
      <c r="A19" s="317">
        <v>3</v>
      </c>
      <c r="B19" s="318">
        <v>83362</v>
      </c>
      <c r="C19" s="319" t="s">
        <v>677</v>
      </c>
      <c r="D19" s="320" t="s">
        <v>180</v>
      </c>
      <c r="E19" s="321">
        <v>0.0004</v>
      </c>
      <c r="F19" s="322">
        <v>250.05</v>
      </c>
      <c r="G19" s="323">
        <f t="shared" si="0"/>
        <v>0.1</v>
      </c>
    </row>
    <row r="20" spans="1:7" s="277" customFormat="1" ht="19.5" customHeight="1">
      <c r="A20" s="317">
        <v>4</v>
      </c>
      <c r="B20" s="318">
        <v>89035</v>
      </c>
      <c r="C20" s="319" t="s">
        <v>274</v>
      </c>
      <c r="D20" s="320" t="s">
        <v>180</v>
      </c>
      <c r="E20" s="321">
        <v>0.0017</v>
      </c>
      <c r="F20" s="322">
        <v>123.71</v>
      </c>
      <c r="G20" s="323">
        <f t="shared" si="0"/>
        <v>0.21</v>
      </c>
    </row>
    <row r="21" spans="1:7" s="277" customFormat="1" ht="19.5" customHeight="1">
      <c r="A21" s="317">
        <v>5</v>
      </c>
      <c r="B21" s="318">
        <v>89036</v>
      </c>
      <c r="C21" s="319" t="s">
        <v>275</v>
      </c>
      <c r="D21" s="320" t="s">
        <v>182</v>
      </c>
      <c r="E21" s="321">
        <v>0.0038</v>
      </c>
      <c r="F21" s="322">
        <v>38.89</v>
      </c>
      <c r="G21" s="323">
        <f t="shared" si="0"/>
        <v>0.15</v>
      </c>
    </row>
    <row r="22" spans="1:7" s="277" customFormat="1" ht="19.5" customHeight="1">
      <c r="A22" s="317">
        <v>6</v>
      </c>
      <c r="B22" s="318">
        <v>91486</v>
      </c>
      <c r="C22" s="319" t="s">
        <v>678</v>
      </c>
      <c r="D22" s="320" t="s">
        <v>182</v>
      </c>
      <c r="E22" s="321">
        <v>0.0051</v>
      </c>
      <c r="F22" s="322">
        <v>53.12</v>
      </c>
      <c r="G22" s="323">
        <f t="shared" si="0"/>
        <v>0.27</v>
      </c>
    </row>
    <row r="23" spans="1:7" s="277" customFormat="1" ht="19.5" customHeight="1">
      <c r="A23" s="1188" t="s">
        <v>642</v>
      </c>
      <c r="B23" s="1189"/>
      <c r="C23" s="1189"/>
      <c r="D23" s="1189"/>
      <c r="E23" s="1189"/>
      <c r="F23" s="1189"/>
      <c r="G23" s="328">
        <f>SUM(G17:G22)</f>
        <v>0.77</v>
      </c>
    </row>
    <row r="24" spans="1:7" s="277" customFormat="1" ht="19.5" customHeight="1">
      <c r="A24" s="1217" t="s">
        <v>50</v>
      </c>
      <c r="B24" s="1218"/>
      <c r="C24" s="1218"/>
      <c r="D24" s="1218"/>
      <c r="E24" s="1218"/>
      <c r="F24" s="1218"/>
      <c r="G24" s="1219"/>
    </row>
    <row r="25" spans="1:7" s="277" customFormat="1" ht="19.5" customHeight="1">
      <c r="A25" s="317">
        <v>1</v>
      </c>
      <c r="B25" s="318" t="s">
        <v>308</v>
      </c>
      <c r="C25" s="324" t="s">
        <v>679</v>
      </c>
      <c r="D25" s="320" t="s">
        <v>303</v>
      </c>
      <c r="E25" s="325">
        <v>0.45</v>
      </c>
      <c r="F25" s="322">
        <f>G41</f>
        <v>5.53</v>
      </c>
      <c r="G25" s="323">
        <f>E25*F25</f>
        <v>2.49</v>
      </c>
    </row>
    <row r="26" spans="1:7" s="277" customFormat="1" ht="19.5" customHeight="1">
      <c r="A26" s="1188" t="s">
        <v>643</v>
      </c>
      <c r="B26" s="1189"/>
      <c r="C26" s="1189"/>
      <c r="D26" s="1189"/>
      <c r="E26" s="1189"/>
      <c r="F26" s="1189"/>
      <c r="G26" s="328">
        <f>SUM(G25:G25)</f>
        <v>2.49</v>
      </c>
    </row>
    <row r="27" spans="1:8" s="208" customFormat="1" ht="19.5" customHeight="1">
      <c r="A27" s="1198" t="s">
        <v>52</v>
      </c>
      <c r="B27" s="1199"/>
      <c r="C27" s="1199"/>
      <c r="D27" s="1199"/>
      <c r="E27" s="1199"/>
      <c r="F27" s="1199"/>
      <c r="G27" s="1200"/>
      <c r="H27" s="202"/>
    </row>
    <row r="28" spans="1:8" s="208" customFormat="1" ht="19.5" customHeight="1">
      <c r="A28" s="184" t="s">
        <v>38</v>
      </c>
      <c r="B28" s="185"/>
      <c r="C28" s="185" t="s">
        <v>53</v>
      </c>
      <c r="D28" s="185" t="s">
        <v>42</v>
      </c>
      <c r="E28" s="185"/>
      <c r="F28" s="188"/>
      <c r="G28" s="186"/>
      <c r="H28" s="202"/>
    </row>
    <row r="29" spans="1:8" s="208" customFormat="1" ht="19.5" customHeight="1">
      <c r="A29" s="184" t="s">
        <v>54</v>
      </c>
      <c r="B29" s="185"/>
      <c r="C29" s="187" t="s">
        <v>55</v>
      </c>
      <c r="D29" s="1201" t="s">
        <v>56</v>
      </c>
      <c r="E29" s="1201"/>
      <c r="F29" s="1201"/>
      <c r="G29" s="186">
        <f>G15</f>
        <v>0.11</v>
      </c>
      <c r="H29" s="202"/>
    </row>
    <row r="30" spans="1:8" s="208" customFormat="1" ht="19.5" customHeight="1">
      <c r="A30" s="184" t="s">
        <v>57</v>
      </c>
      <c r="B30" s="185"/>
      <c r="C30" s="187" t="s">
        <v>58</v>
      </c>
      <c r="D30" s="1201" t="s">
        <v>59</v>
      </c>
      <c r="E30" s="1201"/>
      <c r="F30" s="1201"/>
      <c r="G30" s="186">
        <f>G23</f>
        <v>0.77</v>
      </c>
      <c r="H30" s="202"/>
    </row>
    <row r="31" spans="1:8" s="208" customFormat="1" ht="19.5" customHeight="1">
      <c r="A31" s="184" t="s">
        <v>15</v>
      </c>
      <c r="B31" s="185"/>
      <c r="C31" s="187" t="s">
        <v>60</v>
      </c>
      <c r="D31" s="1201" t="s">
        <v>61</v>
      </c>
      <c r="E31" s="1201"/>
      <c r="F31" s="1201"/>
      <c r="G31" s="186">
        <f>G26</f>
        <v>2.49</v>
      </c>
      <c r="H31" s="202"/>
    </row>
    <row r="32" spans="1:8" s="208" customFormat="1" ht="19.5" customHeight="1">
      <c r="A32" s="184" t="s">
        <v>8</v>
      </c>
      <c r="B32" s="185"/>
      <c r="C32" s="189" t="s">
        <v>62</v>
      </c>
      <c r="D32" s="1190" t="s">
        <v>63</v>
      </c>
      <c r="E32" s="1190"/>
      <c r="F32" s="1190"/>
      <c r="G32" s="190">
        <f>G29+G30+G31</f>
        <v>3.37</v>
      </c>
      <c r="H32" s="202"/>
    </row>
    <row r="33" spans="1:8" s="208" customFormat="1" ht="19.5" customHeight="1">
      <c r="A33" s="184"/>
      <c r="B33" s="185"/>
      <c r="C33" s="189"/>
      <c r="D33" s="191" t="s">
        <v>204</v>
      </c>
      <c r="E33" s="192"/>
      <c r="F33" s="193">
        <v>0.2746</v>
      </c>
      <c r="G33" s="194">
        <f>G32*F33</f>
        <v>0.93</v>
      </c>
      <c r="H33" s="202"/>
    </row>
    <row r="34" spans="1:8" s="208" customFormat="1" ht="19.5" customHeight="1" thickBot="1">
      <c r="A34" s="195"/>
      <c r="B34" s="196"/>
      <c r="C34" s="196"/>
      <c r="D34" s="1191" t="s">
        <v>65</v>
      </c>
      <c r="E34" s="1191"/>
      <c r="F34" s="1191"/>
      <c r="G34" s="197">
        <f>G32+G33</f>
        <v>4.3</v>
      </c>
      <c r="H34" s="202"/>
    </row>
    <row r="35" spans="1:7" s="277" customFormat="1" ht="19.5" customHeight="1">
      <c r="A35" s="289"/>
      <c r="B35" s="290"/>
      <c r="C35" s="290"/>
      <c r="D35" s="291"/>
      <c r="E35" s="290"/>
      <c r="F35" s="290"/>
      <c r="G35" s="292"/>
    </row>
    <row r="36" spans="1:7" ht="14.25">
      <c r="A36" s="1207" t="s">
        <v>681</v>
      </c>
      <c r="B36" s="1207"/>
      <c r="C36" s="1207"/>
      <c r="D36" s="1207"/>
      <c r="E36" s="1207"/>
      <c r="F36" s="1207"/>
      <c r="G36" s="1207"/>
    </row>
    <row r="37" spans="1:7" ht="14.25">
      <c r="A37" s="1208" t="s">
        <v>682</v>
      </c>
      <c r="B37" s="1209"/>
      <c r="C37" s="326" t="s">
        <v>189</v>
      </c>
      <c r="D37" s="327" t="s">
        <v>153</v>
      </c>
      <c r="E37" s="327" t="s">
        <v>528</v>
      </c>
      <c r="F37" s="327" t="s">
        <v>529</v>
      </c>
      <c r="G37" s="673" t="s">
        <v>323</v>
      </c>
    </row>
    <row r="38" spans="1:7" ht="14.25">
      <c r="A38" s="1210">
        <v>44944</v>
      </c>
      <c r="B38" s="1211"/>
      <c r="C38" s="674" t="s">
        <v>680</v>
      </c>
      <c r="D38" s="675">
        <v>1</v>
      </c>
      <c r="E38" s="675" t="s">
        <v>500</v>
      </c>
      <c r="F38" s="676">
        <v>5800</v>
      </c>
      <c r="G38" s="676">
        <f>F38/1000</f>
        <v>5.8</v>
      </c>
    </row>
    <row r="39" spans="1:7" ht="14.25">
      <c r="A39" s="1210">
        <v>44945</v>
      </c>
      <c r="B39" s="1211"/>
      <c r="C39" s="674" t="s">
        <v>684</v>
      </c>
      <c r="D39" s="675">
        <v>1</v>
      </c>
      <c r="E39" s="675" t="s">
        <v>500</v>
      </c>
      <c r="F39" s="676">
        <v>5700</v>
      </c>
      <c r="G39" s="676">
        <f>F39/1000</f>
        <v>5.7</v>
      </c>
    </row>
    <row r="40" spans="1:7" ht="14.25">
      <c r="A40" s="1210">
        <v>44949</v>
      </c>
      <c r="B40" s="1211"/>
      <c r="C40" s="674" t="s">
        <v>686</v>
      </c>
      <c r="D40" s="675">
        <v>1</v>
      </c>
      <c r="E40" s="675" t="s">
        <v>500</v>
      </c>
      <c r="F40" s="676">
        <v>5100</v>
      </c>
      <c r="G40" s="676">
        <f>F40/1000</f>
        <v>5.1</v>
      </c>
    </row>
    <row r="41" spans="1:7" ht="14.25">
      <c r="A41" s="1212" t="s">
        <v>530</v>
      </c>
      <c r="B41" s="1212"/>
      <c r="C41" s="1212"/>
      <c r="D41" s="1212"/>
      <c r="E41" s="1212"/>
      <c r="F41" s="1212"/>
      <c r="G41" s="677">
        <f>(G38+G39+G40)/3</f>
        <v>5.53</v>
      </c>
    </row>
    <row r="44" spans="1:7" ht="16.5">
      <c r="A44" s="1202" t="s">
        <v>308</v>
      </c>
      <c r="B44" s="1202"/>
      <c r="C44" s="1202"/>
      <c r="D44" s="1202"/>
      <c r="E44" s="1202"/>
      <c r="F44" s="1202"/>
      <c r="G44" s="1202"/>
    </row>
    <row r="45" spans="1:7" ht="16.5">
      <c r="A45" s="1203" t="s">
        <v>321</v>
      </c>
      <c r="B45" s="1204"/>
      <c r="C45" s="1205"/>
      <c r="D45" s="1206" t="s">
        <v>322</v>
      </c>
      <c r="E45" s="1206"/>
      <c r="F45" s="296"/>
      <c r="G45" s="297" t="s">
        <v>323</v>
      </c>
    </row>
    <row r="46" spans="1:7" ht="14.25">
      <c r="A46" s="1213" t="s">
        <v>324</v>
      </c>
      <c r="B46" s="1213"/>
      <c r="C46" s="1213"/>
      <c r="D46" s="1213"/>
      <c r="E46" s="1213"/>
      <c r="F46" s="299"/>
      <c r="G46" s="300"/>
    </row>
    <row r="47" spans="1:7" ht="14.25">
      <c r="A47" s="1214" t="s">
        <v>325</v>
      </c>
      <c r="B47" s="1214"/>
      <c r="C47" s="1214"/>
      <c r="D47" s="1214"/>
      <c r="E47" s="1214"/>
      <c r="F47" s="301"/>
      <c r="G47" s="301"/>
    </row>
    <row r="48" spans="1:7" ht="14.25">
      <c r="A48" s="1214" t="s">
        <v>326</v>
      </c>
      <c r="B48" s="1214"/>
      <c r="C48" s="1214"/>
      <c r="D48" s="1214"/>
      <c r="E48" s="1214"/>
      <c r="F48" s="301"/>
      <c r="G48" s="301"/>
    </row>
    <row r="49" spans="1:7" ht="16.5">
      <c r="A49" s="1215" t="s">
        <v>327</v>
      </c>
      <c r="B49" s="1215"/>
      <c r="C49" s="1215"/>
      <c r="D49" s="1215"/>
      <c r="E49" s="1215"/>
      <c r="F49" s="302"/>
      <c r="G49" s="302"/>
    </row>
    <row r="50" spans="1:7" ht="16.5">
      <c r="A50" s="1214" t="s">
        <v>328</v>
      </c>
      <c r="B50" s="1214"/>
      <c r="C50" s="1214"/>
      <c r="D50" s="1214"/>
      <c r="E50" s="1214"/>
      <c r="F50" s="303"/>
      <c r="G50" s="304"/>
    </row>
    <row r="51" spans="1:7" ht="16.5">
      <c r="A51" s="1214" t="s">
        <v>329</v>
      </c>
      <c r="B51" s="1214"/>
      <c r="C51" s="1214"/>
      <c r="D51" s="1214"/>
      <c r="E51" s="1214"/>
      <c r="F51" s="305"/>
      <c r="G51" s="304"/>
    </row>
    <row r="52" spans="1:7" ht="16.5">
      <c r="A52" s="1214" t="s">
        <v>330</v>
      </c>
      <c r="B52" s="1214"/>
      <c r="C52" s="1214"/>
      <c r="D52" s="1214"/>
      <c r="E52" s="1214"/>
      <c r="F52" s="305"/>
      <c r="G52" s="304"/>
    </row>
    <row r="53" spans="1:7" ht="16.5">
      <c r="A53" s="1214" t="s">
        <v>331</v>
      </c>
      <c r="B53" s="1214"/>
      <c r="C53" s="1214"/>
      <c r="D53" s="1214"/>
      <c r="E53" s="1214"/>
      <c r="F53" s="305"/>
      <c r="G53" s="304"/>
    </row>
    <row r="54" spans="1:7" ht="16.5">
      <c r="A54" s="1214" t="s">
        <v>332</v>
      </c>
      <c r="B54" s="1214"/>
      <c r="C54" s="1214"/>
      <c r="D54" s="1214"/>
      <c r="E54" s="1214"/>
      <c r="F54" s="305"/>
      <c r="G54" s="304"/>
    </row>
    <row r="55" spans="1:7" ht="16.5">
      <c r="A55" s="1216" t="s">
        <v>333</v>
      </c>
      <c r="B55" s="1216"/>
      <c r="C55" s="1216"/>
      <c r="D55" s="1216"/>
      <c r="E55" s="1216"/>
      <c r="F55" s="306"/>
      <c r="G55" s="307"/>
    </row>
    <row r="56" spans="1:7" ht="16.5">
      <c r="A56" s="1214" t="s">
        <v>334</v>
      </c>
      <c r="B56" s="1214"/>
      <c r="C56" s="1214"/>
      <c r="D56" s="1214"/>
      <c r="E56" s="1214"/>
      <c r="F56" s="305"/>
      <c r="G56" s="304"/>
    </row>
    <row r="57" spans="1:7" ht="16.5">
      <c r="A57" s="1214" t="s">
        <v>335</v>
      </c>
      <c r="B57" s="1214"/>
      <c r="C57" s="1214"/>
      <c r="D57" s="1214"/>
      <c r="E57" s="1214"/>
      <c r="F57" s="305"/>
      <c r="G57" s="304"/>
    </row>
    <row r="58" spans="1:7" ht="16.5">
      <c r="A58" s="1214" t="s">
        <v>336</v>
      </c>
      <c r="B58" s="1214"/>
      <c r="C58" s="1214"/>
      <c r="D58" s="1214" t="s">
        <v>337</v>
      </c>
      <c r="E58" s="1214"/>
      <c r="F58" s="305">
        <v>3680</v>
      </c>
      <c r="G58" s="304">
        <f>F58/1000</f>
        <v>3.68</v>
      </c>
    </row>
    <row r="59" spans="1:7" ht="16.5">
      <c r="A59" s="1214" t="s">
        <v>338</v>
      </c>
      <c r="B59" s="1214"/>
      <c r="C59" s="1214"/>
      <c r="D59" s="1214"/>
      <c r="E59" s="1214"/>
      <c r="F59" s="305"/>
      <c r="G59" s="304"/>
    </row>
    <row r="60" spans="1:7" ht="16.5">
      <c r="A60" s="1214" t="s">
        <v>339</v>
      </c>
      <c r="B60" s="1214"/>
      <c r="C60" s="1214"/>
      <c r="D60" s="1214"/>
      <c r="E60" s="1214"/>
      <c r="F60" s="305"/>
      <c r="G60" s="304"/>
    </row>
    <row r="61" spans="1:7" ht="16.5">
      <c r="A61" s="1214" t="s">
        <v>340</v>
      </c>
      <c r="B61" s="1214"/>
      <c r="C61" s="1214"/>
      <c r="D61" s="1214"/>
      <c r="E61" s="1214"/>
      <c r="F61" s="305"/>
      <c r="G61" s="304"/>
    </row>
    <row r="62" spans="1:7" ht="16.5">
      <c r="A62" s="1214" t="s">
        <v>341</v>
      </c>
      <c r="B62" s="1214"/>
      <c r="C62" s="1214"/>
      <c r="D62" s="1214"/>
      <c r="E62" s="1214"/>
      <c r="F62" s="305"/>
      <c r="G62" s="304"/>
    </row>
    <row r="63" spans="1:7" ht="16.5">
      <c r="A63" s="1214" t="s">
        <v>342</v>
      </c>
      <c r="B63" s="1214"/>
      <c r="C63" s="1214"/>
      <c r="D63" s="1214"/>
      <c r="E63" s="1214"/>
      <c r="F63" s="308"/>
      <c r="G63" s="309"/>
    </row>
    <row r="64" spans="1:7" ht="16.5">
      <c r="A64" s="1216" t="s">
        <v>343</v>
      </c>
      <c r="B64" s="1216"/>
      <c r="C64" s="1216"/>
      <c r="D64" s="1214"/>
      <c r="E64" s="1214"/>
      <c r="F64" s="305"/>
      <c r="G64" s="672"/>
    </row>
    <row r="65" spans="1:7" ht="16.5">
      <c r="A65" s="1214" t="s">
        <v>344</v>
      </c>
      <c r="B65" s="1214"/>
      <c r="C65" s="1214"/>
      <c r="D65" s="1214"/>
      <c r="E65" s="1214"/>
      <c r="F65" s="305"/>
      <c r="G65" s="304"/>
    </row>
    <row r="66" spans="1:7" ht="16.5">
      <c r="A66" s="1214" t="s">
        <v>345</v>
      </c>
      <c r="B66" s="1214"/>
      <c r="C66" s="1214"/>
      <c r="D66" s="1214"/>
      <c r="E66" s="1214"/>
      <c r="F66" s="305"/>
      <c r="G66" s="304"/>
    </row>
    <row r="67" spans="1:7" ht="16.5">
      <c r="A67" s="1214" t="s">
        <v>346</v>
      </c>
      <c r="B67" s="1214"/>
      <c r="C67" s="1214"/>
      <c r="D67" s="1214"/>
      <c r="E67" s="1214"/>
      <c r="F67" s="305"/>
      <c r="G67" s="304"/>
    </row>
  </sheetData>
  <sheetProtection/>
  <mergeCells count="75">
    <mergeCell ref="B1:G1"/>
    <mergeCell ref="A3:G3"/>
    <mergeCell ref="A4:G4"/>
    <mergeCell ref="A5:G5"/>
    <mergeCell ref="B7:G7"/>
    <mergeCell ref="B8:G8"/>
    <mergeCell ref="A9:A10"/>
    <mergeCell ref="C9:F10"/>
    <mergeCell ref="A11:G11"/>
    <mergeCell ref="A13:G13"/>
    <mergeCell ref="A15:F15"/>
    <mergeCell ref="A16:G16"/>
    <mergeCell ref="A23:F23"/>
    <mergeCell ref="A24:G24"/>
    <mergeCell ref="A26:F26"/>
    <mergeCell ref="A27:G27"/>
    <mergeCell ref="D29:F29"/>
    <mergeCell ref="D30:F30"/>
    <mergeCell ref="D31:F31"/>
    <mergeCell ref="D32:F32"/>
    <mergeCell ref="D34:F34"/>
    <mergeCell ref="A36:G36"/>
    <mergeCell ref="A37:B37"/>
    <mergeCell ref="A38:B38"/>
    <mergeCell ref="A39:B39"/>
    <mergeCell ref="A40:B40"/>
    <mergeCell ref="A41:F41"/>
    <mergeCell ref="A44:G44"/>
    <mergeCell ref="A45:C45"/>
    <mergeCell ref="D45:E45"/>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D60:E60"/>
    <mergeCell ref="A55:C55"/>
    <mergeCell ref="D55:E55"/>
    <mergeCell ref="A56:C56"/>
    <mergeCell ref="D56:E56"/>
    <mergeCell ref="A57:C57"/>
    <mergeCell ref="D57:E57"/>
    <mergeCell ref="D61:E61"/>
    <mergeCell ref="A62:C62"/>
    <mergeCell ref="D62:E62"/>
    <mergeCell ref="A63:C63"/>
    <mergeCell ref="D63:E63"/>
    <mergeCell ref="A58:C58"/>
    <mergeCell ref="D58:E58"/>
    <mergeCell ref="A59:C59"/>
    <mergeCell ref="D59:E59"/>
    <mergeCell ref="A60:C60"/>
    <mergeCell ref="A67:C67"/>
    <mergeCell ref="D67:E67"/>
    <mergeCell ref="B9:B10"/>
    <mergeCell ref="A64:C64"/>
    <mergeCell ref="D64:E64"/>
    <mergeCell ref="A65:C65"/>
    <mergeCell ref="D65:E65"/>
    <mergeCell ref="A66:C66"/>
    <mergeCell ref="D66:E66"/>
    <mergeCell ref="A61:C61"/>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J47"/>
  <sheetViews>
    <sheetView view="pageBreakPreview" zoomScale="85" zoomScaleSheetLayoutView="85" zoomScalePageLayoutView="0" workbookViewId="0" topLeftCell="A1">
      <selection activeCell="A11" sqref="A11:G11"/>
    </sheetView>
  </sheetViews>
  <sheetFormatPr defaultColWidth="9.140625" defaultRowHeight="12.75"/>
  <cols>
    <col min="1" max="1" width="10.28125" style="125" customWidth="1"/>
    <col min="2" max="2" width="10.7109375" style="125" customWidth="1"/>
    <col min="3" max="3" width="45.7109375" style="125" customWidth="1"/>
    <col min="4" max="7" width="14.7109375" style="125" customWidth="1"/>
    <col min="8" max="8" width="11.7109375" style="124" customWidth="1"/>
    <col min="9" max="9" width="9.140625" style="124" customWidth="1"/>
    <col min="10" max="16384" width="9.140625" style="125" customWidth="1"/>
  </cols>
  <sheetData>
    <row r="1" spans="1:8" ht="14.25">
      <c r="A1" s="120"/>
      <c r="B1" s="121"/>
      <c r="C1" s="121"/>
      <c r="D1" s="121"/>
      <c r="E1" s="121"/>
      <c r="F1" s="121"/>
      <c r="G1" s="122"/>
      <c r="H1" s="123"/>
    </row>
    <row r="2" spans="1:8" ht="50.25" customHeight="1">
      <c r="A2" s="1078"/>
      <c r="B2" s="1079"/>
      <c r="C2" s="1079"/>
      <c r="D2" s="1079"/>
      <c r="E2" s="1079"/>
      <c r="F2" s="1079"/>
      <c r="G2" s="1129"/>
      <c r="H2" s="123"/>
    </row>
    <row r="3" spans="1:8" ht="16.5">
      <c r="A3" s="1231" t="s">
        <v>19</v>
      </c>
      <c r="B3" s="1232"/>
      <c r="C3" s="1232"/>
      <c r="D3" s="1232"/>
      <c r="E3" s="1232"/>
      <c r="F3" s="1232"/>
      <c r="G3" s="1233"/>
      <c r="H3" s="126"/>
    </row>
    <row r="4" spans="1:8" ht="14.25">
      <c r="A4" s="1078" t="s">
        <v>193</v>
      </c>
      <c r="B4" s="1079"/>
      <c r="C4" s="1079"/>
      <c r="D4" s="1079"/>
      <c r="E4" s="1079"/>
      <c r="F4" s="1079"/>
      <c r="G4" s="1129"/>
      <c r="H4" s="126"/>
    </row>
    <row r="5" spans="1:8" ht="14.25">
      <c r="A5" s="1130" t="s">
        <v>18</v>
      </c>
      <c r="B5" s="1131"/>
      <c r="C5" s="1131"/>
      <c r="D5" s="1131"/>
      <c r="E5" s="1131"/>
      <c r="F5" s="1131"/>
      <c r="G5" s="1132"/>
      <c r="H5" s="126"/>
    </row>
    <row r="6" spans="1:8" ht="14.25">
      <c r="A6" s="591"/>
      <c r="B6" s="592"/>
      <c r="C6" s="592"/>
      <c r="D6" s="592"/>
      <c r="E6" s="592"/>
      <c r="F6" s="592"/>
      <c r="G6" s="593"/>
      <c r="H6" s="126"/>
    </row>
    <row r="7" spans="1:8" ht="41.25" customHeight="1">
      <c r="A7" s="642" t="s">
        <v>649</v>
      </c>
      <c r="B7" s="1225"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226"/>
      <c r="D7" s="1226"/>
      <c r="E7" s="1226"/>
      <c r="F7" s="1226"/>
      <c r="G7" s="1227"/>
      <c r="H7" s="596"/>
    </row>
    <row r="8" spans="1:8" ht="15" thickBot="1">
      <c r="A8" s="1133"/>
      <c r="B8" s="1134"/>
      <c r="C8" s="1134"/>
      <c r="D8" s="1134"/>
      <c r="E8" s="1134"/>
      <c r="F8" s="1134"/>
      <c r="G8" s="1135"/>
      <c r="H8" s="126"/>
    </row>
    <row r="9" spans="1:8" ht="15" thickTop="1">
      <c r="A9" s="1234" t="s">
        <v>615</v>
      </c>
      <c r="B9" s="355" t="s">
        <v>192</v>
      </c>
      <c r="C9" s="1235" t="s">
        <v>639</v>
      </c>
      <c r="D9" s="1236"/>
      <c r="E9" s="1236"/>
      <c r="F9" s="1237"/>
      <c r="G9" s="461" t="s">
        <v>661</v>
      </c>
      <c r="H9" s="127"/>
    </row>
    <row r="10" spans="1:8" ht="15" thickBot="1">
      <c r="A10" s="1182"/>
      <c r="B10" s="351">
        <v>45017</v>
      </c>
      <c r="C10" s="1140"/>
      <c r="D10" s="1141"/>
      <c r="E10" s="1141"/>
      <c r="F10" s="1184"/>
      <c r="G10" s="462" t="s">
        <v>580</v>
      </c>
      <c r="H10" s="127"/>
    </row>
    <row r="11" spans="1:8" ht="15" thickTop="1">
      <c r="A11" s="1108"/>
      <c r="B11" s="1109"/>
      <c r="C11" s="1109"/>
      <c r="D11" s="1109"/>
      <c r="E11" s="1109"/>
      <c r="F11" s="1109"/>
      <c r="G11" s="1110"/>
      <c r="H11" s="127"/>
    </row>
    <row r="12" spans="1:9" s="130" customFormat="1" ht="19.5" customHeight="1">
      <c r="A12" s="263" t="s">
        <v>38</v>
      </c>
      <c r="B12" s="264" t="s">
        <v>280</v>
      </c>
      <c r="C12" s="265" t="s">
        <v>39</v>
      </c>
      <c r="D12" s="264" t="s">
        <v>40</v>
      </c>
      <c r="E12" s="265" t="s">
        <v>157</v>
      </c>
      <c r="F12" s="266" t="s">
        <v>41</v>
      </c>
      <c r="G12" s="267" t="s">
        <v>42</v>
      </c>
      <c r="H12" s="134"/>
      <c r="I12" s="124"/>
    </row>
    <row r="13" spans="1:10" s="130" customFormat="1" ht="19.5" customHeight="1">
      <c r="A13" s="1054" t="s">
        <v>37</v>
      </c>
      <c r="B13" s="1055"/>
      <c r="C13" s="1055"/>
      <c r="D13" s="1055"/>
      <c r="E13" s="1055"/>
      <c r="F13" s="1055"/>
      <c r="G13" s="1056"/>
      <c r="H13" s="128"/>
      <c r="I13" s="124">
        <v>1.28</v>
      </c>
      <c r="J13" s="129">
        <f>G44</f>
        <v>179</v>
      </c>
    </row>
    <row r="14" spans="1:9" s="130" customFormat="1" ht="30" customHeight="1">
      <c r="A14" s="135">
        <v>1</v>
      </c>
      <c r="B14" s="136" t="s">
        <v>506</v>
      </c>
      <c r="C14" s="137" t="s">
        <v>413</v>
      </c>
      <c r="D14" s="138" t="s">
        <v>45</v>
      </c>
      <c r="E14" s="139" t="str">
        <f>'[1]Composição ORSE'!$H$12</f>
        <v> 0,0059524</v>
      </c>
      <c r="F14" s="140">
        <v>20.81</v>
      </c>
      <c r="G14" s="141">
        <f>E14*F14</f>
        <v>0.12</v>
      </c>
      <c r="H14" s="142">
        <v>0.0134</v>
      </c>
      <c r="I14" s="124">
        <f>$I$13</f>
        <v>1.28</v>
      </c>
    </row>
    <row r="15" spans="1:9" s="130" customFormat="1" ht="30" customHeight="1">
      <c r="A15" s="174">
        <v>2</v>
      </c>
      <c r="B15" s="175" t="s">
        <v>46</v>
      </c>
      <c r="C15" s="176" t="s">
        <v>195</v>
      </c>
      <c r="D15" s="177" t="s">
        <v>45</v>
      </c>
      <c r="E15" s="178" t="str">
        <f>'[1]Composição ORSE'!$H$20</f>
        <v> 0,0178571</v>
      </c>
      <c r="F15" s="179">
        <v>19.22</v>
      </c>
      <c r="G15" s="141">
        <f>E15*F15</f>
        <v>0.34</v>
      </c>
      <c r="H15" s="142">
        <v>0.035</v>
      </c>
      <c r="I15" s="124">
        <f aca="true" t="shared" si="0" ref="I15:I29">$I$13</f>
        <v>1.28</v>
      </c>
    </row>
    <row r="16" spans="1:9" s="130" customFormat="1" ht="19.5" customHeight="1">
      <c r="A16" s="1043" t="s">
        <v>47</v>
      </c>
      <c r="B16" s="1044"/>
      <c r="C16" s="1044"/>
      <c r="D16" s="1044"/>
      <c r="E16" s="1044"/>
      <c r="F16" s="1044"/>
      <c r="G16" s="624">
        <f>SUM(G14:G15)</f>
        <v>0.46</v>
      </c>
      <c r="H16" s="143"/>
      <c r="I16" s="124"/>
    </row>
    <row r="17" spans="1:9" s="130" customFormat="1" ht="19.5" customHeight="1">
      <c r="A17" s="1054" t="s">
        <v>48</v>
      </c>
      <c r="B17" s="1055"/>
      <c r="C17" s="1055"/>
      <c r="D17" s="1055"/>
      <c r="E17" s="1055"/>
      <c r="F17" s="1055"/>
      <c r="G17" s="1056"/>
      <c r="H17" s="128"/>
      <c r="I17" s="124"/>
    </row>
    <row r="18" spans="1:10" s="130" customFormat="1" ht="30" customHeight="1">
      <c r="A18" s="135">
        <v>1</v>
      </c>
      <c r="B18" s="148">
        <v>5903</v>
      </c>
      <c r="C18" s="149" t="s">
        <v>285</v>
      </c>
      <c r="D18" s="138" t="s">
        <v>182</v>
      </c>
      <c r="E18" s="139">
        <v>0.078</v>
      </c>
      <c r="F18" s="140">
        <v>58.4</v>
      </c>
      <c r="G18" s="141">
        <f>E18*F18</f>
        <v>4.56</v>
      </c>
      <c r="H18" s="142">
        <v>0.035</v>
      </c>
      <c r="I18" s="124">
        <f t="shared" si="0"/>
        <v>1.28</v>
      </c>
      <c r="J18" s="130">
        <f>77.84/2</f>
        <v>38.92</v>
      </c>
    </row>
    <row r="19" spans="1:9" s="130" customFormat="1" ht="30" customHeight="1">
      <c r="A19" s="135">
        <v>2</v>
      </c>
      <c r="B19" s="148">
        <v>5901</v>
      </c>
      <c r="C19" s="149" t="s">
        <v>283</v>
      </c>
      <c r="D19" s="138" t="s">
        <v>180</v>
      </c>
      <c r="E19" s="139">
        <v>0.022</v>
      </c>
      <c r="F19" s="140">
        <v>302.64</v>
      </c>
      <c r="G19" s="141">
        <f>E19*F19</f>
        <v>6.66</v>
      </c>
      <c r="H19" s="142">
        <v>0.0134</v>
      </c>
      <c r="I19" s="124">
        <f t="shared" si="0"/>
        <v>1.28</v>
      </c>
    </row>
    <row r="20" spans="1:10" s="130" customFormat="1" ht="30" customHeight="1">
      <c r="A20" s="135">
        <v>3</v>
      </c>
      <c r="B20" s="148">
        <v>5689</v>
      </c>
      <c r="C20" s="149" t="s">
        <v>507</v>
      </c>
      <c r="D20" s="138" t="s">
        <v>180</v>
      </c>
      <c r="E20" s="139">
        <v>0.1385</v>
      </c>
      <c r="F20" s="140">
        <v>6.84</v>
      </c>
      <c r="G20" s="141">
        <f aca="true" t="shared" si="1" ref="G20:G29">E20*F20</f>
        <v>0.95</v>
      </c>
      <c r="H20" s="142">
        <v>0.0134</v>
      </c>
      <c r="I20" s="124">
        <f t="shared" si="0"/>
        <v>1.28</v>
      </c>
      <c r="J20" s="130">
        <f>15.35/2</f>
        <v>7.675</v>
      </c>
    </row>
    <row r="21" spans="1:9" s="130" customFormat="1" ht="30" customHeight="1">
      <c r="A21" s="135">
        <v>4</v>
      </c>
      <c r="B21" s="148">
        <v>5690</v>
      </c>
      <c r="C21" s="149" t="s">
        <v>508</v>
      </c>
      <c r="D21" s="138" t="s">
        <v>182</v>
      </c>
      <c r="E21" s="139">
        <v>0.1615</v>
      </c>
      <c r="F21" s="140">
        <v>4.25</v>
      </c>
      <c r="G21" s="141">
        <f t="shared" si="1"/>
        <v>0.69</v>
      </c>
      <c r="H21" s="142">
        <v>0.0134</v>
      </c>
      <c r="I21" s="124">
        <f t="shared" si="0"/>
        <v>1.28</v>
      </c>
    </row>
    <row r="22" spans="1:10" s="130" customFormat="1" ht="30" customHeight="1">
      <c r="A22" s="135">
        <v>5</v>
      </c>
      <c r="B22" s="148">
        <v>5934</v>
      </c>
      <c r="C22" s="149" t="s">
        <v>291</v>
      </c>
      <c r="D22" s="138" t="s">
        <v>182</v>
      </c>
      <c r="E22" s="139">
        <v>0.072</v>
      </c>
      <c r="F22" s="140">
        <v>95.04</v>
      </c>
      <c r="G22" s="141">
        <f t="shared" si="1"/>
        <v>6.84</v>
      </c>
      <c r="H22" s="142">
        <v>0.0464</v>
      </c>
      <c r="I22" s="124">
        <f t="shared" si="0"/>
        <v>1.28</v>
      </c>
      <c r="J22" s="130">
        <f>142.03/2</f>
        <v>71.015</v>
      </c>
    </row>
    <row r="23" spans="1:9" s="130" customFormat="1" ht="30" customHeight="1">
      <c r="A23" s="135">
        <v>6</v>
      </c>
      <c r="B23" s="148">
        <v>5932</v>
      </c>
      <c r="C23" s="149" t="s">
        <v>288</v>
      </c>
      <c r="D23" s="138" t="s">
        <v>180</v>
      </c>
      <c r="E23" s="139">
        <v>0.028</v>
      </c>
      <c r="F23" s="140">
        <v>272.13</v>
      </c>
      <c r="G23" s="141">
        <f t="shared" si="1"/>
        <v>7.62</v>
      </c>
      <c r="H23" s="142">
        <v>0.0949</v>
      </c>
      <c r="I23" s="124">
        <f t="shared" si="0"/>
        <v>1.28</v>
      </c>
    </row>
    <row r="24" spans="1:10" s="130" customFormat="1" ht="30" customHeight="1">
      <c r="A24" s="135">
        <v>7</v>
      </c>
      <c r="B24" s="148">
        <v>6880</v>
      </c>
      <c r="C24" s="149" t="s">
        <v>582</v>
      </c>
      <c r="D24" s="138" t="s">
        <v>182</v>
      </c>
      <c r="E24" s="139">
        <v>0.072</v>
      </c>
      <c r="F24" s="140">
        <v>82.69</v>
      </c>
      <c r="G24" s="141">
        <f t="shared" si="1"/>
        <v>5.95</v>
      </c>
      <c r="H24" s="142">
        <v>0.0464</v>
      </c>
      <c r="I24" s="124">
        <f t="shared" si="0"/>
        <v>1.28</v>
      </c>
      <c r="J24" s="130">
        <f>111.18/2</f>
        <v>55.59</v>
      </c>
    </row>
    <row r="25" spans="1:9" s="130" customFormat="1" ht="30" customHeight="1">
      <c r="A25" s="135">
        <v>8</v>
      </c>
      <c r="B25" s="148">
        <v>6879</v>
      </c>
      <c r="C25" s="149" t="s">
        <v>583</v>
      </c>
      <c r="D25" s="138" t="s">
        <v>180</v>
      </c>
      <c r="E25" s="139">
        <v>0.028</v>
      </c>
      <c r="F25" s="140">
        <v>215.02</v>
      </c>
      <c r="G25" s="141">
        <f t="shared" si="1"/>
        <v>6.02</v>
      </c>
      <c r="H25" s="142">
        <v>0.0805</v>
      </c>
      <c r="I25" s="124">
        <f t="shared" si="0"/>
        <v>1.28</v>
      </c>
    </row>
    <row r="26" spans="1:10" s="130" customFormat="1" ht="30" customHeight="1">
      <c r="A26" s="135">
        <v>9</v>
      </c>
      <c r="B26" s="148">
        <v>96021</v>
      </c>
      <c r="C26" s="149" t="s">
        <v>584</v>
      </c>
      <c r="D26" s="138" t="s">
        <v>182</v>
      </c>
      <c r="E26" s="139">
        <v>0.085</v>
      </c>
      <c r="F26" s="140">
        <v>49.37</v>
      </c>
      <c r="G26" s="141">
        <f t="shared" si="1"/>
        <v>4.2</v>
      </c>
      <c r="H26" s="142">
        <v>0.0607</v>
      </c>
      <c r="I26" s="124">
        <f t="shared" si="0"/>
        <v>1.28</v>
      </c>
      <c r="J26" s="130">
        <f>79.89/2</f>
        <v>39.945</v>
      </c>
    </row>
    <row r="27" spans="1:9" s="130" customFormat="1" ht="30" customHeight="1">
      <c r="A27" s="135">
        <v>10</v>
      </c>
      <c r="B27" s="148">
        <v>96020</v>
      </c>
      <c r="C27" s="149" t="s">
        <v>585</v>
      </c>
      <c r="D27" s="138" t="s">
        <v>180</v>
      </c>
      <c r="E27" s="139">
        <v>0.015</v>
      </c>
      <c r="F27" s="140">
        <v>174.2</v>
      </c>
      <c r="G27" s="141">
        <f t="shared" si="1"/>
        <v>2.61</v>
      </c>
      <c r="H27" s="142">
        <v>0.1071</v>
      </c>
      <c r="I27" s="124">
        <f t="shared" si="0"/>
        <v>1.28</v>
      </c>
    </row>
    <row r="28" spans="1:10" s="130" customFormat="1" ht="30" customHeight="1">
      <c r="A28" s="135">
        <v>11</v>
      </c>
      <c r="B28" s="148">
        <v>7050</v>
      </c>
      <c r="C28" s="149" t="s">
        <v>586</v>
      </c>
      <c r="D28" s="138" t="s">
        <v>182</v>
      </c>
      <c r="E28" s="139">
        <v>0.075</v>
      </c>
      <c r="F28" s="140">
        <v>75.84</v>
      </c>
      <c r="G28" s="141">
        <f t="shared" si="1"/>
        <v>5.69</v>
      </c>
      <c r="H28" s="142">
        <v>0.0341</v>
      </c>
      <c r="I28" s="124">
        <f t="shared" si="0"/>
        <v>1.28</v>
      </c>
      <c r="J28" s="130">
        <f>102.08/2</f>
        <v>51.04</v>
      </c>
    </row>
    <row r="29" spans="1:9" s="130" customFormat="1" ht="30" customHeight="1">
      <c r="A29" s="174">
        <v>12</v>
      </c>
      <c r="B29" s="180">
        <v>7049</v>
      </c>
      <c r="C29" s="181" t="s">
        <v>587</v>
      </c>
      <c r="D29" s="177" t="s">
        <v>180</v>
      </c>
      <c r="E29" s="178">
        <v>0.025</v>
      </c>
      <c r="F29" s="179">
        <v>226.01</v>
      </c>
      <c r="G29" s="141">
        <f t="shared" si="1"/>
        <v>5.65</v>
      </c>
      <c r="H29" s="142">
        <v>0.0419</v>
      </c>
      <c r="I29" s="124">
        <f t="shared" si="0"/>
        <v>1.28</v>
      </c>
    </row>
    <row r="30" spans="1:9" s="130" customFormat="1" ht="19.5" customHeight="1">
      <c r="A30" s="1043" t="s">
        <v>49</v>
      </c>
      <c r="B30" s="1044"/>
      <c r="C30" s="1044"/>
      <c r="D30" s="1044"/>
      <c r="E30" s="1044"/>
      <c r="F30" s="1044"/>
      <c r="G30" s="624">
        <f>SUM(G18:G29)</f>
        <v>57.44</v>
      </c>
      <c r="H30" s="143"/>
      <c r="I30" s="124"/>
    </row>
    <row r="31" spans="1:9" s="130" customFormat="1" ht="19.5" customHeight="1">
      <c r="A31" s="1045" t="s">
        <v>50</v>
      </c>
      <c r="B31" s="1046"/>
      <c r="C31" s="1046"/>
      <c r="D31" s="1046"/>
      <c r="E31" s="1046"/>
      <c r="F31" s="1046"/>
      <c r="G31" s="1047"/>
      <c r="H31" s="128"/>
      <c r="I31" s="124"/>
    </row>
    <row r="32" spans="1:9" s="130" customFormat="1" ht="30" customHeight="1">
      <c r="A32" s="135">
        <v>1</v>
      </c>
      <c r="B32" s="136" t="s">
        <v>588</v>
      </c>
      <c r="C32" s="137" t="s">
        <v>589</v>
      </c>
      <c r="D32" s="138" t="s">
        <v>0</v>
      </c>
      <c r="E32" s="139">
        <v>1.15</v>
      </c>
      <c r="F32" s="140">
        <v>36.51</v>
      </c>
      <c r="G32" s="141">
        <f>E32*F32</f>
        <v>41.99</v>
      </c>
      <c r="H32" s="142">
        <v>0.1875</v>
      </c>
      <c r="I32" s="124">
        <f>$I$13</f>
        <v>1.28</v>
      </c>
    </row>
    <row r="33" spans="1:9" s="130" customFormat="1" ht="19.5" customHeight="1">
      <c r="A33" s="1123" t="s">
        <v>51</v>
      </c>
      <c r="B33" s="1124"/>
      <c r="C33" s="1124"/>
      <c r="D33" s="1124"/>
      <c r="E33" s="1124"/>
      <c r="F33" s="1125"/>
      <c r="G33" s="624">
        <f>SUM(G32:G32)</f>
        <v>41.99</v>
      </c>
      <c r="H33" s="143"/>
      <c r="I33" s="124"/>
    </row>
    <row r="34" spans="1:9" s="130" customFormat="1" ht="19.5" customHeight="1">
      <c r="A34" s="1045" t="s">
        <v>590</v>
      </c>
      <c r="B34" s="1046"/>
      <c r="C34" s="1046"/>
      <c r="D34" s="1046"/>
      <c r="E34" s="1046"/>
      <c r="F34" s="1046"/>
      <c r="G34" s="1047"/>
      <c r="H34" s="128"/>
      <c r="I34" s="124"/>
    </row>
    <row r="35" spans="1:9" s="130" customFormat="1" ht="30" customHeight="1">
      <c r="A35" s="135">
        <v>1</v>
      </c>
      <c r="B35" s="136" t="s">
        <v>591</v>
      </c>
      <c r="C35" s="182" t="s">
        <v>350</v>
      </c>
      <c r="D35" s="138" t="s">
        <v>0</v>
      </c>
      <c r="E35" s="139">
        <v>1</v>
      </c>
      <c r="F35" s="140">
        <v>6.03</v>
      </c>
      <c r="G35" s="141">
        <f>E35*F35</f>
        <v>6.03</v>
      </c>
      <c r="H35" s="142"/>
      <c r="I35" s="124"/>
    </row>
    <row r="36" spans="1:9" s="130" customFormat="1" ht="30" customHeight="1">
      <c r="A36" s="135">
        <v>2</v>
      </c>
      <c r="B36" s="171">
        <v>93591</v>
      </c>
      <c r="C36" s="137" t="s">
        <v>348</v>
      </c>
      <c r="D36" s="138" t="s">
        <v>237</v>
      </c>
      <c r="E36" s="139">
        <v>28</v>
      </c>
      <c r="F36" s="140">
        <v>2.61</v>
      </c>
      <c r="G36" s="141">
        <f>E36*F36</f>
        <v>73.08</v>
      </c>
      <c r="H36" s="142"/>
      <c r="I36" s="150"/>
    </row>
    <row r="37" spans="1:9" s="130" customFormat="1" ht="19.5" customHeight="1">
      <c r="A37" s="1043" t="s">
        <v>592</v>
      </c>
      <c r="B37" s="1044"/>
      <c r="C37" s="1044"/>
      <c r="D37" s="1044"/>
      <c r="E37" s="1044"/>
      <c r="F37" s="1044"/>
      <c r="G37" s="624">
        <f>SUM(G35:G36)</f>
        <v>79.11</v>
      </c>
      <c r="H37" s="143"/>
      <c r="I37" s="124"/>
    </row>
    <row r="38" spans="1:9" s="130" customFormat="1" ht="19.5" customHeight="1">
      <c r="A38" s="1222" t="s">
        <v>52</v>
      </c>
      <c r="B38" s="1223"/>
      <c r="C38" s="1223"/>
      <c r="D38" s="1223"/>
      <c r="E38" s="1223"/>
      <c r="F38" s="1223"/>
      <c r="G38" s="1224"/>
      <c r="H38" s="151"/>
      <c r="I38" s="124"/>
    </row>
    <row r="39" spans="1:9" s="130" customFormat="1" ht="19.5" customHeight="1">
      <c r="A39" s="144" t="s">
        <v>38</v>
      </c>
      <c r="B39" s="138"/>
      <c r="C39" s="138" t="s">
        <v>53</v>
      </c>
      <c r="D39" s="1228" t="s">
        <v>42</v>
      </c>
      <c r="E39" s="1229"/>
      <c r="F39" s="1229"/>
      <c r="G39" s="1230"/>
      <c r="H39" s="134"/>
      <c r="I39" s="124"/>
    </row>
    <row r="40" spans="1:9" s="130" customFormat="1" ht="19.5" customHeight="1">
      <c r="A40" s="144" t="s">
        <v>54</v>
      </c>
      <c r="B40" s="138"/>
      <c r="C40" s="138" t="s">
        <v>55</v>
      </c>
      <c r="D40" s="1106" t="s">
        <v>56</v>
      </c>
      <c r="E40" s="1106"/>
      <c r="F40" s="1106"/>
      <c r="G40" s="147">
        <f>G16</f>
        <v>0.46</v>
      </c>
      <c r="H40" s="134"/>
      <c r="I40" s="124"/>
    </row>
    <row r="41" spans="1:9" s="130" customFormat="1" ht="19.5" customHeight="1">
      <c r="A41" s="144" t="s">
        <v>57</v>
      </c>
      <c r="B41" s="138"/>
      <c r="C41" s="138" t="s">
        <v>58</v>
      </c>
      <c r="D41" s="1106" t="s">
        <v>59</v>
      </c>
      <c r="E41" s="1106"/>
      <c r="F41" s="1106"/>
      <c r="G41" s="147">
        <f>G30</f>
        <v>57.44</v>
      </c>
      <c r="H41" s="134"/>
      <c r="I41" s="124"/>
    </row>
    <row r="42" spans="1:9" s="130" customFormat="1" ht="19.5" customHeight="1">
      <c r="A42" s="144" t="s">
        <v>15</v>
      </c>
      <c r="B42" s="138"/>
      <c r="C42" s="138" t="s">
        <v>60</v>
      </c>
      <c r="D42" s="1106" t="s">
        <v>61</v>
      </c>
      <c r="E42" s="1106"/>
      <c r="F42" s="1106"/>
      <c r="G42" s="147">
        <f>G33</f>
        <v>41.99</v>
      </c>
      <c r="H42" s="134"/>
      <c r="I42" s="124"/>
    </row>
    <row r="43" spans="1:9" s="130" customFormat="1" ht="19.5" customHeight="1">
      <c r="A43" s="144" t="s">
        <v>8</v>
      </c>
      <c r="B43" s="138"/>
      <c r="C43" s="138" t="s">
        <v>593</v>
      </c>
      <c r="D43" s="1106" t="s">
        <v>594</v>
      </c>
      <c r="E43" s="1106"/>
      <c r="F43" s="1106"/>
      <c r="G43" s="147">
        <f>G37</f>
        <v>79.11</v>
      </c>
      <c r="H43" s="134"/>
      <c r="I43" s="124"/>
    </row>
    <row r="44" spans="1:9" s="130" customFormat="1" ht="19.5" customHeight="1">
      <c r="A44" s="144" t="s">
        <v>64</v>
      </c>
      <c r="B44" s="138"/>
      <c r="C44" s="153" t="s">
        <v>595</v>
      </c>
      <c r="D44" s="1107" t="s">
        <v>63</v>
      </c>
      <c r="E44" s="1107"/>
      <c r="F44" s="1107"/>
      <c r="G44" s="154">
        <f>G40+G41+G42+G43</f>
        <v>179</v>
      </c>
      <c r="H44" s="155">
        <v>596</v>
      </c>
      <c r="I44" s="124"/>
    </row>
    <row r="45" spans="1:9" s="130" customFormat="1" ht="19.5" customHeight="1">
      <c r="A45" s="144"/>
      <c r="B45" s="138"/>
      <c r="C45" s="153"/>
      <c r="D45" s="156" t="s">
        <v>204</v>
      </c>
      <c r="E45" s="157"/>
      <c r="F45" s="158">
        <v>0.2746</v>
      </c>
      <c r="G45" s="173">
        <f>G44*F45</f>
        <v>49.15</v>
      </c>
      <c r="H45" s="160"/>
      <c r="I45" s="124"/>
    </row>
    <row r="46" spans="1:9" s="130" customFormat="1" ht="19.5" customHeight="1" thickBot="1">
      <c r="A46" s="161"/>
      <c r="B46" s="162"/>
      <c r="C46" s="162"/>
      <c r="D46" s="1042" t="s">
        <v>65</v>
      </c>
      <c r="E46" s="1042"/>
      <c r="F46" s="1042"/>
      <c r="G46" s="163">
        <f>G44+G45</f>
        <v>228.15</v>
      </c>
      <c r="H46" s="164"/>
      <c r="I46" s="124"/>
    </row>
    <row r="47" spans="1:8" ht="14.25">
      <c r="A47" s="165"/>
      <c r="B47" s="165"/>
      <c r="C47" s="165"/>
      <c r="D47" s="166"/>
      <c r="E47" s="166"/>
      <c r="F47" s="166"/>
      <c r="G47" s="167"/>
      <c r="H47" s="167"/>
    </row>
  </sheetData>
  <sheetProtection/>
  <mergeCells count="25">
    <mergeCell ref="A37:F37"/>
    <mergeCell ref="D39:G39"/>
    <mergeCell ref="A3:G3"/>
    <mergeCell ref="A4:G4"/>
    <mergeCell ref="A5:G5"/>
    <mergeCell ref="A8:G8"/>
    <mergeCell ref="A31:G31"/>
    <mergeCell ref="A34:G34"/>
    <mergeCell ref="A9:A10"/>
    <mergeCell ref="C9:F10"/>
    <mergeCell ref="A11:G11"/>
    <mergeCell ref="A2:G2"/>
    <mergeCell ref="A16:F16"/>
    <mergeCell ref="A30:F30"/>
    <mergeCell ref="A33:F33"/>
    <mergeCell ref="B7:G7"/>
    <mergeCell ref="A13:G13"/>
    <mergeCell ref="A17:G17"/>
    <mergeCell ref="D46:F46"/>
    <mergeCell ref="A38:G38"/>
    <mergeCell ref="D40:F40"/>
    <mergeCell ref="D41:F41"/>
    <mergeCell ref="D42:F42"/>
    <mergeCell ref="D43:F43"/>
    <mergeCell ref="D44:F44"/>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4"/>
  <drawing r:id="rId3"/>
  <legacyDrawing r:id="rId2"/>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28">
      <selection activeCell="B7" sqref="B7:F7"/>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261"/>
      <c r="B1" s="1262"/>
      <c r="C1" s="1262"/>
      <c r="D1" s="1262"/>
      <c r="E1" s="1262"/>
      <c r="F1" s="1263"/>
    </row>
    <row r="2" spans="1:6" s="45" customFormat="1" ht="74.25" customHeight="1">
      <c r="A2" s="76"/>
      <c r="B2" s="77"/>
      <c r="C2" s="77"/>
      <c r="D2" s="77"/>
      <c r="E2" s="77"/>
      <c r="F2" s="78"/>
    </row>
    <row r="3" spans="1:6" s="46" customFormat="1" ht="19.5" customHeight="1">
      <c r="A3" s="1264" t="s">
        <v>19</v>
      </c>
      <c r="B3" s="1265"/>
      <c r="C3" s="1265"/>
      <c r="D3" s="1265"/>
      <c r="E3" s="1265"/>
      <c r="F3" s="1266"/>
    </row>
    <row r="4" spans="1:6" s="46" customFormat="1" ht="19.5" customHeight="1">
      <c r="A4" s="1267" t="s">
        <v>193</v>
      </c>
      <c r="B4" s="1268"/>
      <c r="C4" s="1268"/>
      <c r="D4" s="1268"/>
      <c r="E4" s="1268"/>
      <c r="F4" s="1269"/>
    </row>
    <row r="5" spans="1:6" s="46" customFormat="1" ht="19.5" customHeight="1">
      <c r="A5" s="1267" t="s">
        <v>18</v>
      </c>
      <c r="B5" s="1268"/>
      <c r="C5" s="1268"/>
      <c r="D5" s="1268"/>
      <c r="E5" s="1268"/>
      <c r="F5" s="1269"/>
    </row>
    <row r="6" spans="1:6" s="46" customFormat="1" ht="19.5" customHeight="1">
      <c r="A6" s="1276"/>
      <c r="B6" s="1277"/>
      <c r="C6" s="1277"/>
      <c r="D6" s="1277"/>
      <c r="E6" s="1277"/>
      <c r="F6" s="1278"/>
    </row>
    <row r="7" spans="1:6" ht="78.75" customHeight="1">
      <c r="A7" s="643" t="s">
        <v>649</v>
      </c>
      <c r="B7" s="1279"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280"/>
      <c r="D7" s="1280"/>
      <c r="E7" s="1280"/>
      <c r="F7" s="1281"/>
    </row>
    <row r="8" spans="1:6" s="46" customFormat="1" ht="19.5" customHeight="1" thickBot="1">
      <c r="A8" s="1270"/>
      <c r="B8" s="1271"/>
      <c r="C8" s="1271"/>
      <c r="D8" s="1271"/>
      <c r="E8" s="1271"/>
      <c r="F8" s="1272"/>
    </row>
    <row r="9" spans="1:6" ht="34.5" customHeight="1" thickBot="1" thickTop="1">
      <c r="A9" s="1273" t="s">
        <v>618</v>
      </c>
      <c r="B9" s="1274"/>
      <c r="C9" s="1274"/>
      <c r="D9" s="1274"/>
      <c r="E9" s="1274"/>
      <c r="F9" s="1275"/>
    </row>
    <row r="10" spans="1:6" ht="18.75" customHeight="1" thickTop="1">
      <c r="A10" s="1247"/>
      <c r="B10" s="1248"/>
      <c r="C10" s="1248"/>
      <c r="D10" s="1248"/>
      <c r="E10" s="1248"/>
      <c r="F10" s="1249"/>
    </row>
    <row r="11" spans="1:6" ht="30" customHeight="1">
      <c r="A11" s="1258" t="s">
        <v>619</v>
      </c>
      <c r="B11" s="1259"/>
      <c r="C11" s="1259"/>
      <c r="D11" s="1259"/>
      <c r="E11" s="1259"/>
      <c r="F11" s="1260"/>
    </row>
    <row r="12" spans="1:6" ht="20.25">
      <c r="A12" s="1253" t="s">
        <v>71</v>
      </c>
      <c r="B12" s="1255" t="s">
        <v>72</v>
      </c>
      <c r="C12" s="1250" t="s">
        <v>276</v>
      </c>
      <c r="D12" s="1251"/>
      <c r="E12" s="1250" t="s">
        <v>277</v>
      </c>
      <c r="F12" s="1252"/>
    </row>
    <row r="13" spans="1:6" s="45" customFormat="1" ht="20.25">
      <c r="A13" s="1253"/>
      <c r="B13" s="1256"/>
      <c r="C13" s="594" t="s">
        <v>73</v>
      </c>
      <c r="D13" s="594" t="s">
        <v>74</v>
      </c>
      <c r="E13" s="594" t="s">
        <v>73</v>
      </c>
      <c r="F13" s="644" t="s">
        <v>74</v>
      </c>
    </row>
    <row r="14" spans="1:6" s="45" customFormat="1" ht="20.25">
      <c r="A14" s="1254"/>
      <c r="B14" s="1257"/>
      <c r="C14" s="595" t="s">
        <v>217</v>
      </c>
      <c r="D14" s="595" t="s">
        <v>217</v>
      </c>
      <c r="E14" s="595" t="s">
        <v>217</v>
      </c>
      <c r="F14" s="645" t="s">
        <v>217</v>
      </c>
    </row>
    <row r="15" spans="1:6" s="45" customFormat="1" ht="24.75" customHeight="1">
      <c r="A15" s="1238" t="s">
        <v>75</v>
      </c>
      <c r="B15" s="1239"/>
      <c r="C15" s="1242"/>
      <c r="D15" s="1243"/>
      <c r="E15" s="48"/>
      <c r="F15" s="49"/>
    </row>
    <row r="16" spans="1:6" s="45" customFormat="1" ht="24.75" customHeight="1">
      <c r="A16" s="50" t="s">
        <v>76</v>
      </c>
      <c r="B16" s="51" t="s">
        <v>77</v>
      </c>
      <c r="C16" s="52">
        <v>0</v>
      </c>
      <c r="D16" s="52">
        <v>0</v>
      </c>
      <c r="E16" s="52">
        <v>20</v>
      </c>
      <c r="F16" s="53">
        <v>20</v>
      </c>
    </row>
    <row r="17" spans="1:6" s="45" customFormat="1" ht="24.75" customHeight="1">
      <c r="A17" s="50" t="s">
        <v>78</v>
      </c>
      <c r="B17" s="51" t="s">
        <v>79</v>
      </c>
      <c r="C17" s="52">
        <v>1.5</v>
      </c>
      <c r="D17" s="52">
        <v>1.5</v>
      </c>
      <c r="E17" s="52">
        <v>1.5</v>
      </c>
      <c r="F17" s="53">
        <v>1.5</v>
      </c>
    </row>
    <row r="18" spans="1:6" s="45" customFormat="1" ht="24.75" customHeight="1">
      <c r="A18" s="50" t="s">
        <v>80</v>
      </c>
      <c r="B18" s="51" t="s">
        <v>81</v>
      </c>
      <c r="C18" s="52">
        <v>1</v>
      </c>
      <c r="D18" s="52">
        <v>1</v>
      </c>
      <c r="E18" s="52">
        <v>1</v>
      </c>
      <c r="F18" s="53">
        <v>1</v>
      </c>
    </row>
    <row r="19" spans="1:6" s="45" customFormat="1" ht="24.75" customHeight="1">
      <c r="A19" s="50" t="s">
        <v>82</v>
      </c>
      <c r="B19" s="51" t="s">
        <v>83</v>
      </c>
      <c r="C19" s="52">
        <v>0.2</v>
      </c>
      <c r="D19" s="52">
        <v>0.2</v>
      </c>
      <c r="E19" s="52">
        <v>0.2</v>
      </c>
      <c r="F19" s="53">
        <v>0.2</v>
      </c>
    </row>
    <row r="20" spans="1:6" s="45" customFormat="1" ht="24.75" customHeight="1">
      <c r="A20" s="50" t="s">
        <v>84</v>
      </c>
      <c r="B20" s="51" t="s">
        <v>85</v>
      </c>
      <c r="C20" s="52">
        <v>0.6</v>
      </c>
      <c r="D20" s="52">
        <v>0.6</v>
      </c>
      <c r="E20" s="52">
        <v>0.6</v>
      </c>
      <c r="F20" s="53">
        <v>0.6</v>
      </c>
    </row>
    <row r="21" spans="1:6" s="45" customFormat="1" ht="24.75" customHeight="1">
      <c r="A21" s="50" t="s">
        <v>86</v>
      </c>
      <c r="B21" s="51" t="s">
        <v>87</v>
      </c>
      <c r="C21" s="52">
        <v>2.5</v>
      </c>
      <c r="D21" s="52">
        <v>2.5</v>
      </c>
      <c r="E21" s="52">
        <v>2.5</v>
      </c>
      <c r="F21" s="53">
        <v>2.5</v>
      </c>
    </row>
    <row r="22" spans="1:6" s="45" customFormat="1" ht="24.75" customHeight="1">
      <c r="A22" s="50" t="s">
        <v>88</v>
      </c>
      <c r="B22" s="51" t="s">
        <v>89</v>
      </c>
      <c r="C22" s="52">
        <v>3</v>
      </c>
      <c r="D22" s="52">
        <v>3</v>
      </c>
      <c r="E22" s="52">
        <v>3</v>
      </c>
      <c r="F22" s="53">
        <v>3</v>
      </c>
    </row>
    <row r="23" spans="1:6" s="45" customFormat="1" ht="24.75" customHeight="1">
      <c r="A23" s="50" t="s">
        <v>90</v>
      </c>
      <c r="B23" s="51" t="s">
        <v>91</v>
      </c>
      <c r="C23" s="52">
        <v>8</v>
      </c>
      <c r="D23" s="52">
        <v>8</v>
      </c>
      <c r="E23" s="52">
        <v>8</v>
      </c>
      <c r="F23" s="53">
        <v>8</v>
      </c>
    </row>
    <row r="24" spans="1:6" s="45" customFormat="1" ht="24.75" customHeight="1">
      <c r="A24" s="50" t="s">
        <v>92</v>
      </c>
      <c r="B24" s="51" t="s">
        <v>93</v>
      </c>
      <c r="C24" s="52">
        <v>0</v>
      </c>
      <c r="D24" s="52">
        <v>0</v>
      </c>
      <c r="E24" s="52">
        <v>0</v>
      </c>
      <c r="F24" s="53">
        <v>0</v>
      </c>
    </row>
    <row r="25" spans="1:6" s="45" customFormat="1" ht="24.75" customHeight="1">
      <c r="A25" s="54" t="s">
        <v>54</v>
      </c>
      <c r="B25" s="55" t="s">
        <v>94</v>
      </c>
      <c r="C25" s="56">
        <f>SUM(C16:C24)</f>
        <v>16.8</v>
      </c>
      <c r="D25" s="56">
        <f>SUM(D16:D24)</f>
        <v>16.8</v>
      </c>
      <c r="E25" s="56">
        <f>SUM(E16:E24)</f>
        <v>36.8</v>
      </c>
      <c r="F25" s="57">
        <f>SUM(F16:F24)</f>
        <v>36.8</v>
      </c>
    </row>
    <row r="26" spans="1:6" s="45" customFormat="1" ht="24.75" customHeight="1">
      <c r="A26" s="1238" t="s">
        <v>95</v>
      </c>
      <c r="B26" s="1239"/>
      <c r="C26" s="1239"/>
      <c r="D26" s="1240"/>
      <c r="E26" s="48"/>
      <c r="F26" s="49"/>
    </row>
    <row r="27" spans="1:6" s="45" customFormat="1" ht="24.75" customHeight="1">
      <c r="A27" s="50" t="s">
        <v>96</v>
      </c>
      <c r="B27" s="51" t="s">
        <v>97</v>
      </c>
      <c r="C27" s="58">
        <v>18.11</v>
      </c>
      <c r="D27" s="58">
        <v>0</v>
      </c>
      <c r="E27" s="58">
        <v>18.11</v>
      </c>
      <c r="F27" s="61">
        <v>0</v>
      </c>
    </row>
    <row r="28" spans="1:6" s="45" customFormat="1" ht="24.75" customHeight="1">
      <c r="A28" s="50" t="s">
        <v>98</v>
      </c>
      <c r="B28" s="51" t="s">
        <v>99</v>
      </c>
      <c r="C28" s="58">
        <v>4.15</v>
      </c>
      <c r="D28" s="58">
        <v>0</v>
      </c>
      <c r="E28" s="58">
        <v>4.15</v>
      </c>
      <c r="F28" s="61">
        <v>0</v>
      </c>
    </row>
    <row r="29" spans="1:6" s="45" customFormat="1" ht="24.75" customHeight="1">
      <c r="A29" s="50" t="s">
        <v>100</v>
      </c>
      <c r="B29" s="51" t="s">
        <v>101</v>
      </c>
      <c r="C29" s="58">
        <v>0.89</v>
      </c>
      <c r="D29" s="58">
        <v>0.67</v>
      </c>
      <c r="E29" s="58">
        <v>0.89</v>
      </c>
      <c r="F29" s="61">
        <v>0.67</v>
      </c>
    </row>
    <row r="30" spans="1:6" s="45" customFormat="1" ht="24.75" customHeight="1">
      <c r="A30" s="50" t="s">
        <v>102</v>
      </c>
      <c r="B30" s="51" t="s">
        <v>103</v>
      </c>
      <c r="C30" s="58">
        <v>10.98</v>
      </c>
      <c r="D30" s="58">
        <v>8.33</v>
      </c>
      <c r="E30" s="58">
        <v>10.98</v>
      </c>
      <c r="F30" s="61">
        <v>8.33</v>
      </c>
    </row>
    <row r="31" spans="1:6" s="45" customFormat="1" ht="24.75" customHeight="1">
      <c r="A31" s="50" t="s">
        <v>104</v>
      </c>
      <c r="B31" s="51" t="s">
        <v>105</v>
      </c>
      <c r="C31" s="58">
        <v>0.07</v>
      </c>
      <c r="D31" s="58">
        <v>0.06</v>
      </c>
      <c r="E31" s="58">
        <v>0.07</v>
      </c>
      <c r="F31" s="61">
        <v>0.06</v>
      </c>
    </row>
    <row r="32" spans="1:6" s="45" customFormat="1" ht="24.75" customHeight="1">
      <c r="A32" s="50" t="s">
        <v>106</v>
      </c>
      <c r="B32" s="51" t="s">
        <v>107</v>
      </c>
      <c r="C32" s="58">
        <v>0.73</v>
      </c>
      <c r="D32" s="58">
        <v>0.56</v>
      </c>
      <c r="E32" s="58">
        <v>0.73</v>
      </c>
      <c r="F32" s="61">
        <v>0.56</v>
      </c>
    </row>
    <row r="33" spans="1:6" s="45" customFormat="1" ht="24.75" customHeight="1">
      <c r="A33" s="50" t="s">
        <v>108</v>
      </c>
      <c r="B33" s="51" t="s">
        <v>109</v>
      </c>
      <c r="C33" s="58">
        <v>2.68</v>
      </c>
      <c r="D33" s="58">
        <v>0</v>
      </c>
      <c r="E33" s="58">
        <v>2.68</v>
      </c>
      <c r="F33" s="61">
        <v>0</v>
      </c>
    </row>
    <row r="34" spans="1:6" s="45" customFormat="1" ht="24.75" customHeight="1">
      <c r="A34" s="50" t="s">
        <v>110</v>
      </c>
      <c r="B34" s="51" t="s">
        <v>111</v>
      </c>
      <c r="C34" s="58">
        <v>0.11</v>
      </c>
      <c r="D34" s="58">
        <v>0.08</v>
      </c>
      <c r="E34" s="58">
        <v>0.11</v>
      </c>
      <c r="F34" s="61">
        <v>0.08</v>
      </c>
    </row>
    <row r="35" spans="1:6" s="45" customFormat="1" ht="24.75" customHeight="1">
      <c r="A35" s="50" t="s">
        <v>112</v>
      </c>
      <c r="B35" s="51" t="s">
        <v>113</v>
      </c>
      <c r="C35" s="58">
        <v>9.27</v>
      </c>
      <c r="D35" s="58">
        <v>7.03</v>
      </c>
      <c r="E35" s="58">
        <v>9.27</v>
      </c>
      <c r="F35" s="61">
        <v>7.03</v>
      </c>
    </row>
    <row r="36" spans="1:6" s="45" customFormat="1" ht="24.75" customHeight="1">
      <c r="A36" s="50" t="s">
        <v>114</v>
      </c>
      <c r="B36" s="51" t="s">
        <v>115</v>
      </c>
      <c r="C36" s="58">
        <v>0.03</v>
      </c>
      <c r="D36" s="58">
        <v>0.03</v>
      </c>
      <c r="E36" s="58">
        <v>0.03</v>
      </c>
      <c r="F36" s="61">
        <v>0.03</v>
      </c>
    </row>
    <row r="37" spans="1:6" s="45" customFormat="1" ht="24.75" customHeight="1">
      <c r="A37" s="54" t="s">
        <v>57</v>
      </c>
      <c r="B37" s="55" t="s">
        <v>116</v>
      </c>
      <c r="C37" s="59">
        <f>SUM(C27:C36)</f>
        <v>47.02</v>
      </c>
      <c r="D37" s="59">
        <f>SUM(D27:D36)</f>
        <v>16.76</v>
      </c>
      <c r="E37" s="59">
        <f>SUM(E27:E36)</f>
        <v>47.02</v>
      </c>
      <c r="F37" s="60">
        <f>SUM(F27:F36)</f>
        <v>16.76</v>
      </c>
    </row>
    <row r="38" spans="1:6" s="45" customFormat="1" ht="24.75" customHeight="1">
      <c r="A38" s="1238" t="s">
        <v>117</v>
      </c>
      <c r="B38" s="1239"/>
      <c r="C38" s="1239"/>
      <c r="D38" s="1240"/>
      <c r="E38" s="48"/>
      <c r="F38" s="49"/>
    </row>
    <row r="39" spans="1:6" s="45" customFormat="1" ht="24.75" customHeight="1">
      <c r="A39" s="50" t="s">
        <v>118</v>
      </c>
      <c r="B39" s="51" t="s">
        <v>119</v>
      </c>
      <c r="C39" s="58">
        <v>5.69</v>
      </c>
      <c r="D39" s="58">
        <v>4.32</v>
      </c>
      <c r="E39" s="58">
        <v>5.69</v>
      </c>
      <c r="F39" s="61">
        <v>4.32</v>
      </c>
    </row>
    <row r="40" spans="1:6" s="45" customFormat="1" ht="24.75" customHeight="1">
      <c r="A40" s="50" t="s">
        <v>120</v>
      </c>
      <c r="B40" s="51" t="s">
        <v>121</v>
      </c>
      <c r="C40" s="58">
        <v>0.13</v>
      </c>
      <c r="D40" s="58">
        <v>0.1</v>
      </c>
      <c r="E40" s="58">
        <v>0.13</v>
      </c>
      <c r="F40" s="61">
        <v>0.1</v>
      </c>
    </row>
    <row r="41" spans="1:6" s="45" customFormat="1" ht="24.75" customHeight="1">
      <c r="A41" s="50" t="s">
        <v>122</v>
      </c>
      <c r="B41" s="51" t="s">
        <v>123</v>
      </c>
      <c r="C41" s="58">
        <v>4.47</v>
      </c>
      <c r="D41" s="58">
        <v>3.39</v>
      </c>
      <c r="E41" s="58">
        <v>4.47</v>
      </c>
      <c r="F41" s="61">
        <v>3.39</v>
      </c>
    </row>
    <row r="42" spans="1:6" s="45" customFormat="1" ht="24.75" customHeight="1">
      <c r="A42" s="50" t="s">
        <v>124</v>
      </c>
      <c r="B42" s="51" t="s">
        <v>125</v>
      </c>
      <c r="C42" s="58">
        <v>3.93</v>
      </c>
      <c r="D42" s="58">
        <v>2.98</v>
      </c>
      <c r="E42" s="58">
        <v>3.93</v>
      </c>
      <c r="F42" s="61">
        <v>2.98</v>
      </c>
    </row>
    <row r="43" spans="1:6" s="45" customFormat="1" ht="24.75" customHeight="1">
      <c r="A43" s="50" t="s">
        <v>126</v>
      </c>
      <c r="B43" s="51" t="s">
        <v>127</v>
      </c>
      <c r="C43" s="58">
        <v>0.48</v>
      </c>
      <c r="D43" s="58">
        <v>0.36</v>
      </c>
      <c r="E43" s="58">
        <v>0.48</v>
      </c>
      <c r="F43" s="61">
        <v>0.36</v>
      </c>
    </row>
    <row r="44" spans="1:6" s="45" customFormat="1" ht="24.75" customHeight="1">
      <c r="A44" s="54" t="s">
        <v>15</v>
      </c>
      <c r="B44" s="55" t="s">
        <v>128</v>
      </c>
      <c r="C44" s="59">
        <f>SUM(C39:C43)</f>
        <v>14.7</v>
      </c>
      <c r="D44" s="59">
        <f>SUM(D39:D43)</f>
        <v>11.15</v>
      </c>
      <c r="E44" s="59">
        <f>SUM(E39:E43)</f>
        <v>14.7</v>
      </c>
      <c r="F44" s="60">
        <f>SUM(F39:F43)</f>
        <v>11.15</v>
      </c>
    </row>
    <row r="45" spans="1:6" s="45" customFormat="1" ht="24.75" customHeight="1">
      <c r="A45" s="1238" t="s">
        <v>129</v>
      </c>
      <c r="B45" s="1239"/>
      <c r="C45" s="1239"/>
      <c r="D45" s="1240"/>
      <c r="E45" s="48"/>
      <c r="F45" s="49"/>
    </row>
    <row r="46" spans="1:6" s="45" customFormat="1" ht="24.75" customHeight="1">
      <c r="A46" s="50" t="s">
        <v>130</v>
      </c>
      <c r="B46" s="51" t="s">
        <v>131</v>
      </c>
      <c r="C46" s="58">
        <v>7.9</v>
      </c>
      <c r="D46" s="58">
        <v>2.82</v>
      </c>
      <c r="E46" s="58">
        <v>17.3</v>
      </c>
      <c r="F46" s="61">
        <v>6.17</v>
      </c>
    </row>
    <row r="47" spans="1:6" s="45" customFormat="1" ht="40.5">
      <c r="A47" s="50" t="s">
        <v>132</v>
      </c>
      <c r="B47" s="75" t="s">
        <v>620</v>
      </c>
      <c r="C47" s="62">
        <v>0.48</v>
      </c>
      <c r="D47" s="62">
        <v>0.36</v>
      </c>
      <c r="E47" s="62">
        <v>0.5</v>
      </c>
      <c r="F47" s="63">
        <v>0.38</v>
      </c>
    </row>
    <row r="48" spans="1:6" s="45" customFormat="1" ht="24.75" customHeight="1" thickBot="1">
      <c r="A48" s="64" t="s">
        <v>8</v>
      </c>
      <c r="B48" s="65" t="s">
        <v>133</v>
      </c>
      <c r="C48" s="66">
        <f>SUM(C46:C47)</f>
        <v>8.38</v>
      </c>
      <c r="D48" s="66">
        <f>SUM(D46:D47)</f>
        <v>3.18</v>
      </c>
      <c r="E48" s="66">
        <f>SUM(E46:E47)</f>
        <v>17.8</v>
      </c>
      <c r="F48" s="67">
        <f>SUM(F46:F47)</f>
        <v>6.55</v>
      </c>
    </row>
    <row r="49" spans="1:6" s="45" customFormat="1" ht="24.75" customHeight="1" hidden="1">
      <c r="A49" s="1241" t="s">
        <v>134</v>
      </c>
      <c r="B49" s="1242"/>
      <c r="C49" s="1242"/>
      <c r="D49" s="1243"/>
      <c r="E49" s="48"/>
      <c r="F49" s="49"/>
    </row>
    <row r="50" spans="1:6" s="45" customFormat="1" ht="20.25" hidden="1">
      <c r="A50" s="50" t="s">
        <v>135</v>
      </c>
      <c r="B50" s="51"/>
      <c r="C50" s="51"/>
      <c r="D50" s="51"/>
      <c r="E50" s="51"/>
      <c r="F50" s="68"/>
    </row>
    <row r="51" spans="1:6" s="45" customFormat="1" ht="18.75" customHeight="1" hidden="1">
      <c r="A51" s="69" t="s">
        <v>64</v>
      </c>
      <c r="B51" s="70" t="s">
        <v>136</v>
      </c>
      <c r="C51" s="71">
        <v>0</v>
      </c>
      <c r="D51" s="71">
        <v>0</v>
      </c>
      <c r="E51" s="71">
        <v>0</v>
      </c>
      <c r="F51" s="72">
        <v>0</v>
      </c>
    </row>
    <row r="52" spans="1:6" s="45" customFormat="1" ht="34.5" customHeight="1" thickBot="1">
      <c r="A52" s="1244" t="s">
        <v>278</v>
      </c>
      <c r="B52" s="1245"/>
      <c r="C52" s="73">
        <f>(C25+C37+C44+C48)</f>
        <v>86.9</v>
      </c>
      <c r="D52" s="73">
        <f>D25+D37+D44+D48</f>
        <v>47.89</v>
      </c>
      <c r="E52" s="73">
        <f>(E25+E37+E44+E48)</f>
        <v>116.32</v>
      </c>
      <c r="F52" s="74">
        <f>F25+F37+F44+F48</f>
        <v>71.26</v>
      </c>
    </row>
    <row r="53" spans="1:4" s="45" customFormat="1" ht="18.75" customHeight="1">
      <c r="A53" s="1246" t="s">
        <v>501</v>
      </c>
      <c r="B53" s="1246"/>
      <c r="C53" s="1246"/>
      <c r="D53" s="1246"/>
    </row>
    <row r="54" s="45" customFormat="1" ht="20.25"/>
    <row r="55" s="45" customFormat="1" ht="21" customHeight="1">
      <c r="A55" s="45" t="s">
        <v>137</v>
      </c>
    </row>
  </sheetData>
  <sheetProtection/>
  <mergeCells count="21">
    <mergeCell ref="A1:F1"/>
    <mergeCell ref="A3:F3"/>
    <mergeCell ref="A4:F4"/>
    <mergeCell ref="A5:F5"/>
    <mergeCell ref="A8:F8"/>
    <mergeCell ref="A9:F9"/>
    <mergeCell ref="A6:F6"/>
    <mergeCell ref="B7:F7"/>
    <mergeCell ref="A10:F10"/>
    <mergeCell ref="C12:D12"/>
    <mergeCell ref="E12:F12"/>
    <mergeCell ref="A15:D15"/>
    <mergeCell ref="A12:A14"/>
    <mergeCell ref="B12:B14"/>
    <mergeCell ref="A11:F11"/>
    <mergeCell ref="A26:D26"/>
    <mergeCell ref="A38:D38"/>
    <mergeCell ref="A45:D45"/>
    <mergeCell ref="A49:D49"/>
    <mergeCell ref="A52:B52"/>
    <mergeCell ref="A53:D5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3"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3"/>
  <sheetViews>
    <sheetView view="pageBreakPreview" zoomScale="60" zoomScalePageLayoutView="0" workbookViewId="0" topLeftCell="A1">
      <selection activeCell="B13" sqref="B13:G13"/>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c r="A1" s="1282"/>
      <c r="B1" s="1283"/>
      <c r="C1" s="1283"/>
      <c r="D1" s="1283"/>
      <c r="E1" s="1283"/>
      <c r="F1" s="1283"/>
      <c r="G1" s="1283"/>
      <c r="H1" s="1284"/>
      <c r="I1" s="79"/>
    </row>
    <row r="2" spans="1:9" ht="69" customHeight="1">
      <c r="A2" s="81"/>
      <c r="B2" s="646"/>
      <c r="C2" s="646"/>
      <c r="D2" s="646"/>
      <c r="E2" s="646"/>
      <c r="F2" s="646"/>
      <c r="G2" s="646"/>
      <c r="H2" s="82"/>
      <c r="I2" s="83"/>
    </row>
    <row r="3" spans="1:9" ht="19.5" customHeight="1">
      <c r="A3" s="1285" t="s">
        <v>19</v>
      </c>
      <c r="B3" s="1286"/>
      <c r="C3" s="1286"/>
      <c r="D3" s="1286"/>
      <c r="E3" s="1286"/>
      <c r="F3" s="1286"/>
      <c r="G3" s="1286"/>
      <c r="H3" s="1287"/>
      <c r="I3" s="84"/>
    </row>
    <row r="4" spans="1:9" ht="19.5" customHeight="1">
      <c r="A4" s="1288" t="s">
        <v>279</v>
      </c>
      <c r="B4" s="1289"/>
      <c r="C4" s="1289"/>
      <c r="D4" s="1289"/>
      <c r="E4" s="1289"/>
      <c r="F4" s="1289"/>
      <c r="G4" s="1289"/>
      <c r="H4" s="1290"/>
      <c r="I4" s="85"/>
    </row>
    <row r="5" spans="1:9" ht="19.5" customHeight="1">
      <c r="A5" s="1288" t="s">
        <v>18</v>
      </c>
      <c r="B5" s="1289"/>
      <c r="C5" s="1289"/>
      <c r="D5" s="1289"/>
      <c r="E5" s="1289"/>
      <c r="F5" s="1289"/>
      <c r="G5" s="1289"/>
      <c r="H5" s="1290"/>
      <c r="I5" s="86"/>
    </row>
    <row r="6" spans="1:8" ht="21" customHeight="1">
      <c r="A6" s="1294"/>
      <c r="B6" s="1295"/>
      <c r="C6" s="1295"/>
      <c r="D6" s="1295"/>
      <c r="E6" s="1295"/>
      <c r="F6" s="1295"/>
      <c r="G6" s="1295"/>
      <c r="H6" s="1296"/>
    </row>
    <row r="7" spans="1:8" ht="54.75" customHeight="1">
      <c r="A7" s="647" t="s">
        <v>649</v>
      </c>
      <c r="B7" s="1297"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298"/>
      <c r="D7" s="1298"/>
      <c r="E7" s="1298"/>
      <c r="F7" s="1298"/>
      <c r="G7" s="1298"/>
      <c r="H7" s="1299"/>
    </row>
    <row r="8" spans="1:9" s="89" customFormat="1" ht="13.5" customHeight="1" thickBot="1">
      <c r="A8" s="87"/>
      <c r="B8" s="1291"/>
      <c r="C8" s="1291"/>
      <c r="D8" s="1291"/>
      <c r="E8" s="1292"/>
      <c r="F8" s="1292"/>
      <c r="G8" s="1292"/>
      <c r="H8" s="1293"/>
      <c r="I8" s="88"/>
    </row>
    <row r="9" spans="1:8" ht="34.5" customHeight="1" thickBot="1" thickTop="1">
      <c r="A9" s="1303" t="s">
        <v>621</v>
      </c>
      <c r="B9" s="1304"/>
      <c r="C9" s="1304"/>
      <c r="D9" s="1304"/>
      <c r="E9" s="1304"/>
      <c r="F9" s="1304"/>
      <c r="G9" s="1304"/>
      <c r="H9" s="1305"/>
    </row>
    <row r="10" spans="1:8" ht="13.5" customHeight="1" thickTop="1">
      <c r="A10" s="1306"/>
      <c r="B10" s="1307"/>
      <c r="C10" s="1307"/>
      <c r="D10" s="1307"/>
      <c r="E10" s="1307"/>
      <c r="F10" s="1307"/>
      <c r="G10" s="1307"/>
      <c r="H10" s="1308"/>
    </row>
    <row r="11" spans="1:8" ht="60.75">
      <c r="A11" s="1313"/>
      <c r="B11" s="1314"/>
      <c r="C11" s="1314"/>
      <c r="D11" s="1314"/>
      <c r="E11" s="1314"/>
      <c r="F11" s="1314"/>
      <c r="G11" s="1315"/>
      <c r="H11" s="109" t="s">
        <v>255</v>
      </c>
    </row>
    <row r="12" spans="1:8" s="90" customFormat="1" ht="24.75" customHeight="1">
      <c r="A12" s="648">
        <v>1</v>
      </c>
      <c r="B12" s="1300" t="s">
        <v>622</v>
      </c>
      <c r="C12" s="1301"/>
      <c r="D12" s="1301"/>
      <c r="E12" s="1301"/>
      <c r="F12" s="1301"/>
      <c r="G12" s="1302"/>
      <c r="H12" s="649">
        <v>4.01</v>
      </c>
    </row>
    <row r="13" spans="1:8" s="90" customFormat="1" ht="24.75" customHeight="1">
      <c r="A13" s="648">
        <v>2</v>
      </c>
      <c r="B13" s="1300" t="s">
        <v>624</v>
      </c>
      <c r="C13" s="1301"/>
      <c r="D13" s="1301"/>
      <c r="E13" s="1301"/>
      <c r="F13" s="1301"/>
      <c r="G13" s="1302"/>
      <c r="H13" s="649">
        <v>1.11</v>
      </c>
    </row>
    <row r="14" spans="1:8" s="90" customFormat="1" ht="24.75" customHeight="1">
      <c r="A14" s="1316" t="s">
        <v>625</v>
      </c>
      <c r="B14" s="1317"/>
      <c r="C14" s="1317"/>
      <c r="D14" s="1317"/>
      <c r="E14" s="1317"/>
      <c r="F14" s="1317"/>
      <c r="G14" s="1318"/>
      <c r="H14" s="650">
        <f>H12+H13</f>
        <v>5.12</v>
      </c>
    </row>
    <row r="15" spans="1:8" s="90" customFormat="1" ht="24.75" customHeight="1">
      <c r="A15" s="1319" t="s">
        <v>140</v>
      </c>
      <c r="B15" s="1320"/>
      <c r="C15" s="1320"/>
      <c r="D15" s="1320"/>
      <c r="E15" s="1320"/>
      <c r="F15" s="1320"/>
      <c r="G15" s="1320"/>
      <c r="H15" s="1321"/>
    </row>
    <row r="16" spans="1:8" s="90" customFormat="1" ht="24.75" customHeight="1">
      <c r="A16" s="651">
        <v>3</v>
      </c>
      <c r="B16" s="1300" t="s">
        <v>623</v>
      </c>
      <c r="C16" s="1301"/>
      <c r="D16" s="1301"/>
      <c r="E16" s="1301"/>
      <c r="F16" s="1301"/>
      <c r="G16" s="1302"/>
      <c r="H16" s="649">
        <v>0.56</v>
      </c>
    </row>
    <row r="17" spans="1:8" s="90" customFormat="1" ht="24.75" customHeight="1">
      <c r="A17" s="651">
        <v>4</v>
      </c>
      <c r="B17" s="1300" t="s">
        <v>626</v>
      </c>
      <c r="C17" s="1301"/>
      <c r="D17" s="1301"/>
      <c r="E17" s="1301"/>
      <c r="F17" s="1301"/>
      <c r="G17" s="1302"/>
      <c r="H17" s="649">
        <v>0.4</v>
      </c>
    </row>
    <row r="18" spans="1:8" s="90" customFormat="1" ht="24.75" customHeight="1">
      <c r="A18" s="1316" t="s">
        <v>625</v>
      </c>
      <c r="B18" s="1317"/>
      <c r="C18" s="1317"/>
      <c r="D18" s="1317"/>
      <c r="E18" s="1317"/>
      <c r="F18" s="1317"/>
      <c r="G18" s="1318"/>
      <c r="H18" s="650">
        <f>H16+H17</f>
        <v>0.96</v>
      </c>
    </row>
    <row r="19" spans="1:8" s="90" customFormat="1" ht="40.5">
      <c r="A19" s="1323" t="s">
        <v>138</v>
      </c>
      <c r="B19" s="1324"/>
      <c r="C19" s="1324"/>
      <c r="D19" s="1324"/>
      <c r="E19" s="1324"/>
      <c r="F19" s="1324"/>
      <c r="G19" s="1325"/>
      <c r="H19" s="652" t="s">
        <v>139</v>
      </c>
    </row>
    <row r="20" spans="1:8" s="90" customFormat="1" ht="24.75" customHeight="1">
      <c r="A20" s="648">
        <v>5</v>
      </c>
      <c r="B20" s="1300" t="s">
        <v>141</v>
      </c>
      <c r="C20" s="1301"/>
      <c r="D20" s="1301"/>
      <c r="E20" s="1301"/>
      <c r="F20" s="1301"/>
      <c r="G20" s="1302"/>
      <c r="H20" s="653"/>
    </row>
    <row r="21" spans="1:8" s="90" customFormat="1" ht="24.75" customHeight="1">
      <c r="A21" s="648" t="s">
        <v>14</v>
      </c>
      <c r="B21" s="1300" t="s">
        <v>629</v>
      </c>
      <c r="C21" s="1301"/>
      <c r="D21" s="1301"/>
      <c r="E21" s="1301"/>
      <c r="F21" s="1301"/>
      <c r="G21" s="1302"/>
      <c r="H21" s="649">
        <f>H27</f>
        <v>8.15</v>
      </c>
    </row>
    <row r="22" spans="1:8" s="90" customFormat="1" ht="24.75" customHeight="1">
      <c r="A22" s="648" t="s">
        <v>149</v>
      </c>
      <c r="B22" s="1300" t="s">
        <v>631</v>
      </c>
      <c r="C22" s="1301"/>
      <c r="D22" s="1301"/>
      <c r="E22" s="1301"/>
      <c r="F22" s="1301"/>
      <c r="G22" s="1302"/>
      <c r="H22" s="649">
        <v>2.5</v>
      </c>
    </row>
    <row r="23" spans="1:8" s="90" customFormat="1" ht="24.75" customHeight="1">
      <c r="A23" s="1316" t="s">
        <v>625</v>
      </c>
      <c r="B23" s="1317"/>
      <c r="C23" s="1317"/>
      <c r="D23" s="1317"/>
      <c r="E23" s="1317"/>
      <c r="F23" s="1317"/>
      <c r="G23" s="1318"/>
      <c r="H23" s="650">
        <f>H21+H22</f>
        <v>10.65</v>
      </c>
    </row>
    <row r="24" spans="1:8" s="90" customFormat="1" ht="24.75" customHeight="1" thickBot="1">
      <c r="A24" s="654">
        <v>6</v>
      </c>
      <c r="B24" s="1329" t="s">
        <v>627</v>
      </c>
      <c r="C24" s="1330"/>
      <c r="D24" s="1330"/>
      <c r="E24" s="1330"/>
      <c r="F24" s="1330"/>
      <c r="G24" s="1331"/>
      <c r="H24" s="655">
        <v>7.3</v>
      </c>
    </row>
    <row r="25" spans="1:8" s="90" customFormat="1" ht="24.75" customHeight="1">
      <c r="A25" s="113"/>
      <c r="B25" s="113"/>
      <c r="C25" s="113"/>
      <c r="D25" s="113"/>
      <c r="E25" s="113"/>
      <c r="F25" s="113"/>
      <c r="G25" s="113"/>
      <c r="H25" s="114"/>
    </row>
    <row r="26" spans="1:8" s="90" customFormat="1" ht="24.75" customHeight="1">
      <c r="A26" s="1332" t="s">
        <v>628</v>
      </c>
      <c r="B26" s="1332"/>
      <c r="C26" s="1332"/>
      <c r="D26" s="1332"/>
      <c r="E26" s="1332"/>
      <c r="F26" s="1332"/>
      <c r="G26" s="1332"/>
      <c r="H26" s="1332"/>
    </row>
    <row r="27" spans="1:8" s="90" customFormat="1" ht="24.75" customHeight="1">
      <c r="A27" s="110" t="s">
        <v>630</v>
      </c>
      <c r="B27" s="1333" t="s">
        <v>142</v>
      </c>
      <c r="C27" s="1333"/>
      <c r="D27" s="1333"/>
      <c r="E27" s="1333"/>
      <c r="F27" s="1333"/>
      <c r="G27" s="1333"/>
      <c r="H27" s="115">
        <f>H28+H29+H30</f>
        <v>8.15</v>
      </c>
    </row>
    <row r="28" spans="1:8" s="90" customFormat="1" ht="24.75" customHeight="1">
      <c r="A28" s="112" t="s">
        <v>143</v>
      </c>
      <c r="B28" s="1322" t="s">
        <v>144</v>
      </c>
      <c r="C28" s="1322"/>
      <c r="D28" s="1322"/>
      <c r="E28" s="1322"/>
      <c r="F28" s="1322"/>
      <c r="G28" s="1322"/>
      <c r="H28" s="116">
        <v>0.65</v>
      </c>
    </row>
    <row r="29" spans="1:8" s="90" customFormat="1" ht="24.75" customHeight="1">
      <c r="A29" s="112" t="s">
        <v>145</v>
      </c>
      <c r="B29" s="1322" t="s">
        <v>146</v>
      </c>
      <c r="C29" s="1322"/>
      <c r="D29" s="1322"/>
      <c r="E29" s="1322"/>
      <c r="F29" s="1322"/>
      <c r="G29" s="1322"/>
      <c r="H29" s="116">
        <v>3</v>
      </c>
    </row>
    <row r="30" spans="1:8" s="90" customFormat="1" ht="24.75" customHeight="1">
      <c r="A30" s="112" t="s">
        <v>256</v>
      </c>
      <c r="B30" s="1322" t="s">
        <v>257</v>
      </c>
      <c r="C30" s="1322"/>
      <c r="D30" s="1322"/>
      <c r="E30" s="1322"/>
      <c r="F30" s="1322"/>
      <c r="G30" s="1322"/>
      <c r="H30" s="116">
        <v>4.5</v>
      </c>
    </row>
    <row r="31" spans="1:8" s="90" customFormat="1" ht="24.75" customHeight="1">
      <c r="A31" s="1332" t="s">
        <v>258</v>
      </c>
      <c r="B31" s="1332"/>
      <c r="C31" s="1332"/>
      <c r="D31" s="1332"/>
      <c r="E31" s="1332"/>
      <c r="F31" s="1332"/>
      <c r="G31" s="1332"/>
      <c r="H31" s="1332"/>
    </row>
    <row r="32" spans="1:8" s="90" customFormat="1" ht="24.75" customHeight="1">
      <c r="A32" s="110" t="s">
        <v>632</v>
      </c>
      <c r="B32" s="1333" t="s">
        <v>147</v>
      </c>
      <c r="C32" s="1333"/>
      <c r="D32" s="1333"/>
      <c r="E32" s="1333"/>
      <c r="F32" s="1333"/>
      <c r="G32" s="1333"/>
      <c r="H32" s="115">
        <f>H33</f>
        <v>2.5</v>
      </c>
    </row>
    <row r="33" spans="1:8" s="90" customFormat="1" ht="24.75" customHeight="1">
      <c r="A33" s="112" t="s">
        <v>148</v>
      </c>
      <c r="B33" s="1322" t="s">
        <v>144</v>
      </c>
      <c r="C33" s="1322"/>
      <c r="D33" s="1322"/>
      <c r="E33" s="1322"/>
      <c r="F33" s="1322"/>
      <c r="G33" s="1322"/>
      <c r="H33" s="111">
        <v>2.5</v>
      </c>
    </row>
    <row r="34" spans="1:8" ht="24.75" customHeight="1">
      <c r="A34" s="93"/>
      <c r="B34" s="94"/>
      <c r="C34" s="94"/>
      <c r="D34" s="94"/>
      <c r="E34" s="94"/>
      <c r="F34" s="94"/>
      <c r="G34" s="94"/>
      <c r="H34" s="95"/>
    </row>
    <row r="35" spans="1:8" ht="24.75" customHeight="1">
      <c r="A35" s="1326" t="s">
        <v>617</v>
      </c>
      <c r="B35" s="1327"/>
      <c r="C35" s="1327"/>
      <c r="D35" s="1327"/>
      <c r="E35" s="1327"/>
      <c r="F35" s="1327"/>
      <c r="G35" s="1327"/>
      <c r="H35" s="1328"/>
    </row>
    <row r="36" spans="1:8" ht="21.75" customHeight="1">
      <c r="A36" s="93" t="s">
        <v>259</v>
      </c>
      <c r="B36" s="94"/>
      <c r="C36" s="96">
        <f>H12/100</f>
        <v>0.0401</v>
      </c>
      <c r="D36" s="94"/>
      <c r="E36" s="94"/>
      <c r="F36" s="94" t="s">
        <v>259</v>
      </c>
      <c r="G36" s="94"/>
      <c r="H36" s="97">
        <f>C36</f>
        <v>0.0401</v>
      </c>
    </row>
    <row r="37" spans="1:8" ht="21.75" customHeight="1">
      <c r="A37" s="93" t="s">
        <v>260</v>
      </c>
      <c r="B37" s="94"/>
      <c r="C37" s="96">
        <f>H17/100</f>
        <v>0.004</v>
      </c>
      <c r="D37" s="94"/>
      <c r="E37" s="94"/>
      <c r="F37" s="94" t="s">
        <v>260</v>
      </c>
      <c r="G37" s="94"/>
      <c r="H37" s="97">
        <f>C37</f>
        <v>0.004</v>
      </c>
    </row>
    <row r="38" spans="1:8" ht="21.75" customHeight="1">
      <c r="A38" s="93" t="s">
        <v>261</v>
      </c>
      <c r="B38" s="94"/>
      <c r="C38" s="96">
        <f>H16/100</f>
        <v>0.0056</v>
      </c>
      <c r="D38" s="94"/>
      <c r="E38" s="94"/>
      <c r="F38" s="94" t="s">
        <v>261</v>
      </c>
      <c r="G38" s="94"/>
      <c r="H38" s="97">
        <f>C38</f>
        <v>0.0056</v>
      </c>
    </row>
    <row r="39" spans="1:8" ht="21.75" customHeight="1">
      <c r="A39" s="93" t="s">
        <v>262</v>
      </c>
      <c r="B39" s="94"/>
      <c r="C39" s="98">
        <f>1+C36+C37+C38</f>
        <v>1.0497</v>
      </c>
      <c r="D39" s="94" t="s">
        <v>633</v>
      </c>
      <c r="E39" s="118" t="s">
        <v>633</v>
      </c>
      <c r="F39" s="94" t="s">
        <v>262</v>
      </c>
      <c r="G39" s="94"/>
      <c r="H39" s="99">
        <f>1+H36+H37+H38</f>
        <v>1.0497</v>
      </c>
    </row>
    <row r="40" spans="1:8" ht="21.75" customHeight="1">
      <c r="A40" s="93" t="s">
        <v>263</v>
      </c>
      <c r="B40" s="94"/>
      <c r="C40" s="96">
        <f>H13/100</f>
        <v>0.0111</v>
      </c>
      <c r="D40" s="94"/>
      <c r="E40" s="118"/>
      <c r="F40" s="94" t="s">
        <v>263</v>
      </c>
      <c r="G40" s="94"/>
      <c r="H40" s="97">
        <f>C40</f>
        <v>0.0111</v>
      </c>
    </row>
    <row r="41" spans="1:8" ht="21.75" customHeight="1">
      <c r="A41" s="93" t="s">
        <v>264</v>
      </c>
      <c r="B41" s="94"/>
      <c r="C41" s="98">
        <f>1+C40</f>
        <v>1.0111</v>
      </c>
      <c r="D41" s="94" t="s">
        <v>634</v>
      </c>
      <c r="E41" s="118" t="s">
        <v>634</v>
      </c>
      <c r="F41" s="94" t="s">
        <v>264</v>
      </c>
      <c r="G41" s="94"/>
      <c r="H41" s="99">
        <f>1+H40</f>
        <v>1.0111</v>
      </c>
    </row>
    <row r="42" spans="1:8" ht="21.75" customHeight="1">
      <c r="A42" s="93" t="s">
        <v>232</v>
      </c>
      <c r="B42" s="94"/>
      <c r="C42" s="96">
        <f>H24/100</f>
        <v>0.073</v>
      </c>
      <c r="D42" s="94"/>
      <c r="E42" s="118"/>
      <c r="F42" s="94" t="s">
        <v>232</v>
      </c>
      <c r="G42" s="94"/>
      <c r="H42" s="97">
        <f>C42</f>
        <v>0.073</v>
      </c>
    </row>
    <row r="43" spans="1:8" ht="21.75" customHeight="1">
      <c r="A43" s="93" t="s">
        <v>265</v>
      </c>
      <c r="B43" s="94"/>
      <c r="C43" s="98">
        <f>1+C42</f>
        <v>1.073</v>
      </c>
      <c r="D43" s="117" t="s">
        <v>635</v>
      </c>
      <c r="E43" s="119" t="s">
        <v>635</v>
      </c>
      <c r="F43" s="94" t="s">
        <v>265</v>
      </c>
      <c r="G43" s="94"/>
      <c r="H43" s="99">
        <f>1+H42</f>
        <v>1.073</v>
      </c>
    </row>
    <row r="44" spans="1:8" ht="21.75" customHeight="1">
      <c r="A44" s="93"/>
      <c r="B44" s="94"/>
      <c r="C44" s="94"/>
      <c r="D44" s="94"/>
      <c r="E44" s="118"/>
      <c r="F44" s="94"/>
      <c r="G44" s="94"/>
      <c r="H44" s="95"/>
    </row>
    <row r="45" spans="1:8" ht="21.75" customHeight="1">
      <c r="A45" s="93" t="s">
        <v>266</v>
      </c>
      <c r="B45" s="94"/>
      <c r="C45" s="96">
        <f>H23/100</f>
        <v>0.1065</v>
      </c>
      <c r="D45" s="94"/>
      <c r="E45" s="118"/>
      <c r="F45" s="94" t="s">
        <v>637</v>
      </c>
      <c r="G45" s="94"/>
      <c r="H45" s="97">
        <f>C45-(H30/100)</f>
        <v>0.0615</v>
      </c>
    </row>
    <row r="46" spans="1:8" ht="21.75" customHeight="1">
      <c r="A46" s="93" t="s">
        <v>267</v>
      </c>
      <c r="B46" s="94"/>
      <c r="C46" s="98">
        <f>1-C45</f>
        <v>0.8935</v>
      </c>
      <c r="D46" s="94" t="s">
        <v>636</v>
      </c>
      <c r="E46" s="118" t="s">
        <v>636</v>
      </c>
      <c r="F46" s="94" t="s">
        <v>267</v>
      </c>
      <c r="G46" s="94"/>
      <c r="H46" s="99">
        <f>1-H45</f>
        <v>0.9385</v>
      </c>
    </row>
    <row r="47" spans="1:8" ht="21.75" customHeight="1">
      <c r="A47" s="93"/>
      <c r="B47" s="94"/>
      <c r="C47" s="94"/>
      <c r="D47" s="94"/>
      <c r="E47" s="94"/>
      <c r="F47" s="94"/>
      <c r="G47" s="94"/>
      <c r="H47" s="95"/>
    </row>
    <row r="48" spans="1:8" ht="21.75" customHeight="1">
      <c r="A48" s="1334"/>
      <c r="B48" s="1335"/>
      <c r="C48" s="1335"/>
      <c r="D48" s="94"/>
      <c r="E48" s="94"/>
      <c r="F48" s="94"/>
      <c r="G48" s="94"/>
      <c r="H48" s="95"/>
    </row>
    <row r="49" spans="1:8" ht="21.75" customHeight="1">
      <c r="A49" s="93"/>
      <c r="B49" s="94"/>
      <c r="C49" s="94"/>
      <c r="D49" s="94"/>
      <c r="E49" s="94"/>
      <c r="F49" s="94"/>
      <c r="G49" s="94"/>
      <c r="H49" s="95"/>
    </row>
    <row r="50" spans="1:8" s="90" customFormat="1" ht="21.75" customHeight="1">
      <c r="A50" s="100" t="s">
        <v>268</v>
      </c>
      <c r="B50" s="101"/>
      <c r="C50" s="102">
        <f>(C39*C41*C43)/C46-1</f>
        <v>0.2746</v>
      </c>
      <c r="D50" s="92"/>
      <c r="E50" s="92"/>
      <c r="F50" s="103"/>
      <c r="G50" s="104"/>
      <c r="H50" s="105">
        <f>(H39*H41*H43)/H46-1</f>
        <v>0.2135</v>
      </c>
    </row>
    <row r="51" spans="1:8" s="90" customFormat="1" ht="21.75" customHeight="1">
      <c r="A51" s="91"/>
      <c r="B51" s="92"/>
      <c r="C51" s="92"/>
      <c r="D51" s="92"/>
      <c r="E51" s="92"/>
      <c r="F51" s="92"/>
      <c r="G51" s="92"/>
      <c r="H51" s="106" t="s">
        <v>269</v>
      </c>
    </row>
    <row r="52" spans="1:8" ht="15" customHeight="1">
      <c r="A52" s="93"/>
      <c r="B52" s="94"/>
      <c r="C52" s="94"/>
      <c r="D52" s="94"/>
      <c r="E52" s="94"/>
      <c r="F52" s="1309" t="s">
        <v>270</v>
      </c>
      <c r="G52" s="1309"/>
      <c r="H52" s="1310"/>
    </row>
    <row r="53" spans="1:8" ht="21" thickBot="1">
      <c r="A53" s="107"/>
      <c r="B53" s="108"/>
      <c r="C53" s="108"/>
      <c r="D53" s="108"/>
      <c r="E53" s="108"/>
      <c r="F53" s="1311"/>
      <c r="G53" s="1311"/>
      <c r="H53" s="1312"/>
    </row>
  </sheetData>
  <sheetProtection/>
  <mergeCells count="35">
    <mergeCell ref="A35:H35"/>
    <mergeCell ref="B24:G24"/>
    <mergeCell ref="A26:H26"/>
    <mergeCell ref="B27:G27"/>
    <mergeCell ref="A48:C48"/>
    <mergeCell ref="B28:G28"/>
    <mergeCell ref="B29:G29"/>
    <mergeCell ref="B30:G30"/>
    <mergeCell ref="A31:H31"/>
    <mergeCell ref="B32:G32"/>
    <mergeCell ref="B16:G16"/>
    <mergeCell ref="B17:G17"/>
    <mergeCell ref="A18:G18"/>
    <mergeCell ref="B22:G22"/>
    <mergeCell ref="B20:G20"/>
    <mergeCell ref="A23:G23"/>
    <mergeCell ref="A19:G19"/>
    <mergeCell ref="B12:G12"/>
    <mergeCell ref="B13:G13"/>
    <mergeCell ref="A9:H9"/>
    <mergeCell ref="A10:H10"/>
    <mergeCell ref="F52:H53"/>
    <mergeCell ref="B21:G21"/>
    <mergeCell ref="A11:G11"/>
    <mergeCell ref="A14:G14"/>
    <mergeCell ref="A15:H15"/>
    <mergeCell ref="B33:G33"/>
    <mergeCell ref="A1:H1"/>
    <mergeCell ref="A3:H3"/>
    <mergeCell ref="A4:H4"/>
    <mergeCell ref="A5:H5"/>
    <mergeCell ref="B8:D8"/>
    <mergeCell ref="E8:H8"/>
    <mergeCell ref="A6:H6"/>
    <mergeCell ref="B7:H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56" r:id="rId2"/>
  <drawing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28">
      <selection activeCell="A9" sqref="A9:G9"/>
    </sheetView>
  </sheetViews>
  <sheetFormatPr defaultColWidth="9.140625" defaultRowHeight="12.75"/>
  <cols>
    <col min="1" max="1" width="7.7109375" style="203" customWidth="1"/>
    <col min="2" max="2" width="10.7109375" style="203" customWidth="1"/>
    <col min="3" max="3" width="42.7109375" style="203" customWidth="1"/>
    <col min="4" max="7" width="11.7109375" style="203" customWidth="1"/>
    <col min="8" max="8" width="11.7109375" style="202" customWidth="1"/>
    <col min="9" max="9" width="9.140625" style="202" customWidth="1"/>
    <col min="10" max="16384" width="9.140625" style="203" customWidth="1"/>
  </cols>
  <sheetData>
    <row r="1" spans="1:8" ht="10.5">
      <c r="A1" s="198"/>
      <c r="B1" s="199"/>
      <c r="C1" s="199"/>
      <c r="D1" s="199"/>
      <c r="E1" s="199"/>
      <c r="F1" s="199"/>
      <c r="G1" s="200"/>
      <c r="H1" s="201"/>
    </row>
    <row r="2" spans="1:8" ht="45.75" customHeight="1">
      <c r="A2" s="260"/>
      <c r="B2" s="261"/>
      <c r="C2" s="261"/>
      <c r="D2" s="261"/>
      <c r="E2" s="261"/>
      <c r="F2" s="261"/>
      <c r="G2" s="262"/>
      <c r="H2" s="201"/>
    </row>
    <row r="3" spans="1:9" s="208" customFormat="1" ht="13.5" customHeight="1">
      <c r="A3" s="1350" t="s">
        <v>19</v>
      </c>
      <c r="B3" s="1351"/>
      <c r="C3" s="1351"/>
      <c r="D3" s="1351"/>
      <c r="E3" s="1351"/>
      <c r="F3" s="1351"/>
      <c r="G3" s="1352"/>
      <c r="H3" s="204"/>
      <c r="I3" s="202"/>
    </row>
    <row r="4" spans="1:9" s="208" customFormat="1" ht="13.5" customHeight="1">
      <c r="A4" s="1353" t="s">
        <v>193</v>
      </c>
      <c r="B4" s="1354"/>
      <c r="C4" s="1354"/>
      <c r="D4" s="1354"/>
      <c r="E4" s="1354"/>
      <c r="F4" s="1354"/>
      <c r="G4" s="1355"/>
      <c r="H4" s="204"/>
      <c r="I4" s="202"/>
    </row>
    <row r="5" spans="1:9" s="208" customFormat="1" ht="13.5" customHeight="1">
      <c r="A5" s="1353" t="s">
        <v>18</v>
      </c>
      <c r="B5" s="1354"/>
      <c r="C5" s="1354"/>
      <c r="D5" s="1354"/>
      <c r="E5" s="1354"/>
      <c r="F5" s="1354"/>
      <c r="G5" s="1355"/>
      <c r="H5" s="204"/>
      <c r="I5" s="202"/>
    </row>
    <row r="6" spans="1:8" ht="11.25" thickBot="1">
      <c r="A6" s="1356"/>
      <c r="B6" s="1357"/>
      <c r="C6" s="1357"/>
      <c r="D6" s="1357"/>
      <c r="E6" s="1357"/>
      <c r="F6" s="1357"/>
      <c r="G6" s="1358"/>
      <c r="H6" s="204"/>
    </row>
    <row r="7" spans="1:8" ht="11.25" thickTop="1">
      <c r="A7" s="1342" t="s">
        <v>615</v>
      </c>
      <c r="B7" s="459" t="s">
        <v>662</v>
      </c>
      <c r="C7" s="1344" t="s">
        <v>638</v>
      </c>
      <c r="D7" s="1345"/>
      <c r="E7" s="1345"/>
      <c r="F7" s="1345"/>
      <c r="G7" s="460" t="s">
        <v>661</v>
      </c>
      <c r="H7" s="205"/>
    </row>
    <row r="8" spans="1:8" ht="11.25" thickBot="1">
      <c r="A8" s="1343"/>
      <c r="B8" s="458">
        <v>44896</v>
      </c>
      <c r="C8" s="1346"/>
      <c r="D8" s="1347"/>
      <c r="E8" s="1347"/>
      <c r="F8" s="1347"/>
      <c r="G8" s="259" t="s">
        <v>30</v>
      </c>
      <c r="H8" s="205"/>
    </row>
    <row r="9" spans="1:8" ht="27" customHeight="1" thickTop="1">
      <c r="A9" s="1339"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B9" s="1340"/>
      <c r="C9" s="1340"/>
      <c r="D9" s="1340"/>
      <c r="E9" s="1340"/>
      <c r="F9" s="1340"/>
      <c r="G9" s="1341"/>
      <c r="H9" s="205"/>
    </row>
    <row r="10" spans="1:9" s="208" customFormat="1" ht="19.5" customHeight="1">
      <c r="A10" s="268" t="s">
        <v>38</v>
      </c>
      <c r="B10" s="269" t="s">
        <v>280</v>
      </c>
      <c r="C10" s="270" t="s">
        <v>39</v>
      </c>
      <c r="D10" s="269" t="s">
        <v>40</v>
      </c>
      <c r="E10" s="270" t="s">
        <v>157</v>
      </c>
      <c r="F10" s="271" t="s">
        <v>41</v>
      </c>
      <c r="G10" s="272" t="s">
        <v>42</v>
      </c>
      <c r="H10" s="228"/>
      <c r="I10" s="202"/>
    </row>
    <row r="11" spans="1:10" s="208" customFormat="1" ht="15.75" customHeight="1">
      <c r="A11" s="1336" t="s">
        <v>37</v>
      </c>
      <c r="B11" s="1337"/>
      <c r="C11" s="1337"/>
      <c r="D11" s="1337"/>
      <c r="E11" s="1337"/>
      <c r="F11" s="1337"/>
      <c r="G11" s="1338"/>
      <c r="H11" s="206"/>
      <c r="I11" s="202">
        <v>1.28</v>
      </c>
      <c r="J11" s="207">
        <f>G44</f>
        <v>865.82</v>
      </c>
    </row>
    <row r="12" spans="1:9" s="208" customFormat="1" ht="19.5" customHeight="1">
      <c r="A12" s="213">
        <v>1</v>
      </c>
      <c r="B12" s="214" t="s">
        <v>185</v>
      </c>
      <c r="C12" s="215" t="s">
        <v>167</v>
      </c>
      <c r="D12" s="216" t="s">
        <v>45</v>
      </c>
      <c r="E12" s="217">
        <v>0.0134</v>
      </c>
      <c r="F12" s="218">
        <v>21.09</v>
      </c>
      <c r="G12" s="219">
        <f>ROUND(E12*F12,2)</f>
        <v>0.28</v>
      </c>
      <c r="H12" s="220">
        <v>0.0134</v>
      </c>
      <c r="I12" s="202">
        <f>$I$11</f>
        <v>1.28</v>
      </c>
    </row>
    <row r="13" spans="1:9" s="208" customFormat="1" ht="19.5" customHeight="1">
      <c r="A13" s="213">
        <v>2</v>
      </c>
      <c r="B13" s="214" t="s">
        <v>184</v>
      </c>
      <c r="C13" s="215" t="s">
        <v>168</v>
      </c>
      <c r="D13" s="216" t="s">
        <v>45</v>
      </c>
      <c r="E13" s="217">
        <v>0.035</v>
      </c>
      <c r="F13" s="218">
        <v>21.76</v>
      </c>
      <c r="G13" s="219">
        <f>ROUND(E13*F13,2)</f>
        <v>0.76</v>
      </c>
      <c r="H13" s="220">
        <v>0.035</v>
      </c>
      <c r="I13" s="202">
        <f aca="true" t="shared" si="0" ref="I13:I37">$I$11</f>
        <v>1.28</v>
      </c>
    </row>
    <row r="14" spans="1:9" s="208" customFormat="1" ht="19.5" customHeight="1">
      <c r="A14" s="213">
        <v>3</v>
      </c>
      <c r="B14" s="214" t="s">
        <v>46</v>
      </c>
      <c r="C14" s="215" t="s">
        <v>169</v>
      </c>
      <c r="D14" s="216" t="s">
        <v>45</v>
      </c>
      <c r="E14" s="217">
        <v>0.1067</v>
      </c>
      <c r="F14" s="218">
        <v>19.21</v>
      </c>
      <c r="G14" s="219">
        <f>ROUND(E14*F14,2)</f>
        <v>2.05</v>
      </c>
      <c r="H14" s="220">
        <v>0.1067</v>
      </c>
      <c r="I14" s="202">
        <f t="shared" si="0"/>
        <v>1.28</v>
      </c>
    </row>
    <row r="15" spans="1:9" s="208" customFormat="1" ht="19.5" customHeight="1">
      <c r="A15" s="221">
        <v>4</v>
      </c>
      <c r="B15" s="222">
        <v>88314</v>
      </c>
      <c r="C15" s="223" t="s">
        <v>172</v>
      </c>
      <c r="D15" s="224" t="s">
        <v>45</v>
      </c>
      <c r="E15" s="225">
        <v>1.1301</v>
      </c>
      <c r="F15" s="226">
        <v>17.91</v>
      </c>
      <c r="G15" s="219">
        <f>ROUND(E15*F15,2)</f>
        <v>20.24</v>
      </c>
      <c r="H15" s="220">
        <v>1.1301</v>
      </c>
      <c r="I15" s="202">
        <f t="shared" si="0"/>
        <v>1.28</v>
      </c>
    </row>
    <row r="16" spans="1:9" s="208" customFormat="1" ht="15.75" customHeight="1">
      <c r="A16" s="1348" t="s">
        <v>47</v>
      </c>
      <c r="B16" s="1348"/>
      <c r="C16" s="1348"/>
      <c r="D16" s="1348"/>
      <c r="E16" s="1348"/>
      <c r="F16" s="1348"/>
      <c r="G16" s="273">
        <f>SUM(G12:G15)</f>
        <v>23.33</v>
      </c>
      <c r="H16" s="227"/>
      <c r="I16" s="202"/>
    </row>
    <row r="17" spans="1:9" s="208" customFormat="1" ht="15.75" customHeight="1">
      <c r="A17" s="1336" t="s">
        <v>48</v>
      </c>
      <c r="B17" s="1337"/>
      <c r="C17" s="1337"/>
      <c r="D17" s="1337"/>
      <c r="E17" s="1337"/>
      <c r="F17" s="1337"/>
      <c r="G17" s="1338"/>
      <c r="H17" s="206"/>
      <c r="I17" s="202"/>
    </row>
    <row r="18" spans="1:9" s="208" customFormat="1" ht="19.5" customHeight="1">
      <c r="A18" s="213">
        <v>1</v>
      </c>
      <c r="B18" s="229">
        <v>5944</v>
      </c>
      <c r="C18" s="230" t="s">
        <v>160</v>
      </c>
      <c r="D18" s="216" t="s">
        <v>180</v>
      </c>
      <c r="E18" s="217">
        <v>0.035</v>
      </c>
      <c r="F18" s="218">
        <v>254.53</v>
      </c>
      <c r="G18" s="219">
        <f>ROUND(E18*F18,2)</f>
        <v>8.91</v>
      </c>
      <c r="H18" s="220">
        <v>0.035</v>
      </c>
      <c r="I18" s="202">
        <f t="shared" si="0"/>
        <v>1.28</v>
      </c>
    </row>
    <row r="19" spans="1:9" s="208" customFormat="1" ht="19.5" customHeight="1">
      <c r="A19" s="213">
        <v>2</v>
      </c>
      <c r="B19" s="229">
        <v>7030</v>
      </c>
      <c r="C19" s="230" t="s">
        <v>161</v>
      </c>
      <c r="D19" s="216" t="s">
        <v>180</v>
      </c>
      <c r="E19" s="217">
        <v>0.0134</v>
      </c>
      <c r="F19" s="218">
        <v>299.09</v>
      </c>
      <c r="G19" s="219">
        <f aca="true" t="shared" si="1" ref="G19:G30">ROUND(E19*F19,2)</f>
        <v>4.01</v>
      </c>
      <c r="H19" s="220">
        <v>0.0134</v>
      </c>
      <c r="I19" s="202">
        <f t="shared" si="0"/>
        <v>1.28</v>
      </c>
    </row>
    <row r="20" spans="1:9" s="208" customFormat="1" ht="19.5" customHeight="1">
      <c r="A20" s="213">
        <v>3</v>
      </c>
      <c r="B20" s="229">
        <v>93433</v>
      </c>
      <c r="C20" s="230" t="s">
        <v>163</v>
      </c>
      <c r="D20" s="216" t="s">
        <v>180</v>
      </c>
      <c r="E20" s="217">
        <v>0.0134</v>
      </c>
      <c r="F20" s="218">
        <v>2820.43</v>
      </c>
      <c r="G20" s="219">
        <f t="shared" si="1"/>
        <v>37.79</v>
      </c>
      <c r="H20" s="220">
        <v>0.0134</v>
      </c>
      <c r="I20" s="202">
        <f t="shared" si="0"/>
        <v>1.28</v>
      </c>
    </row>
    <row r="21" spans="1:9" s="208" customFormat="1" ht="19.5" customHeight="1">
      <c r="A21" s="213">
        <v>4</v>
      </c>
      <c r="B21" s="229">
        <v>95872</v>
      </c>
      <c r="C21" s="230" t="s">
        <v>164</v>
      </c>
      <c r="D21" s="216" t="s">
        <v>180</v>
      </c>
      <c r="E21" s="217">
        <v>0.0134</v>
      </c>
      <c r="F21" s="218">
        <v>327.23</v>
      </c>
      <c r="G21" s="219">
        <f t="shared" si="1"/>
        <v>4.38</v>
      </c>
      <c r="H21" s="220">
        <v>0.0134</v>
      </c>
      <c r="I21" s="202">
        <f t="shared" si="0"/>
        <v>1.28</v>
      </c>
    </row>
    <row r="22" spans="1:9" s="208" customFormat="1" ht="19.5" customHeight="1">
      <c r="A22" s="213">
        <v>5</v>
      </c>
      <c r="B22" s="229">
        <v>5835</v>
      </c>
      <c r="C22" s="230" t="s">
        <v>170</v>
      </c>
      <c r="D22" s="216" t="s">
        <v>180</v>
      </c>
      <c r="E22" s="217">
        <v>0.0464</v>
      </c>
      <c r="F22" s="218">
        <v>393.41</v>
      </c>
      <c r="G22" s="219">
        <f t="shared" si="1"/>
        <v>18.25</v>
      </c>
      <c r="H22" s="220">
        <v>0.0464</v>
      </c>
      <c r="I22" s="202">
        <f t="shared" si="0"/>
        <v>1.28</v>
      </c>
    </row>
    <row r="23" spans="1:9" s="208" customFormat="1" ht="19.5" customHeight="1">
      <c r="A23" s="213">
        <v>6</v>
      </c>
      <c r="B23" s="229">
        <v>5837</v>
      </c>
      <c r="C23" s="230" t="s">
        <v>171</v>
      </c>
      <c r="D23" s="216" t="s">
        <v>182</v>
      </c>
      <c r="E23" s="217">
        <v>0.0949</v>
      </c>
      <c r="F23" s="218">
        <v>137.78</v>
      </c>
      <c r="G23" s="219">
        <f t="shared" si="1"/>
        <v>13.08</v>
      </c>
      <c r="H23" s="220">
        <v>0.0949</v>
      </c>
      <c r="I23" s="202">
        <f t="shared" si="0"/>
        <v>1.28</v>
      </c>
    </row>
    <row r="24" spans="1:9" s="208" customFormat="1" ht="19.5" customHeight="1">
      <c r="A24" s="213">
        <v>7</v>
      </c>
      <c r="B24" s="229">
        <v>91386</v>
      </c>
      <c r="C24" s="230" t="s">
        <v>173</v>
      </c>
      <c r="D24" s="216" t="s">
        <v>180</v>
      </c>
      <c r="E24" s="217">
        <v>0.0464</v>
      </c>
      <c r="F24" s="218">
        <v>258.65</v>
      </c>
      <c r="G24" s="219">
        <f t="shared" si="1"/>
        <v>12</v>
      </c>
      <c r="H24" s="220">
        <v>0.0464</v>
      </c>
      <c r="I24" s="202">
        <f t="shared" si="0"/>
        <v>1.28</v>
      </c>
    </row>
    <row r="25" spans="1:9" s="208" customFormat="1" ht="19.5" customHeight="1">
      <c r="A25" s="213">
        <v>8</v>
      </c>
      <c r="B25" s="229">
        <v>95631</v>
      </c>
      <c r="C25" s="230" t="s">
        <v>174</v>
      </c>
      <c r="D25" s="216" t="s">
        <v>180</v>
      </c>
      <c r="E25" s="217">
        <v>0.0805</v>
      </c>
      <c r="F25" s="218">
        <v>238.14</v>
      </c>
      <c r="G25" s="219">
        <f t="shared" si="1"/>
        <v>19.17</v>
      </c>
      <c r="H25" s="220">
        <v>0.0805</v>
      </c>
      <c r="I25" s="202">
        <f t="shared" si="0"/>
        <v>1.28</v>
      </c>
    </row>
    <row r="26" spans="1:9" s="208" customFormat="1" ht="19.5" customHeight="1">
      <c r="A26" s="213">
        <v>9</v>
      </c>
      <c r="B26" s="229">
        <v>95632</v>
      </c>
      <c r="C26" s="230" t="s">
        <v>175</v>
      </c>
      <c r="D26" s="216" t="s">
        <v>182</v>
      </c>
      <c r="E26" s="217">
        <v>0.0607</v>
      </c>
      <c r="F26" s="218">
        <v>76.92</v>
      </c>
      <c r="G26" s="219">
        <f t="shared" si="1"/>
        <v>4.67</v>
      </c>
      <c r="H26" s="220">
        <v>0.0607</v>
      </c>
      <c r="I26" s="202">
        <f t="shared" si="0"/>
        <v>1.28</v>
      </c>
    </row>
    <row r="27" spans="1:9" s="208" customFormat="1" ht="19.5" customHeight="1">
      <c r="A27" s="213">
        <v>10</v>
      </c>
      <c r="B27" s="229">
        <v>96155</v>
      </c>
      <c r="C27" s="230" t="s">
        <v>176</v>
      </c>
      <c r="D27" s="216" t="s">
        <v>182</v>
      </c>
      <c r="E27" s="217">
        <v>0.1071</v>
      </c>
      <c r="F27" s="218">
        <v>43.15</v>
      </c>
      <c r="G27" s="219">
        <f t="shared" si="1"/>
        <v>4.62</v>
      </c>
      <c r="H27" s="220">
        <v>0.1071</v>
      </c>
      <c r="I27" s="202">
        <f t="shared" si="0"/>
        <v>1.28</v>
      </c>
    </row>
    <row r="28" spans="1:9" s="208" customFormat="1" ht="19.5" customHeight="1">
      <c r="A28" s="213">
        <v>11</v>
      </c>
      <c r="B28" s="229">
        <v>96157</v>
      </c>
      <c r="C28" s="230" t="s">
        <v>177</v>
      </c>
      <c r="D28" s="216" t="s">
        <v>180</v>
      </c>
      <c r="E28" s="217">
        <v>0.0341</v>
      </c>
      <c r="F28" s="218">
        <v>139.63</v>
      </c>
      <c r="G28" s="219">
        <f t="shared" si="1"/>
        <v>4.76</v>
      </c>
      <c r="H28" s="220">
        <v>0.0341</v>
      </c>
      <c r="I28" s="202">
        <f t="shared" si="0"/>
        <v>1.28</v>
      </c>
    </row>
    <row r="29" spans="1:9" s="208" customFormat="1" ht="19.5" customHeight="1">
      <c r="A29" s="213">
        <v>12</v>
      </c>
      <c r="B29" s="229">
        <v>96463</v>
      </c>
      <c r="C29" s="230" t="s">
        <v>178</v>
      </c>
      <c r="D29" s="216" t="s">
        <v>180</v>
      </c>
      <c r="E29" s="217">
        <v>0.0419</v>
      </c>
      <c r="F29" s="218">
        <v>222.28</v>
      </c>
      <c r="G29" s="219">
        <f t="shared" si="1"/>
        <v>9.31</v>
      </c>
      <c r="H29" s="220">
        <v>0.0419</v>
      </c>
      <c r="I29" s="202">
        <f t="shared" si="0"/>
        <v>1.28</v>
      </c>
    </row>
    <row r="30" spans="1:9" s="208" customFormat="1" ht="19.5" customHeight="1">
      <c r="A30" s="221">
        <v>13</v>
      </c>
      <c r="B30" s="222">
        <v>96464</v>
      </c>
      <c r="C30" s="231" t="s">
        <v>179</v>
      </c>
      <c r="D30" s="224" t="s">
        <v>182</v>
      </c>
      <c r="E30" s="225">
        <v>0.099</v>
      </c>
      <c r="F30" s="226">
        <v>82.97</v>
      </c>
      <c r="G30" s="219">
        <f t="shared" si="1"/>
        <v>8.21</v>
      </c>
      <c r="H30" s="220">
        <v>0.099</v>
      </c>
      <c r="I30" s="202">
        <f t="shared" si="0"/>
        <v>1.28</v>
      </c>
    </row>
    <row r="31" spans="1:9" s="208" customFormat="1" ht="15.75" customHeight="1">
      <c r="A31" s="1348" t="s">
        <v>49</v>
      </c>
      <c r="B31" s="1348"/>
      <c r="C31" s="1348"/>
      <c r="D31" s="1348"/>
      <c r="E31" s="1348"/>
      <c r="F31" s="1348"/>
      <c r="G31" s="273">
        <f>SUM(G18:G30)</f>
        <v>149.16</v>
      </c>
      <c r="H31" s="227"/>
      <c r="I31" s="202"/>
    </row>
    <row r="32" spans="1:9" s="208" customFormat="1" ht="15.75" customHeight="1">
      <c r="A32" s="1349" t="s">
        <v>50</v>
      </c>
      <c r="B32" s="1349"/>
      <c r="C32" s="1349"/>
      <c r="D32" s="1349"/>
      <c r="E32" s="1349"/>
      <c r="F32" s="1349"/>
      <c r="G32" s="1349"/>
      <c r="H32" s="206"/>
      <c r="I32" s="202"/>
    </row>
    <row r="33" spans="1:9" s="208" customFormat="1" ht="19.5" customHeight="1">
      <c r="A33" s="232">
        <v>1</v>
      </c>
      <c r="B33" s="233">
        <v>370</v>
      </c>
      <c r="C33" s="234" t="s">
        <v>158</v>
      </c>
      <c r="D33" s="210" t="s">
        <v>0</v>
      </c>
      <c r="E33" s="217">
        <v>0.1875</v>
      </c>
      <c r="F33" s="235">
        <v>90</v>
      </c>
      <c r="G33" s="219">
        <f>ROUND(E33*F33,2)</f>
        <v>16.88</v>
      </c>
      <c r="H33" s="220">
        <v>0.1875</v>
      </c>
      <c r="I33" s="202">
        <f t="shared" si="0"/>
        <v>1.28</v>
      </c>
    </row>
    <row r="34" spans="1:9" s="208" customFormat="1" ht="19.5" customHeight="1">
      <c r="A34" s="232">
        <v>2</v>
      </c>
      <c r="B34" s="233">
        <v>4734</v>
      </c>
      <c r="C34" s="234" t="s">
        <v>159</v>
      </c>
      <c r="D34" s="210" t="s">
        <v>0</v>
      </c>
      <c r="E34" s="217">
        <v>0.252</v>
      </c>
      <c r="F34" s="235">
        <v>621.31</v>
      </c>
      <c r="G34" s="219">
        <f>ROUND(E34*F34,2)</f>
        <v>156.57</v>
      </c>
      <c r="H34" s="220">
        <v>0.252</v>
      </c>
      <c r="I34" s="202">
        <f t="shared" si="0"/>
        <v>1.28</v>
      </c>
    </row>
    <row r="35" spans="1:9" s="208" customFormat="1" ht="19.5" customHeight="1">
      <c r="A35" s="232">
        <v>3</v>
      </c>
      <c r="B35" s="233">
        <v>41899</v>
      </c>
      <c r="C35" s="236" t="s">
        <v>162</v>
      </c>
      <c r="D35" s="210" t="s">
        <v>30</v>
      </c>
      <c r="E35" s="217">
        <v>0.06</v>
      </c>
      <c r="F35" s="235">
        <v>6664.59</v>
      </c>
      <c r="G35" s="219">
        <f>ROUND(E35*F35,2)</f>
        <v>399.88</v>
      </c>
      <c r="H35" s="220">
        <v>0.06</v>
      </c>
      <c r="I35" s="202">
        <f t="shared" si="0"/>
        <v>1.28</v>
      </c>
    </row>
    <row r="36" spans="1:9" s="208" customFormat="1" ht="19.5" customHeight="1">
      <c r="A36" s="232">
        <v>4</v>
      </c>
      <c r="B36" s="233">
        <v>4221</v>
      </c>
      <c r="C36" s="234" t="s">
        <v>165</v>
      </c>
      <c r="D36" s="210" t="s">
        <v>181</v>
      </c>
      <c r="E36" s="217">
        <v>5</v>
      </c>
      <c r="F36" s="235">
        <v>6.72</v>
      </c>
      <c r="G36" s="219">
        <f>ROUND(E36*F36,2)</f>
        <v>33.6</v>
      </c>
      <c r="H36" s="220">
        <v>5</v>
      </c>
      <c r="I36" s="202">
        <f t="shared" si="0"/>
        <v>1.28</v>
      </c>
    </row>
    <row r="37" spans="1:9" s="208" customFormat="1" ht="19.5" customHeight="1">
      <c r="A37" s="237">
        <v>5</v>
      </c>
      <c r="B37" s="238">
        <v>11138</v>
      </c>
      <c r="C37" s="239" t="s">
        <v>166</v>
      </c>
      <c r="D37" s="240" t="s">
        <v>181</v>
      </c>
      <c r="E37" s="225">
        <v>20</v>
      </c>
      <c r="F37" s="241">
        <v>4.32</v>
      </c>
      <c r="G37" s="219">
        <f>ROUND(E37*F37,2)</f>
        <v>86.4</v>
      </c>
      <c r="H37" s="220">
        <v>20</v>
      </c>
      <c r="I37" s="202">
        <f t="shared" si="0"/>
        <v>1.28</v>
      </c>
    </row>
    <row r="38" spans="1:9" s="208" customFormat="1" ht="15.75" customHeight="1">
      <c r="A38" s="1348" t="s">
        <v>51</v>
      </c>
      <c r="B38" s="1348"/>
      <c r="C38" s="1348"/>
      <c r="D38" s="1348"/>
      <c r="E38" s="1348"/>
      <c r="F38" s="1348"/>
      <c r="G38" s="273">
        <f>SUM(G33:G37)</f>
        <v>693.33</v>
      </c>
      <c r="H38" s="227"/>
      <c r="I38" s="202"/>
    </row>
    <row r="39" spans="1:9" s="208" customFormat="1" ht="15.75" customHeight="1">
      <c r="A39" s="1361" t="s">
        <v>52</v>
      </c>
      <c r="B39" s="1362"/>
      <c r="C39" s="1362"/>
      <c r="D39" s="1362"/>
      <c r="E39" s="1362"/>
      <c r="F39" s="1362"/>
      <c r="G39" s="1363"/>
      <c r="H39" s="242"/>
      <c r="I39" s="202"/>
    </row>
    <row r="40" spans="1:9" s="208" customFormat="1" ht="15.75" customHeight="1">
      <c r="A40" s="209" t="s">
        <v>38</v>
      </c>
      <c r="B40" s="210"/>
      <c r="C40" s="210" t="s">
        <v>53</v>
      </c>
      <c r="D40" s="210" t="s">
        <v>42</v>
      </c>
      <c r="E40" s="210"/>
      <c r="F40" s="243"/>
      <c r="G40" s="211"/>
      <c r="H40" s="212"/>
      <c r="I40" s="202"/>
    </row>
    <row r="41" spans="1:9" s="208" customFormat="1" ht="15.75" customHeight="1">
      <c r="A41" s="209" t="s">
        <v>54</v>
      </c>
      <c r="B41" s="210"/>
      <c r="C41" s="216" t="s">
        <v>55</v>
      </c>
      <c r="D41" s="1364" t="s">
        <v>56</v>
      </c>
      <c r="E41" s="1364"/>
      <c r="F41" s="1364"/>
      <c r="G41" s="211">
        <f>G16</f>
        <v>23.33</v>
      </c>
      <c r="H41" s="212"/>
      <c r="I41" s="202"/>
    </row>
    <row r="42" spans="1:9" s="208" customFormat="1" ht="15.75" customHeight="1">
      <c r="A42" s="209" t="s">
        <v>57</v>
      </c>
      <c r="B42" s="210"/>
      <c r="C42" s="216" t="s">
        <v>58</v>
      </c>
      <c r="D42" s="1364" t="s">
        <v>59</v>
      </c>
      <c r="E42" s="1364"/>
      <c r="F42" s="1364"/>
      <c r="G42" s="211">
        <f>G31</f>
        <v>149.16</v>
      </c>
      <c r="H42" s="212"/>
      <c r="I42" s="202"/>
    </row>
    <row r="43" spans="1:9" s="208" customFormat="1" ht="15.75" customHeight="1">
      <c r="A43" s="209" t="s">
        <v>15</v>
      </c>
      <c r="B43" s="210"/>
      <c r="C43" s="216" t="s">
        <v>60</v>
      </c>
      <c r="D43" s="1364" t="s">
        <v>61</v>
      </c>
      <c r="E43" s="1364"/>
      <c r="F43" s="1364"/>
      <c r="G43" s="211">
        <f>G38</f>
        <v>693.33</v>
      </c>
      <c r="H43" s="212"/>
      <c r="I43" s="202"/>
    </row>
    <row r="44" spans="1:9" s="208" customFormat="1" ht="15.75" customHeight="1">
      <c r="A44" s="209" t="s">
        <v>8</v>
      </c>
      <c r="B44" s="210"/>
      <c r="C44" s="244" t="s">
        <v>62</v>
      </c>
      <c r="D44" s="1359" t="s">
        <v>63</v>
      </c>
      <c r="E44" s="1359"/>
      <c r="F44" s="1359"/>
      <c r="G44" s="245">
        <f>G41+G42+G43</f>
        <v>865.82</v>
      </c>
      <c r="H44" s="246">
        <v>596</v>
      </c>
      <c r="I44" s="202"/>
    </row>
    <row r="45" spans="1:9" s="208" customFormat="1" ht="15.75" customHeight="1">
      <c r="A45" s="209"/>
      <c r="B45" s="210"/>
      <c r="C45" s="244"/>
      <c r="D45" s="247" t="s">
        <v>204</v>
      </c>
      <c r="E45" s="248"/>
      <c r="F45" s="249">
        <v>0.2746</v>
      </c>
      <c r="G45" s="250">
        <f>G44*F45</f>
        <v>237.75</v>
      </c>
      <c r="H45" s="251"/>
      <c r="I45" s="202"/>
    </row>
    <row r="46" spans="1:9" s="208" customFormat="1" ht="15.75" customHeight="1" thickBot="1">
      <c r="A46" s="252"/>
      <c r="B46" s="253"/>
      <c r="C46" s="253"/>
      <c r="D46" s="1360" t="s">
        <v>65</v>
      </c>
      <c r="E46" s="1360"/>
      <c r="F46" s="1360"/>
      <c r="G46" s="254">
        <f>G44+G45</f>
        <v>1103.57</v>
      </c>
      <c r="H46" s="255"/>
      <c r="I46" s="202"/>
    </row>
    <row r="47" spans="1:8" ht="10.5">
      <c r="A47" s="256"/>
      <c r="B47" s="256"/>
      <c r="C47" s="256"/>
      <c r="D47" s="257"/>
      <c r="E47" s="257"/>
      <c r="F47" s="257"/>
      <c r="G47" s="258"/>
      <c r="H47" s="258"/>
    </row>
  </sheetData>
  <sheetProtection/>
  <mergeCells count="19">
    <mergeCell ref="A3:G3"/>
    <mergeCell ref="A4:G4"/>
    <mergeCell ref="A5:G5"/>
    <mergeCell ref="A6:G6"/>
    <mergeCell ref="D44:F44"/>
    <mergeCell ref="D46:F46"/>
    <mergeCell ref="A39:G39"/>
    <mergeCell ref="D41:F41"/>
    <mergeCell ref="D42:F42"/>
    <mergeCell ref="D43:F43"/>
    <mergeCell ref="A11:G11"/>
    <mergeCell ref="A9:G9"/>
    <mergeCell ref="A7:A8"/>
    <mergeCell ref="C7:F8"/>
    <mergeCell ref="A38:F38"/>
    <mergeCell ref="A17:G17"/>
    <mergeCell ref="A32:G32"/>
    <mergeCell ref="A16:F16"/>
    <mergeCell ref="A31:F31"/>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384"/>
      <c r="C1" s="1384"/>
      <c r="D1" s="1384"/>
      <c r="E1" s="1384"/>
      <c r="F1" s="1384"/>
      <c r="G1" s="1384"/>
      <c r="H1" s="1385"/>
    </row>
    <row r="2" spans="1:8" s="2" customFormat="1" ht="15" customHeight="1">
      <c r="A2" s="1386" t="s">
        <v>19</v>
      </c>
      <c r="B2" s="1387"/>
      <c r="C2" s="1387"/>
      <c r="D2" s="1387"/>
      <c r="E2" s="1387"/>
      <c r="F2" s="1387"/>
      <c r="G2" s="1387"/>
      <c r="H2" s="1388"/>
    </row>
    <row r="3" spans="1:8" s="2" customFormat="1" ht="15" customHeight="1">
      <c r="A3" s="1389" t="s">
        <v>193</v>
      </c>
      <c r="B3" s="1390"/>
      <c r="C3" s="1390"/>
      <c r="D3" s="1390"/>
      <c r="E3" s="1390"/>
      <c r="F3" s="1390"/>
      <c r="G3" s="1390"/>
      <c r="H3" s="1391"/>
    </row>
    <row r="4" spans="1:8" s="2" customFormat="1" ht="15" customHeight="1">
      <c r="A4" s="1389" t="s">
        <v>18</v>
      </c>
      <c r="B4" s="1390"/>
      <c r="C4" s="1390"/>
      <c r="D4" s="1390"/>
      <c r="E4" s="1390"/>
      <c r="F4" s="1390"/>
      <c r="G4" s="1390"/>
      <c r="H4" s="1391"/>
    </row>
    <row r="5" spans="1:8" s="2" customFormat="1" ht="15" customHeight="1" thickBot="1">
      <c r="A5" s="38"/>
      <c r="B5" s="1392"/>
      <c r="C5" s="1392"/>
      <c r="D5" s="1392"/>
      <c r="E5" s="1392"/>
      <c r="F5" s="1392"/>
      <c r="G5" s="1392"/>
      <c r="H5" s="1393"/>
    </row>
    <row r="6" spans="1:8" s="3" customFormat="1" ht="24.75" customHeight="1" thickBot="1" thickTop="1">
      <c r="A6" s="42" t="s">
        <v>281</v>
      </c>
      <c r="B6" s="43" t="s">
        <v>409</v>
      </c>
      <c r="C6" s="1394"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394"/>
      <c r="E6" s="1394"/>
      <c r="F6" s="1394"/>
      <c r="G6" s="1395" t="s">
        <v>306</v>
      </c>
      <c r="H6" s="1396"/>
    </row>
    <row r="7" spans="1:8" s="3" customFormat="1" ht="40.5" customHeight="1" thickTop="1">
      <c r="A7" s="1370" t="e">
        <f>'ORÇAMENTO GERAL'!#REF!</f>
        <v>#REF!</v>
      </c>
      <c r="B7" s="1371"/>
      <c r="C7" s="1371"/>
      <c r="D7" s="1371"/>
      <c r="E7" s="1371"/>
      <c r="F7" s="1371"/>
      <c r="G7" s="1371"/>
      <c r="H7" s="1372"/>
    </row>
    <row r="8" spans="1:8" s="3" customFormat="1" ht="19.5" customHeight="1">
      <c r="A8" s="1373" t="s">
        <v>194</v>
      </c>
      <c r="B8" s="1374"/>
      <c r="C8" s="1374"/>
      <c r="D8" s="1374"/>
      <c r="E8" s="1374"/>
      <c r="F8" s="1374"/>
      <c r="G8" s="1374"/>
      <c r="H8" s="1375"/>
    </row>
    <row r="9" spans="1:8" s="3" customFormat="1" ht="19.5" customHeight="1">
      <c r="A9" s="25" t="s">
        <v>38</v>
      </c>
      <c r="B9" s="26" t="s">
        <v>280</v>
      </c>
      <c r="C9" s="27" t="s">
        <v>39</v>
      </c>
      <c r="D9" s="26" t="s">
        <v>40</v>
      </c>
      <c r="E9" s="27" t="s">
        <v>157</v>
      </c>
      <c r="F9" s="28" t="s">
        <v>41</v>
      </c>
      <c r="G9" s="1376" t="s">
        <v>42</v>
      </c>
      <c r="H9" s="1377"/>
    </row>
    <row r="10" spans="1:8" s="3" customFormat="1" ht="19.5" customHeight="1">
      <c r="A10" s="39">
        <v>1</v>
      </c>
      <c r="B10" s="29">
        <v>88309</v>
      </c>
      <c r="C10" s="18" t="s">
        <v>296</v>
      </c>
      <c r="D10" s="4" t="s">
        <v>238</v>
      </c>
      <c r="E10" s="22">
        <v>0.2128</v>
      </c>
      <c r="F10" s="5">
        <v>21.31</v>
      </c>
      <c r="G10" s="6"/>
      <c r="H10" s="7">
        <f>ROUND(E10*F10,2)</f>
        <v>4.53</v>
      </c>
    </row>
    <row r="11" spans="1:8" s="3" customFormat="1" ht="19.5" customHeight="1" thickBot="1">
      <c r="A11" s="39">
        <v>2</v>
      </c>
      <c r="B11" s="29">
        <v>88316</v>
      </c>
      <c r="C11" s="18" t="s">
        <v>195</v>
      </c>
      <c r="D11" s="4" t="s">
        <v>238</v>
      </c>
      <c r="E11" s="22">
        <v>0.4255</v>
      </c>
      <c r="F11" s="5">
        <v>17.09</v>
      </c>
      <c r="G11" s="6"/>
      <c r="H11" s="7">
        <f>ROUND(E11*F11,2)</f>
        <v>7.27</v>
      </c>
    </row>
    <row r="12" spans="1:8" s="3" customFormat="1" ht="19.5" customHeight="1" thickBot="1">
      <c r="A12" s="40"/>
      <c r="B12" s="8"/>
      <c r="C12" s="6"/>
      <c r="D12" s="8"/>
      <c r="E12" s="9" t="s">
        <v>196</v>
      </c>
      <c r="F12" s="10"/>
      <c r="G12" s="11"/>
      <c r="H12" s="12">
        <f>SUM(H10:H11)</f>
        <v>11.8</v>
      </c>
    </row>
    <row r="13" spans="1:8" s="3" customFormat="1" ht="19.5" customHeight="1">
      <c r="A13" s="1378" t="s">
        <v>197</v>
      </c>
      <c r="B13" s="1379"/>
      <c r="C13" s="1379"/>
      <c r="D13" s="1379"/>
      <c r="E13" s="1379"/>
      <c r="F13" s="1379"/>
      <c r="G13" s="1379"/>
      <c r="H13" s="1380"/>
    </row>
    <row r="14" spans="1:8" s="3" customFormat="1" ht="19.5" customHeight="1">
      <c r="A14" s="25" t="s">
        <v>38</v>
      </c>
      <c r="B14" s="26" t="s">
        <v>280</v>
      </c>
      <c r="C14" s="27" t="s">
        <v>39</v>
      </c>
      <c r="D14" s="26" t="s">
        <v>40</v>
      </c>
      <c r="E14" s="27" t="s">
        <v>157</v>
      </c>
      <c r="F14" s="28" t="s">
        <v>41</v>
      </c>
      <c r="G14" s="1365" t="s">
        <v>42</v>
      </c>
      <c r="H14" s="1366"/>
    </row>
    <row r="15" spans="1:8" s="3" customFormat="1" ht="19.5" customHeight="1">
      <c r="A15" s="39">
        <v>1</v>
      </c>
      <c r="B15" s="30">
        <v>87313</v>
      </c>
      <c r="C15" s="23" t="s">
        <v>299</v>
      </c>
      <c r="D15" s="14" t="s">
        <v>201</v>
      </c>
      <c r="E15" s="19">
        <v>0.02</v>
      </c>
      <c r="F15" s="20">
        <v>527.24</v>
      </c>
      <c r="G15" s="13"/>
      <c r="H15" s="7">
        <f>ROUND(E15*F15,2)</f>
        <v>10.54</v>
      </c>
    </row>
    <row r="16" spans="1:8" s="3" customFormat="1" ht="19.5" customHeight="1">
      <c r="A16" s="39">
        <v>2</v>
      </c>
      <c r="B16" s="30">
        <v>94969</v>
      </c>
      <c r="C16" s="23" t="s">
        <v>304</v>
      </c>
      <c r="D16" s="14" t="s">
        <v>201</v>
      </c>
      <c r="E16" s="19">
        <v>1.62</v>
      </c>
      <c r="F16" s="20">
        <v>424.22</v>
      </c>
      <c r="G16" s="13"/>
      <c r="H16" s="7">
        <f>ROUND(E16*F16,2)</f>
        <v>687.24</v>
      </c>
    </row>
    <row r="17" spans="1:8" s="3" customFormat="1" ht="19.5" customHeight="1" thickBot="1">
      <c r="A17" s="39">
        <v>3</v>
      </c>
      <c r="B17" s="30">
        <v>101616</v>
      </c>
      <c r="C17" s="23" t="s">
        <v>305</v>
      </c>
      <c r="D17" s="14" t="s">
        <v>301</v>
      </c>
      <c r="E17" s="19">
        <v>2.28</v>
      </c>
      <c r="F17" s="20">
        <v>4.95</v>
      </c>
      <c r="G17" s="13"/>
      <c r="H17" s="7">
        <f>ROUND(E17*F17,2)</f>
        <v>11.29</v>
      </c>
    </row>
    <row r="18" spans="1:8" s="3" customFormat="1" ht="19.5" customHeight="1" thickBot="1">
      <c r="A18" s="40"/>
      <c r="B18" s="8" t="s">
        <v>198</v>
      </c>
      <c r="C18" s="6"/>
      <c r="D18" s="8"/>
      <c r="E18" s="9" t="s">
        <v>199</v>
      </c>
      <c r="F18" s="15"/>
      <c r="G18" s="16"/>
      <c r="H18" s="12">
        <f>SUM(H15:H17)</f>
        <v>709.07</v>
      </c>
    </row>
    <row r="19" spans="1:8" s="3" customFormat="1" ht="19.5" customHeight="1">
      <c r="A19" s="1381" t="s">
        <v>200</v>
      </c>
      <c r="B19" s="1382"/>
      <c r="C19" s="1382"/>
      <c r="D19" s="1382"/>
      <c r="E19" s="1382"/>
      <c r="F19" s="1382"/>
      <c r="G19" s="1382"/>
      <c r="H19" s="1383"/>
    </row>
    <row r="20" spans="1:8" s="3" customFormat="1" ht="19.5" customHeight="1">
      <c r="A20" s="25" t="s">
        <v>38</v>
      </c>
      <c r="B20" s="26" t="s">
        <v>280</v>
      </c>
      <c r="C20" s="27" t="s">
        <v>39</v>
      </c>
      <c r="D20" s="26" t="s">
        <v>40</v>
      </c>
      <c r="E20" s="27" t="s">
        <v>157</v>
      </c>
      <c r="F20" s="28" t="s">
        <v>41</v>
      </c>
      <c r="G20" s="1365" t="s">
        <v>42</v>
      </c>
      <c r="H20" s="1366"/>
    </row>
    <row r="21" spans="1:8" s="3" customFormat="1" ht="19.5" customHeight="1">
      <c r="A21" s="39">
        <v>1</v>
      </c>
      <c r="B21" s="30">
        <v>5875</v>
      </c>
      <c r="C21" s="21" t="s">
        <v>297</v>
      </c>
      <c r="D21" s="14" t="s">
        <v>180</v>
      </c>
      <c r="E21" s="24">
        <v>0.1702</v>
      </c>
      <c r="F21" s="20">
        <v>106.6</v>
      </c>
      <c r="G21" s="13"/>
      <c r="H21" s="7">
        <f>ROUND(E21*F21,2)</f>
        <v>18.14</v>
      </c>
    </row>
    <row r="22" spans="1:8" s="3" customFormat="1" ht="19.5" customHeight="1">
      <c r="A22" s="39">
        <v>2</v>
      </c>
      <c r="B22" s="30">
        <v>5877</v>
      </c>
      <c r="C22" s="21" t="s">
        <v>298</v>
      </c>
      <c r="D22" s="14" t="s">
        <v>182</v>
      </c>
      <c r="E22" s="24">
        <v>0.0426</v>
      </c>
      <c r="F22" s="20">
        <v>42.95</v>
      </c>
      <c r="G22" s="13"/>
      <c r="H22" s="7">
        <f>ROUND(E22*F22,2)</f>
        <v>1.83</v>
      </c>
    </row>
    <row r="23" spans="1:8" s="3" customFormat="1" ht="19.5" customHeight="1">
      <c r="A23" s="39">
        <v>3</v>
      </c>
      <c r="B23" s="30">
        <v>92419</v>
      </c>
      <c r="C23" s="21" t="s">
        <v>300</v>
      </c>
      <c r="D23" s="14" t="s">
        <v>301</v>
      </c>
      <c r="E23" s="24">
        <v>12.68</v>
      </c>
      <c r="F23" s="20">
        <v>72.41</v>
      </c>
      <c r="G23" s="13"/>
      <c r="H23" s="7">
        <f>ROUND(E23*F23,2)</f>
        <v>918.16</v>
      </c>
    </row>
    <row r="24" spans="1:8" s="3" customFormat="1" ht="19.5" customHeight="1" thickBot="1">
      <c r="A24" s="39">
        <v>4</v>
      </c>
      <c r="B24" s="30">
        <v>92915</v>
      </c>
      <c r="C24" s="21" t="s">
        <v>302</v>
      </c>
      <c r="D24" s="14" t="s">
        <v>303</v>
      </c>
      <c r="E24" s="24">
        <v>16.4</v>
      </c>
      <c r="F24" s="20">
        <v>16.48</v>
      </c>
      <c r="G24" s="13"/>
      <c r="H24" s="7">
        <f>ROUND(E24*F24,2)</f>
        <v>270.27</v>
      </c>
    </row>
    <row r="25" spans="1:8" s="3" customFormat="1" ht="19.5" customHeight="1" thickBot="1">
      <c r="A25" s="40"/>
      <c r="B25" s="6" t="s">
        <v>198</v>
      </c>
      <c r="C25" s="6"/>
      <c r="D25" s="8"/>
      <c r="E25" s="9" t="s">
        <v>202</v>
      </c>
      <c r="F25" s="15"/>
      <c r="G25" s="16"/>
      <c r="H25" s="12">
        <f>SUM(H21:H24)</f>
        <v>1208.4</v>
      </c>
    </row>
    <row r="26" spans="1:8" s="3" customFormat="1" ht="19.5" customHeight="1">
      <c r="A26" s="40"/>
      <c r="B26" s="1367" t="s">
        <v>203</v>
      </c>
      <c r="C26" s="1367"/>
      <c r="D26" s="1367"/>
      <c r="E26" s="1367"/>
      <c r="F26" s="1367"/>
      <c r="G26" s="1368"/>
      <c r="H26" s="17">
        <f>SUM(H12+H18+H25)</f>
        <v>1929.27</v>
      </c>
    </row>
    <row r="27" spans="1:8" s="3" customFormat="1" ht="19.5" customHeight="1" thickBot="1">
      <c r="A27" s="41"/>
      <c r="B27" s="1369" t="s">
        <v>204</v>
      </c>
      <c r="C27" s="1369"/>
      <c r="D27" s="1369"/>
      <c r="E27" s="1369"/>
      <c r="F27" s="1369"/>
      <c r="G27" s="31">
        <v>0.2746</v>
      </c>
      <c r="H27" s="32">
        <f>H26*G27</f>
        <v>529.78</v>
      </c>
    </row>
    <row r="28" spans="1:8" s="3" customFormat="1" ht="19.5" customHeight="1" thickBot="1">
      <c r="A28" s="44"/>
      <c r="B28" s="33" t="s">
        <v>205</v>
      </c>
      <c r="C28" s="33"/>
      <c r="D28" s="34"/>
      <c r="E28" s="33"/>
      <c r="F28" s="33"/>
      <c r="G28" s="35"/>
      <c r="H28" s="36">
        <f>SUM(H26:H27)</f>
        <v>2459.05</v>
      </c>
    </row>
  </sheetData>
  <sheetProtection/>
  <mergeCells count="16">
    <mergeCell ref="B1:H1"/>
    <mergeCell ref="A2:H2"/>
    <mergeCell ref="A3:H3"/>
    <mergeCell ref="A4:H4"/>
    <mergeCell ref="B5:H5"/>
    <mergeCell ref="C6:F6"/>
    <mergeCell ref="G6:H6"/>
    <mergeCell ref="G20:H20"/>
    <mergeCell ref="B26:G26"/>
    <mergeCell ref="B27:F27"/>
    <mergeCell ref="A7:H7"/>
    <mergeCell ref="A8:H8"/>
    <mergeCell ref="G9:H9"/>
    <mergeCell ref="A13:H13"/>
    <mergeCell ref="G14:H14"/>
    <mergeCell ref="A19:H19"/>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2"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65"/>
  <sheetViews>
    <sheetView view="pageBreakPreview" zoomScale="60" zoomScaleNormal="60" zoomScalePageLayoutView="0" workbookViewId="0" topLeftCell="G1">
      <selection activeCell="L151" sqref="L151"/>
    </sheetView>
  </sheetViews>
  <sheetFormatPr defaultColWidth="9.140625" defaultRowHeight="12.75"/>
  <cols>
    <col min="1" max="2" width="4.421875" style="399" customWidth="1"/>
    <col min="3" max="4" width="16.7109375" style="399" customWidth="1"/>
    <col min="5" max="5" width="22.7109375" style="399" customWidth="1"/>
    <col min="6" max="6" width="100.7109375" style="399" customWidth="1"/>
    <col min="7" max="10" width="20.7109375" style="399" customWidth="1"/>
    <col min="11" max="11" width="28.421875" style="399" bestFit="1" customWidth="1"/>
    <col min="12" max="12" width="140.8515625" style="399" bestFit="1" customWidth="1"/>
    <col min="13" max="13" width="38.421875" style="399" customWidth="1"/>
    <col min="14" max="14" width="14.8515625" style="399" bestFit="1" customWidth="1"/>
    <col min="15" max="15" width="15.8515625" style="399" customWidth="1"/>
    <col min="16" max="16" width="16.28125" style="399" customWidth="1"/>
    <col min="17" max="16384" width="9.140625" style="399" customWidth="1"/>
  </cols>
  <sheetData>
    <row r="1" spans="1:11" ht="24.75" customHeight="1">
      <c r="A1" s="657"/>
      <c r="B1" s="658"/>
      <c r="C1" s="859"/>
      <c r="D1" s="860"/>
      <c r="E1" s="860"/>
      <c r="F1" s="860"/>
      <c r="G1" s="860"/>
      <c r="H1" s="860"/>
      <c r="I1" s="860"/>
      <c r="J1" s="860"/>
      <c r="K1" s="861"/>
    </row>
    <row r="2" spans="1:11" ht="24.75" customHeight="1">
      <c r="A2" s="659"/>
      <c r="B2" s="419"/>
      <c r="C2" s="862"/>
      <c r="D2" s="863"/>
      <c r="E2" s="863"/>
      <c r="F2" s="863"/>
      <c r="G2" s="863"/>
      <c r="H2" s="863"/>
      <c r="I2" s="863"/>
      <c r="J2" s="863"/>
      <c r="K2" s="864"/>
    </row>
    <row r="3" spans="1:11" ht="24.75" customHeight="1">
      <c r="A3" s="659"/>
      <c r="B3" s="419"/>
      <c r="C3" s="862"/>
      <c r="D3" s="863"/>
      <c r="E3" s="863"/>
      <c r="F3" s="863"/>
      <c r="G3" s="863"/>
      <c r="H3" s="863"/>
      <c r="I3" s="863"/>
      <c r="J3" s="863"/>
      <c r="K3" s="864"/>
    </row>
    <row r="4" spans="1:11" ht="24.75" customHeight="1">
      <c r="A4" s="659"/>
      <c r="B4" s="419"/>
      <c r="C4" s="862"/>
      <c r="D4" s="863"/>
      <c r="E4" s="863"/>
      <c r="F4" s="863"/>
      <c r="G4" s="863"/>
      <c r="H4" s="863"/>
      <c r="I4" s="863"/>
      <c r="J4" s="863"/>
      <c r="K4" s="864"/>
    </row>
    <row r="5" spans="1:11" ht="27.75" customHeight="1">
      <c r="A5" s="659"/>
      <c r="B5" s="419"/>
      <c r="C5" s="820" t="s">
        <v>19</v>
      </c>
      <c r="D5" s="821"/>
      <c r="E5" s="821"/>
      <c r="F5" s="821"/>
      <c r="G5" s="821"/>
      <c r="H5" s="821"/>
      <c r="I5" s="821"/>
      <c r="J5" s="821"/>
      <c r="K5" s="822"/>
    </row>
    <row r="6" spans="1:11" ht="27.75" customHeight="1">
      <c r="A6" s="659"/>
      <c r="B6" s="419"/>
      <c r="C6" s="817" t="s">
        <v>193</v>
      </c>
      <c r="D6" s="818"/>
      <c r="E6" s="818"/>
      <c r="F6" s="818"/>
      <c r="G6" s="818"/>
      <c r="H6" s="818"/>
      <c r="I6" s="818"/>
      <c r="J6" s="818"/>
      <c r="K6" s="819"/>
    </row>
    <row r="7" spans="1:11" ht="27.75" customHeight="1">
      <c r="A7" s="659"/>
      <c r="B7" s="419"/>
      <c r="C7" s="817" t="s">
        <v>18</v>
      </c>
      <c r="D7" s="818"/>
      <c r="E7" s="818"/>
      <c r="F7" s="818"/>
      <c r="G7" s="818"/>
      <c r="H7" s="818"/>
      <c r="I7" s="818"/>
      <c r="J7" s="818"/>
      <c r="K7" s="819"/>
    </row>
    <row r="8" spans="1:11" ht="24.75" customHeight="1">
      <c r="A8" s="659"/>
      <c r="B8" s="419"/>
      <c r="C8" s="579"/>
      <c r="D8" s="580"/>
      <c r="E8" s="580"/>
      <c r="F8" s="580"/>
      <c r="G8" s="580"/>
      <c r="H8" s="580"/>
      <c r="I8" s="580"/>
      <c r="J8" s="580"/>
      <c r="K8" s="581"/>
    </row>
    <row r="9" spans="1:11" ht="56.25" customHeight="1">
      <c r="A9" s="659"/>
      <c r="B9" s="419"/>
      <c r="C9" s="453" t="s">
        <v>649</v>
      </c>
      <c r="D9" s="826" t="s">
        <v>816</v>
      </c>
      <c r="E9" s="826"/>
      <c r="F9" s="826"/>
      <c r="G9" s="826"/>
      <c r="H9" s="826"/>
      <c r="I9" s="826"/>
      <c r="J9" s="826"/>
      <c r="K9" s="827"/>
    </row>
    <row r="10" spans="1:11" ht="30" customHeight="1">
      <c r="A10" s="659"/>
      <c r="B10" s="419"/>
      <c r="C10" s="828" t="s">
        <v>650</v>
      </c>
      <c r="D10" s="826"/>
      <c r="E10" s="829" t="str">
        <f>L151</f>
        <v>UM MILHÃO, CENTO E NOVENTA E NOVE MIL, TREZENTOS E OITENTA E QUATRO REAIS E VINTE E SETE CENTAVOS</v>
      </c>
      <c r="F10" s="829"/>
      <c r="G10" s="829"/>
      <c r="H10" s="829"/>
      <c r="I10" s="829"/>
      <c r="J10" s="829"/>
      <c r="K10" s="830"/>
    </row>
    <row r="11" spans="1:11" ht="30" customHeight="1">
      <c r="A11" s="659"/>
      <c r="B11" s="419"/>
      <c r="C11" s="840" t="s">
        <v>805</v>
      </c>
      <c r="D11" s="829"/>
      <c r="E11" s="829"/>
      <c r="F11" s="829"/>
      <c r="G11" s="829"/>
      <c r="H11" s="829"/>
      <c r="I11" s="829"/>
      <c r="J11" s="829"/>
      <c r="K11" s="830"/>
    </row>
    <row r="12" spans="1:11" ht="24.75" customHeight="1" thickBot="1">
      <c r="A12" s="659"/>
      <c r="B12" s="419"/>
      <c r="C12" s="835"/>
      <c r="D12" s="836"/>
      <c r="E12" s="836"/>
      <c r="F12" s="836"/>
      <c r="G12" s="836"/>
      <c r="H12" s="836"/>
      <c r="I12" s="836"/>
      <c r="J12" s="836"/>
      <c r="K12" s="837"/>
    </row>
    <row r="13" spans="1:11" ht="36.75" customHeight="1" thickBot="1" thickTop="1">
      <c r="A13" s="659"/>
      <c r="B13" s="419"/>
      <c r="C13" s="841" t="s">
        <v>24</v>
      </c>
      <c r="D13" s="842"/>
      <c r="E13" s="842"/>
      <c r="F13" s="842"/>
      <c r="G13" s="842"/>
      <c r="H13" s="842"/>
      <c r="I13" s="842"/>
      <c r="J13" s="842"/>
      <c r="K13" s="843"/>
    </row>
    <row r="14" spans="1:11" ht="7.5" customHeight="1" thickTop="1">
      <c r="A14" s="659"/>
      <c r="B14" s="419"/>
      <c r="C14" s="846"/>
      <c r="D14" s="847"/>
      <c r="E14" s="847"/>
      <c r="F14" s="847"/>
      <c r="G14" s="847"/>
      <c r="H14" s="847"/>
      <c r="I14" s="847"/>
      <c r="J14" s="847"/>
      <c r="K14" s="848"/>
    </row>
    <row r="15" spans="1:16" ht="48">
      <c r="A15" s="659"/>
      <c r="B15" s="419"/>
      <c r="C15" s="831" t="s">
        <v>6</v>
      </c>
      <c r="D15" s="833" t="s">
        <v>189</v>
      </c>
      <c r="E15" s="833" t="s">
        <v>575</v>
      </c>
      <c r="F15" s="833" t="s">
        <v>5</v>
      </c>
      <c r="G15" s="844" t="s">
        <v>153</v>
      </c>
      <c r="H15" s="844" t="s">
        <v>22</v>
      </c>
      <c r="I15" s="844" t="s">
        <v>25</v>
      </c>
      <c r="J15" s="731" t="s">
        <v>254</v>
      </c>
      <c r="K15" s="845" t="s">
        <v>427</v>
      </c>
      <c r="M15" s="400"/>
      <c r="N15" s="401"/>
      <c r="O15" s="401"/>
      <c r="P15" s="401"/>
    </row>
    <row r="16" spans="1:16" ht="25.5">
      <c r="A16" s="659"/>
      <c r="B16" s="419"/>
      <c r="C16" s="832"/>
      <c r="D16" s="834"/>
      <c r="E16" s="834"/>
      <c r="F16" s="834"/>
      <c r="G16" s="844"/>
      <c r="H16" s="844"/>
      <c r="I16" s="844"/>
      <c r="J16" s="730">
        <v>0.2746</v>
      </c>
      <c r="K16" s="845"/>
      <c r="M16" s="400"/>
      <c r="N16" s="401"/>
      <c r="O16" s="401"/>
      <c r="P16" s="401"/>
    </row>
    <row r="17" spans="1:16" ht="27.75" customHeight="1">
      <c r="A17" s="659"/>
      <c r="B17" s="419"/>
      <c r="C17" s="729">
        <v>1</v>
      </c>
      <c r="D17" s="733"/>
      <c r="E17" s="733"/>
      <c r="F17" s="735" t="s">
        <v>1</v>
      </c>
      <c r="G17" s="851"/>
      <c r="H17" s="851"/>
      <c r="I17" s="851"/>
      <c r="J17" s="851"/>
      <c r="K17" s="852"/>
      <c r="M17" s="839"/>
      <c r="N17" s="838"/>
      <c r="O17" s="838"/>
      <c r="P17" s="838"/>
    </row>
    <row r="18" spans="1:16" ht="45" customHeight="1">
      <c r="A18" s="659"/>
      <c r="B18" s="419"/>
      <c r="C18" s="402" t="s">
        <v>20</v>
      </c>
      <c r="D18" s="403" t="s">
        <v>190</v>
      </c>
      <c r="E18" s="404">
        <v>11340</v>
      </c>
      <c r="F18" s="405" t="s">
        <v>271</v>
      </c>
      <c r="G18" s="406">
        <f>3*6</f>
        <v>18</v>
      </c>
      <c r="H18" s="407" t="s">
        <v>2</v>
      </c>
      <c r="I18" s="408">
        <v>175.06</v>
      </c>
      <c r="J18" s="409">
        <f>I18*(1+$J$16)</f>
        <v>223.13</v>
      </c>
      <c r="K18" s="410">
        <f>G18*J18</f>
        <v>4016.34</v>
      </c>
      <c r="M18" s="839"/>
      <c r="N18" s="838"/>
      <c r="O18" s="838"/>
      <c r="P18" s="838"/>
    </row>
    <row r="19" spans="1:16" ht="45" customHeight="1" hidden="1">
      <c r="A19" s="659"/>
      <c r="B19" s="419"/>
      <c r="C19" s="402" t="s">
        <v>21</v>
      </c>
      <c r="D19" s="403" t="s">
        <v>190</v>
      </c>
      <c r="E19" s="404">
        <v>10005</v>
      </c>
      <c r="F19" s="405" t="s">
        <v>510</v>
      </c>
      <c r="G19" s="406">
        <v>12</v>
      </c>
      <c r="H19" s="407" t="s">
        <v>2</v>
      </c>
      <c r="I19" s="408">
        <v>435.14</v>
      </c>
      <c r="J19" s="409">
        <f>I19*(1+$J$16)</f>
        <v>554.63</v>
      </c>
      <c r="K19" s="410">
        <f>G19*J19*0</f>
        <v>0</v>
      </c>
      <c r="M19" s="400"/>
      <c r="N19" s="401"/>
      <c r="O19" s="401"/>
      <c r="P19" s="401"/>
    </row>
    <row r="20" spans="1:16" ht="45" customHeight="1" hidden="1">
      <c r="A20" s="659"/>
      <c r="B20" s="419"/>
      <c r="C20" s="402" t="s">
        <v>410</v>
      </c>
      <c r="D20" s="403" t="s">
        <v>192</v>
      </c>
      <c r="E20" s="404">
        <v>99064</v>
      </c>
      <c r="F20" s="405" t="s">
        <v>576</v>
      </c>
      <c r="G20" s="406">
        <f>'MC-PAV'!C38</f>
        <v>735</v>
      </c>
      <c r="H20" s="407" t="s">
        <v>3</v>
      </c>
      <c r="I20" s="408">
        <v>0.42</v>
      </c>
      <c r="J20" s="409">
        <f>I20*(1+$J$16)</f>
        <v>0.54</v>
      </c>
      <c r="K20" s="410">
        <f>G20*J20*0</f>
        <v>0</v>
      </c>
      <c r="M20" s="400"/>
      <c r="N20" s="401"/>
      <c r="O20" s="401"/>
      <c r="P20" s="401"/>
    </row>
    <row r="21" spans="1:16" ht="45" customHeight="1">
      <c r="A21" s="659"/>
      <c r="B21" s="419"/>
      <c r="C21" s="402" t="s">
        <v>509</v>
      </c>
      <c r="D21" s="403" t="s">
        <v>191</v>
      </c>
      <c r="E21" s="412" t="s">
        <v>411</v>
      </c>
      <c r="F21" s="413" t="s">
        <v>426</v>
      </c>
      <c r="G21" s="406">
        <v>1</v>
      </c>
      <c r="H21" s="411" t="s">
        <v>307</v>
      </c>
      <c r="I21" s="408">
        <f>'CPU-I'!H32</f>
        <v>22626</v>
      </c>
      <c r="J21" s="409">
        <f>I21*(1+$J$16)</f>
        <v>28839.1</v>
      </c>
      <c r="K21" s="410">
        <f>G21*J21</f>
        <v>28839.1</v>
      </c>
      <c r="M21" s="839"/>
      <c r="N21" s="838"/>
      <c r="O21" s="838"/>
      <c r="P21" s="838"/>
    </row>
    <row r="22" spans="1:16" ht="27.75" customHeight="1">
      <c r="A22" s="659"/>
      <c r="B22" s="419"/>
      <c r="C22" s="856" t="s">
        <v>9</v>
      </c>
      <c r="D22" s="857"/>
      <c r="E22" s="857"/>
      <c r="F22" s="857"/>
      <c r="G22" s="857"/>
      <c r="H22" s="857"/>
      <c r="I22" s="857"/>
      <c r="J22" s="858"/>
      <c r="K22" s="434">
        <f>SUM(K18:K21)</f>
        <v>32855.44</v>
      </c>
      <c r="M22" s="839"/>
      <c r="N22" s="838"/>
      <c r="O22" s="838"/>
      <c r="P22" s="838"/>
    </row>
    <row r="23" spans="1:16" ht="27.75" customHeight="1">
      <c r="A23" s="659"/>
      <c r="B23" s="419"/>
      <c r="C23" s="729">
        <v>2</v>
      </c>
      <c r="D23" s="734"/>
      <c r="E23" s="734"/>
      <c r="F23" s="735" t="s">
        <v>428</v>
      </c>
      <c r="G23" s="851"/>
      <c r="H23" s="851"/>
      <c r="I23" s="851"/>
      <c r="J23" s="851"/>
      <c r="K23" s="852"/>
      <c r="M23" s="839"/>
      <c r="N23" s="838"/>
      <c r="O23" s="838"/>
      <c r="P23" s="838"/>
    </row>
    <row r="24" spans="1:16" ht="45" customHeight="1">
      <c r="A24" s="659"/>
      <c r="B24" s="419"/>
      <c r="C24" s="402" t="s">
        <v>4</v>
      </c>
      <c r="D24" s="414" t="s">
        <v>190</v>
      </c>
      <c r="E24" s="412" t="s">
        <v>228</v>
      </c>
      <c r="F24" s="415" t="s">
        <v>229</v>
      </c>
      <c r="G24" s="416">
        <f>'MC-PAV'!F38</f>
        <v>23.45</v>
      </c>
      <c r="H24" s="407" t="s">
        <v>0</v>
      </c>
      <c r="I24" s="417">
        <v>280.01</v>
      </c>
      <c r="J24" s="409">
        <f>I24*(1+$J$16)</f>
        <v>356.9</v>
      </c>
      <c r="K24" s="410">
        <f>G24*J24</f>
        <v>8369.31</v>
      </c>
      <c r="M24" s="839"/>
      <c r="N24" s="838"/>
      <c r="O24" s="838"/>
      <c r="P24" s="838"/>
    </row>
    <row r="25" spans="1:16" ht="45" customHeight="1" hidden="1">
      <c r="A25" s="659"/>
      <c r="B25" s="419"/>
      <c r="C25" s="402" t="s">
        <v>7</v>
      </c>
      <c r="D25" s="418" t="s">
        <v>190</v>
      </c>
      <c r="E25" s="412" t="s">
        <v>429</v>
      </c>
      <c r="F25" s="415" t="s">
        <v>430</v>
      </c>
      <c r="G25" s="416">
        <f>'MC-PAV'!L38</f>
        <v>0</v>
      </c>
      <c r="H25" s="407" t="s">
        <v>0</v>
      </c>
      <c r="I25" s="417">
        <v>108.79</v>
      </c>
      <c r="J25" s="409">
        <f>I25*(1+$J$16)</f>
        <v>138.66</v>
      </c>
      <c r="K25" s="410">
        <f>G25*J25</f>
        <v>0</v>
      </c>
      <c r="M25" s="839"/>
      <c r="N25" s="838"/>
      <c r="O25" s="838"/>
      <c r="P25" s="838"/>
    </row>
    <row r="26" spans="1:16" ht="27.75" customHeight="1">
      <c r="A26" s="659"/>
      <c r="B26" s="419"/>
      <c r="C26" s="856" t="s">
        <v>431</v>
      </c>
      <c r="D26" s="857"/>
      <c r="E26" s="857"/>
      <c r="F26" s="857"/>
      <c r="G26" s="857"/>
      <c r="H26" s="857"/>
      <c r="I26" s="857"/>
      <c r="J26" s="858"/>
      <c r="K26" s="434">
        <f>SUM(K24:K25)</f>
        <v>8369.31</v>
      </c>
      <c r="M26" s="839"/>
      <c r="N26" s="838"/>
      <c r="O26" s="838"/>
      <c r="P26" s="838"/>
    </row>
    <row r="27" spans="1:16" ht="27.75" customHeight="1">
      <c r="A27" s="659"/>
      <c r="B27" s="419"/>
      <c r="C27" s="729">
        <v>3</v>
      </c>
      <c r="D27" s="732"/>
      <c r="E27" s="732"/>
      <c r="F27" s="450" t="s">
        <v>772</v>
      </c>
      <c r="G27" s="849"/>
      <c r="H27" s="849"/>
      <c r="I27" s="849"/>
      <c r="J27" s="849"/>
      <c r="K27" s="850"/>
      <c r="M27" s="400"/>
      <c r="N27" s="401"/>
      <c r="O27" s="401"/>
      <c r="P27" s="401"/>
    </row>
    <row r="28" spans="1:16" ht="45" customHeight="1">
      <c r="A28" s="659"/>
      <c r="B28" s="419"/>
      <c r="C28" s="420" t="s">
        <v>10</v>
      </c>
      <c r="D28" s="414" t="s">
        <v>190</v>
      </c>
      <c r="E28" s="412">
        <v>30011</v>
      </c>
      <c r="F28" s="415" t="s">
        <v>672</v>
      </c>
      <c r="G28" s="416">
        <f>'MC-PAV'!G38</f>
        <v>16.42</v>
      </c>
      <c r="H28" s="407" t="s">
        <v>0</v>
      </c>
      <c r="I28" s="417">
        <v>137.3</v>
      </c>
      <c r="J28" s="409">
        <f>I28*(1+$J$16)</f>
        <v>175</v>
      </c>
      <c r="K28" s="410">
        <f>G28*J28</f>
        <v>2873.5</v>
      </c>
      <c r="M28" s="572"/>
      <c r="N28" s="401"/>
      <c r="O28" s="401"/>
      <c r="P28" s="401"/>
    </row>
    <row r="29" spans="1:16" ht="45" customHeight="1">
      <c r="A29" s="659"/>
      <c r="B29" s="419"/>
      <c r="C29" s="420" t="s">
        <v>31</v>
      </c>
      <c r="D29" s="414" t="s">
        <v>192</v>
      </c>
      <c r="E29" s="412" t="s">
        <v>32</v>
      </c>
      <c r="F29" s="415" t="s">
        <v>211</v>
      </c>
      <c r="G29" s="416">
        <f>'MC-PAV'!H38</f>
        <v>469</v>
      </c>
      <c r="H29" s="407" t="s">
        <v>2</v>
      </c>
      <c r="I29" s="417">
        <v>94.67</v>
      </c>
      <c r="J29" s="409">
        <f>I29*(1+$J$16)</f>
        <v>120.67</v>
      </c>
      <c r="K29" s="410">
        <f>G29*J29</f>
        <v>56594.23</v>
      </c>
      <c r="M29" s="400"/>
      <c r="N29" s="401"/>
      <c r="O29" s="401"/>
      <c r="P29" s="401"/>
    </row>
    <row r="30" spans="1:16" ht="45" customHeight="1" hidden="1">
      <c r="A30" s="659"/>
      <c r="B30" s="419"/>
      <c r="C30" s="420" t="s">
        <v>70</v>
      </c>
      <c r="D30" s="414" t="s">
        <v>192</v>
      </c>
      <c r="E30" s="412" t="s">
        <v>154</v>
      </c>
      <c r="F30" s="415" t="s">
        <v>155</v>
      </c>
      <c r="G30" s="416">
        <f>'MC-PAV'!I38</f>
        <v>0</v>
      </c>
      <c r="H30" s="406" t="s">
        <v>0</v>
      </c>
      <c r="I30" s="417">
        <v>15.52</v>
      </c>
      <c r="J30" s="409">
        <f>I30*(1+$J$16)</f>
        <v>19.78</v>
      </c>
      <c r="K30" s="410">
        <f>G30*J30</f>
        <v>0</v>
      </c>
      <c r="M30" s="400"/>
      <c r="N30" s="401"/>
      <c r="O30" s="401"/>
      <c r="P30" s="401"/>
    </row>
    <row r="31" spans="1:11" ht="45" customHeight="1" hidden="1">
      <c r="A31" s="659"/>
      <c r="B31" s="419"/>
      <c r="C31" s="420" t="s">
        <v>227</v>
      </c>
      <c r="D31" s="414" t="s">
        <v>192</v>
      </c>
      <c r="E31" s="412" t="s">
        <v>66</v>
      </c>
      <c r="F31" s="415" t="s">
        <v>67</v>
      </c>
      <c r="G31" s="416">
        <f>'MC-PAV'!K38</f>
        <v>0</v>
      </c>
      <c r="H31" s="411" t="s">
        <v>3</v>
      </c>
      <c r="I31" s="417">
        <v>47.44</v>
      </c>
      <c r="J31" s="409">
        <f>I31*(1+$J$16)</f>
        <v>60.47</v>
      </c>
      <c r="K31" s="410">
        <f>G31*J31</f>
        <v>0</v>
      </c>
    </row>
    <row r="32" spans="1:11" ht="45" customHeight="1" hidden="1">
      <c r="A32" s="659"/>
      <c r="B32" s="419"/>
      <c r="C32" s="420" t="s">
        <v>671</v>
      </c>
      <c r="D32" s="414" t="s">
        <v>192</v>
      </c>
      <c r="E32" s="421" t="s">
        <v>68</v>
      </c>
      <c r="F32" s="422" t="s">
        <v>69</v>
      </c>
      <c r="G32" s="416">
        <f>'MC-PAV'!J38</f>
        <v>0</v>
      </c>
      <c r="H32" s="411" t="s">
        <v>3</v>
      </c>
      <c r="I32" s="409">
        <v>37.73</v>
      </c>
      <c r="J32" s="409">
        <f>I32*(1+$J$16)</f>
        <v>48.09</v>
      </c>
      <c r="K32" s="410">
        <f>G32*J32</f>
        <v>0</v>
      </c>
    </row>
    <row r="33" spans="1:11" ht="27.75" customHeight="1">
      <c r="A33" s="659"/>
      <c r="B33" s="419"/>
      <c r="C33" s="823" t="s">
        <v>12</v>
      </c>
      <c r="D33" s="824"/>
      <c r="E33" s="824"/>
      <c r="F33" s="824"/>
      <c r="G33" s="824"/>
      <c r="H33" s="824"/>
      <c r="I33" s="824"/>
      <c r="J33" s="824"/>
      <c r="K33" s="434">
        <f>SUM(K28:K32)</f>
        <v>59467.73</v>
      </c>
    </row>
    <row r="34" spans="1:11" ht="27.75" customHeight="1">
      <c r="A34" s="659"/>
      <c r="B34" s="419"/>
      <c r="C34" s="448">
        <v>4</v>
      </c>
      <c r="D34" s="449"/>
      <c r="E34" s="449"/>
      <c r="F34" s="450" t="s">
        <v>771</v>
      </c>
      <c r="G34" s="849"/>
      <c r="H34" s="849"/>
      <c r="I34" s="849"/>
      <c r="J34" s="849"/>
      <c r="K34" s="850"/>
    </row>
    <row r="35" spans="1:11" ht="45" customHeight="1">
      <c r="A35" s="659"/>
      <c r="B35" s="419"/>
      <c r="C35" s="423" t="s">
        <v>34</v>
      </c>
      <c r="D35" s="424" t="s">
        <v>190</v>
      </c>
      <c r="E35" s="425">
        <v>180720</v>
      </c>
      <c r="F35" s="426" t="s">
        <v>665</v>
      </c>
      <c r="G35" s="406">
        <f>'MC-DRE'!E40</f>
        <v>135</v>
      </c>
      <c r="H35" s="411" t="s">
        <v>307</v>
      </c>
      <c r="I35" s="427">
        <v>171.89</v>
      </c>
      <c r="J35" s="409">
        <f aca="true" t="shared" si="0" ref="J35:J104">I35*(1+$J$16)</f>
        <v>219.09</v>
      </c>
      <c r="K35" s="410">
        <f aca="true" t="shared" si="1" ref="K35:K104">G35*J35</f>
        <v>29577.15</v>
      </c>
    </row>
    <row r="36" spans="1:11" ht="45" customHeight="1">
      <c r="A36" s="659"/>
      <c r="B36" s="419"/>
      <c r="C36" s="428" t="s">
        <v>434</v>
      </c>
      <c r="D36" s="414" t="s">
        <v>190</v>
      </c>
      <c r="E36" s="412" t="s">
        <v>513</v>
      </c>
      <c r="F36" s="413" t="s">
        <v>514</v>
      </c>
      <c r="G36" s="406">
        <f>'MC-DRE'!H40</f>
        <v>142.89</v>
      </c>
      <c r="H36" s="407" t="s">
        <v>0</v>
      </c>
      <c r="I36" s="427">
        <v>11.54</v>
      </c>
      <c r="J36" s="409">
        <f t="shared" si="0"/>
        <v>14.71</v>
      </c>
      <c r="K36" s="410">
        <f t="shared" si="1"/>
        <v>2101.91</v>
      </c>
    </row>
    <row r="37" spans="1:11" ht="45" customHeight="1">
      <c r="A37" s="659"/>
      <c r="B37" s="419"/>
      <c r="C37" s="428" t="s">
        <v>435</v>
      </c>
      <c r="D37" s="414" t="s">
        <v>192</v>
      </c>
      <c r="E37" s="404">
        <v>100980</v>
      </c>
      <c r="F37" s="415" t="s">
        <v>350</v>
      </c>
      <c r="G37" s="406">
        <f>'MC-DRE'!I40</f>
        <v>16.95</v>
      </c>
      <c r="H37" s="407" t="s">
        <v>0</v>
      </c>
      <c r="I37" s="429">
        <v>6.03</v>
      </c>
      <c r="J37" s="409">
        <f t="shared" si="0"/>
        <v>7.69</v>
      </c>
      <c r="K37" s="410">
        <f t="shared" si="1"/>
        <v>130.35</v>
      </c>
    </row>
    <row r="38" spans="1:11" s="430" customFormat="1" ht="45" customHeight="1">
      <c r="A38" s="660"/>
      <c r="B38" s="661"/>
      <c r="C38" s="428" t="s">
        <v>436</v>
      </c>
      <c r="D38" s="418" t="s">
        <v>192</v>
      </c>
      <c r="E38" s="412" t="s">
        <v>352</v>
      </c>
      <c r="F38" s="415" t="s">
        <v>353</v>
      </c>
      <c r="G38" s="406">
        <f>'MC-DRE'!J40</f>
        <v>211.89</v>
      </c>
      <c r="H38" s="407" t="s">
        <v>237</v>
      </c>
      <c r="I38" s="427">
        <v>2.61</v>
      </c>
      <c r="J38" s="409">
        <f t="shared" si="0"/>
        <v>3.33</v>
      </c>
      <c r="K38" s="410">
        <f t="shared" si="1"/>
        <v>705.59</v>
      </c>
    </row>
    <row r="39" spans="1:11" ht="45" customHeight="1">
      <c r="A39" s="659"/>
      <c r="B39" s="419"/>
      <c r="C39" s="428" t="s">
        <v>437</v>
      </c>
      <c r="D39" s="414" t="s">
        <v>192</v>
      </c>
      <c r="E39" s="404">
        <v>101616</v>
      </c>
      <c r="F39" s="422" t="s">
        <v>234</v>
      </c>
      <c r="G39" s="406">
        <f>'MC-DRE'!K40</f>
        <v>132.3</v>
      </c>
      <c r="H39" s="407" t="s">
        <v>2</v>
      </c>
      <c r="I39" s="427">
        <v>5.58</v>
      </c>
      <c r="J39" s="409">
        <f t="shared" si="0"/>
        <v>7.11</v>
      </c>
      <c r="K39" s="410">
        <f t="shared" si="1"/>
        <v>940.65</v>
      </c>
    </row>
    <row r="40" spans="1:11" ht="45" customHeight="1">
      <c r="A40" s="659"/>
      <c r="B40" s="419"/>
      <c r="C40" s="428" t="s">
        <v>438</v>
      </c>
      <c r="D40" s="414" t="s">
        <v>190</v>
      </c>
      <c r="E40" s="404">
        <v>260278</v>
      </c>
      <c r="F40" s="415" t="s">
        <v>347</v>
      </c>
      <c r="G40" s="406">
        <f>'MC-DRE'!L40</f>
        <v>132.3</v>
      </c>
      <c r="H40" s="406" t="s">
        <v>2</v>
      </c>
      <c r="I40" s="429">
        <v>40.93</v>
      </c>
      <c r="J40" s="409">
        <f t="shared" si="0"/>
        <v>52.17</v>
      </c>
      <c r="K40" s="410">
        <f t="shared" si="1"/>
        <v>6902.09</v>
      </c>
    </row>
    <row r="41" spans="1:11" ht="45" customHeight="1">
      <c r="A41" s="659"/>
      <c r="B41" s="419"/>
      <c r="C41" s="428" t="s">
        <v>439</v>
      </c>
      <c r="D41" s="414" t="s">
        <v>190</v>
      </c>
      <c r="E41" s="404">
        <v>30011</v>
      </c>
      <c r="F41" s="415" t="s">
        <v>512</v>
      </c>
      <c r="G41" s="406">
        <f>'MC-DRE'!N40</f>
        <v>88.16</v>
      </c>
      <c r="H41" s="407" t="s">
        <v>0</v>
      </c>
      <c r="I41" s="429">
        <f>I28</f>
        <v>137.3</v>
      </c>
      <c r="J41" s="409">
        <f t="shared" si="0"/>
        <v>175</v>
      </c>
      <c r="K41" s="410">
        <f t="shared" si="1"/>
        <v>15428</v>
      </c>
    </row>
    <row r="42" spans="1:11" ht="45" customHeight="1">
      <c r="A42" s="659"/>
      <c r="B42" s="419"/>
      <c r="C42" s="428" t="s">
        <v>440</v>
      </c>
      <c r="D42" s="418" t="s">
        <v>192</v>
      </c>
      <c r="E42" s="412" t="s">
        <v>349</v>
      </c>
      <c r="F42" s="415" t="s">
        <v>602</v>
      </c>
      <c r="G42" s="406">
        <f>'MC-DRE'!O40</f>
        <v>37.78</v>
      </c>
      <c r="H42" s="407" t="s">
        <v>0</v>
      </c>
      <c r="I42" s="427">
        <v>18.13</v>
      </c>
      <c r="J42" s="409">
        <f t="shared" si="0"/>
        <v>23.11</v>
      </c>
      <c r="K42" s="410">
        <f t="shared" si="1"/>
        <v>873.1</v>
      </c>
    </row>
    <row r="43" spans="1:11" ht="45" customHeight="1" hidden="1">
      <c r="A43" s="659"/>
      <c r="B43" s="419"/>
      <c r="C43" s="428" t="s">
        <v>515</v>
      </c>
      <c r="D43" s="414" t="s">
        <v>192</v>
      </c>
      <c r="E43" s="404">
        <v>101579</v>
      </c>
      <c r="F43" s="415" t="s">
        <v>601</v>
      </c>
      <c r="G43" s="406">
        <f>'MC-DRE'!P40</f>
        <v>0</v>
      </c>
      <c r="H43" s="406" t="s">
        <v>2</v>
      </c>
      <c r="I43" s="429">
        <v>39.94</v>
      </c>
      <c r="J43" s="409">
        <f t="shared" si="0"/>
        <v>50.91</v>
      </c>
      <c r="K43" s="410">
        <f t="shared" si="1"/>
        <v>0</v>
      </c>
    </row>
    <row r="44" spans="1:11" ht="45" customHeight="1">
      <c r="A44" s="659"/>
      <c r="B44" s="419"/>
      <c r="C44" s="428" t="s">
        <v>515</v>
      </c>
      <c r="D44" s="414" t="s">
        <v>192</v>
      </c>
      <c r="E44" s="412" t="s">
        <v>421</v>
      </c>
      <c r="F44" s="415" t="s">
        <v>422</v>
      </c>
      <c r="G44" s="406">
        <f>'MC-DRE'!Q40</f>
        <v>135</v>
      </c>
      <c r="H44" s="407" t="s">
        <v>3</v>
      </c>
      <c r="I44" s="427">
        <v>61.72</v>
      </c>
      <c r="J44" s="409">
        <f t="shared" si="0"/>
        <v>78.67</v>
      </c>
      <c r="K44" s="410">
        <f t="shared" si="1"/>
        <v>10620.45</v>
      </c>
    </row>
    <row r="45" spans="1:11" ht="45" customHeight="1">
      <c r="A45" s="659"/>
      <c r="B45" s="419"/>
      <c r="C45" s="423" t="s">
        <v>35</v>
      </c>
      <c r="D45" s="431" t="s">
        <v>190</v>
      </c>
      <c r="E45" s="432" t="s">
        <v>511</v>
      </c>
      <c r="F45" s="433" t="s">
        <v>666</v>
      </c>
      <c r="G45" s="406">
        <f>'MC-DRE'!E68</f>
        <v>675</v>
      </c>
      <c r="H45" s="411" t="s">
        <v>307</v>
      </c>
      <c r="I45" s="427">
        <v>261.9</v>
      </c>
      <c r="J45" s="409">
        <f t="shared" si="0"/>
        <v>333.82</v>
      </c>
      <c r="K45" s="410">
        <f t="shared" si="1"/>
        <v>225328.5</v>
      </c>
    </row>
    <row r="46" spans="1:11" ht="45" customHeight="1">
      <c r="A46" s="659"/>
      <c r="B46" s="419"/>
      <c r="C46" s="428" t="s">
        <v>441</v>
      </c>
      <c r="D46" s="414" t="s">
        <v>190</v>
      </c>
      <c r="E46" s="412" t="s">
        <v>513</v>
      </c>
      <c r="F46" s="413" t="s">
        <v>514</v>
      </c>
      <c r="G46" s="406">
        <f>'MC-DRE'!H68</f>
        <v>1440.59</v>
      </c>
      <c r="H46" s="407" t="s">
        <v>0</v>
      </c>
      <c r="I46" s="427">
        <f>I36</f>
        <v>11.54</v>
      </c>
      <c r="J46" s="409">
        <f t="shared" si="0"/>
        <v>14.71</v>
      </c>
      <c r="K46" s="410">
        <f t="shared" si="1"/>
        <v>21191.08</v>
      </c>
    </row>
    <row r="47" spans="1:11" ht="45" customHeight="1">
      <c r="A47" s="659"/>
      <c r="B47" s="419"/>
      <c r="C47" s="428" t="s">
        <v>442</v>
      </c>
      <c r="D47" s="414" t="s">
        <v>192</v>
      </c>
      <c r="E47" s="404">
        <v>100980</v>
      </c>
      <c r="F47" s="415" t="s">
        <v>350</v>
      </c>
      <c r="G47" s="406">
        <f>'MC-DRE'!I68</f>
        <v>190.75</v>
      </c>
      <c r="H47" s="407" t="s">
        <v>0</v>
      </c>
      <c r="I47" s="427">
        <f aca="true" t="shared" si="2" ref="I47:I53">I37</f>
        <v>6.03</v>
      </c>
      <c r="J47" s="409">
        <f t="shared" si="0"/>
        <v>7.69</v>
      </c>
      <c r="K47" s="410">
        <f t="shared" si="1"/>
        <v>1466.87</v>
      </c>
    </row>
    <row r="48" spans="1:11" s="430" customFormat="1" ht="45" customHeight="1">
      <c r="A48" s="660"/>
      <c r="B48" s="661"/>
      <c r="C48" s="428" t="s">
        <v>443</v>
      </c>
      <c r="D48" s="418" t="s">
        <v>192</v>
      </c>
      <c r="E48" s="412" t="s">
        <v>352</v>
      </c>
      <c r="F48" s="415" t="s">
        <v>353</v>
      </c>
      <c r="G48" s="406">
        <f>'MC-DRE'!J68</f>
        <v>2384.38</v>
      </c>
      <c r="H48" s="407" t="s">
        <v>237</v>
      </c>
      <c r="I48" s="427">
        <f t="shared" si="2"/>
        <v>2.61</v>
      </c>
      <c r="J48" s="409">
        <f t="shared" si="0"/>
        <v>3.33</v>
      </c>
      <c r="K48" s="410">
        <f t="shared" si="1"/>
        <v>7939.99</v>
      </c>
    </row>
    <row r="49" spans="1:11" ht="45" customHeight="1">
      <c r="A49" s="659"/>
      <c r="B49" s="419"/>
      <c r="C49" s="428" t="s">
        <v>444</v>
      </c>
      <c r="D49" s="414" t="s">
        <v>192</v>
      </c>
      <c r="E49" s="404">
        <v>101616</v>
      </c>
      <c r="F49" s="422" t="s">
        <v>234</v>
      </c>
      <c r="G49" s="406">
        <f>'MC-DRE'!K68</f>
        <v>823.5</v>
      </c>
      <c r="H49" s="407" t="s">
        <v>2</v>
      </c>
      <c r="I49" s="427">
        <f t="shared" si="2"/>
        <v>5.58</v>
      </c>
      <c r="J49" s="409">
        <f t="shared" si="0"/>
        <v>7.11</v>
      </c>
      <c r="K49" s="410">
        <f t="shared" si="1"/>
        <v>5855.09</v>
      </c>
    </row>
    <row r="50" spans="1:11" ht="45" customHeight="1">
      <c r="A50" s="659"/>
      <c r="B50" s="419"/>
      <c r="C50" s="428" t="s">
        <v>445</v>
      </c>
      <c r="D50" s="414" t="s">
        <v>190</v>
      </c>
      <c r="E50" s="404">
        <v>260278</v>
      </c>
      <c r="F50" s="415" t="s">
        <v>347</v>
      </c>
      <c r="G50" s="406">
        <f>'MC-DRE'!L68</f>
        <v>823.5</v>
      </c>
      <c r="H50" s="406" t="s">
        <v>2</v>
      </c>
      <c r="I50" s="427">
        <f t="shared" si="2"/>
        <v>40.93</v>
      </c>
      <c r="J50" s="409">
        <f t="shared" si="0"/>
        <v>52.17</v>
      </c>
      <c r="K50" s="410">
        <f t="shared" si="1"/>
        <v>42962</v>
      </c>
    </row>
    <row r="51" spans="1:11" ht="45" customHeight="1">
      <c r="A51" s="659"/>
      <c r="B51" s="419"/>
      <c r="C51" s="428" t="s">
        <v>446</v>
      </c>
      <c r="D51" s="414" t="s">
        <v>190</v>
      </c>
      <c r="E51" s="404">
        <v>30011</v>
      </c>
      <c r="F51" s="415" t="s">
        <v>512</v>
      </c>
      <c r="G51" s="406">
        <f>'MC-DRE'!N68</f>
        <v>874.89</v>
      </c>
      <c r="H51" s="407" t="s">
        <v>0</v>
      </c>
      <c r="I51" s="427">
        <f t="shared" si="2"/>
        <v>137.3</v>
      </c>
      <c r="J51" s="409">
        <f t="shared" si="0"/>
        <v>175</v>
      </c>
      <c r="K51" s="410">
        <f t="shared" si="1"/>
        <v>153105.75</v>
      </c>
    </row>
    <row r="52" spans="1:11" ht="45" customHeight="1">
      <c r="A52" s="659"/>
      <c r="B52" s="419"/>
      <c r="C52" s="428" t="s">
        <v>447</v>
      </c>
      <c r="D52" s="418" t="s">
        <v>192</v>
      </c>
      <c r="E52" s="412" t="s">
        <v>349</v>
      </c>
      <c r="F52" s="415" t="s">
        <v>602</v>
      </c>
      <c r="G52" s="406">
        <f>'MC-DRE'!O68</f>
        <v>374.96</v>
      </c>
      <c r="H52" s="407" t="s">
        <v>0</v>
      </c>
      <c r="I52" s="427">
        <f>I42</f>
        <v>18.13</v>
      </c>
      <c r="J52" s="409">
        <f t="shared" si="0"/>
        <v>23.11</v>
      </c>
      <c r="K52" s="410">
        <f t="shared" si="1"/>
        <v>8665.33</v>
      </c>
    </row>
    <row r="53" spans="1:11" ht="45" customHeight="1" hidden="1">
      <c r="A53" s="659"/>
      <c r="B53" s="419"/>
      <c r="C53" s="428" t="s">
        <v>518</v>
      </c>
      <c r="D53" s="414" t="s">
        <v>192</v>
      </c>
      <c r="E53" s="404">
        <v>101579</v>
      </c>
      <c r="F53" s="415" t="s">
        <v>601</v>
      </c>
      <c r="G53" s="406">
        <f>'MC-DRE'!P68</f>
        <v>0</v>
      </c>
      <c r="H53" s="406" t="s">
        <v>2</v>
      </c>
      <c r="I53" s="427">
        <f t="shared" si="2"/>
        <v>39.94</v>
      </c>
      <c r="J53" s="409">
        <f t="shared" si="0"/>
        <v>50.91</v>
      </c>
      <c r="K53" s="410">
        <f t="shared" si="1"/>
        <v>0</v>
      </c>
    </row>
    <row r="54" spans="1:11" ht="45" customHeight="1">
      <c r="A54" s="659"/>
      <c r="B54" s="419"/>
      <c r="C54" s="428" t="s">
        <v>518</v>
      </c>
      <c r="D54" s="418" t="s">
        <v>192</v>
      </c>
      <c r="E54" s="411">
        <v>92824</v>
      </c>
      <c r="F54" s="413" t="s">
        <v>423</v>
      </c>
      <c r="G54" s="406">
        <f>'MC-DRE'!Q68</f>
        <v>675</v>
      </c>
      <c r="H54" s="407" t="s">
        <v>3</v>
      </c>
      <c r="I54" s="427">
        <v>89.94</v>
      </c>
      <c r="J54" s="409">
        <f t="shared" si="0"/>
        <v>114.64</v>
      </c>
      <c r="K54" s="410">
        <f t="shared" si="1"/>
        <v>77382</v>
      </c>
    </row>
    <row r="55" spans="1:11" ht="45" customHeight="1" hidden="1">
      <c r="A55" s="659"/>
      <c r="B55" s="419"/>
      <c r="C55" s="423" t="s">
        <v>36</v>
      </c>
      <c r="D55" s="431" t="s">
        <v>190</v>
      </c>
      <c r="E55" s="432" t="s">
        <v>225</v>
      </c>
      <c r="F55" s="433" t="s">
        <v>667</v>
      </c>
      <c r="G55" s="406">
        <f>'MC-DRE'!E96</f>
        <v>0</v>
      </c>
      <c r="H55" s="411" t="s">
        <v>307</v>
      </c>
      <c r="I55" s="427">
        <v>421.08</v>
      </c>
      <c r="J55" s="409">
        <f t="shared" si="0"/>
        <v>536.71</v>
      </c>
      <c r="K55" s="410">
        <f t="shared" si="1"/>
        <v>0</v>
      </c>
    </row>
    <row r="56" spans="1:11" ht="45" customHeight="1" hidden="1">
      <c r="A56" s="659"/>
      <c r="B56" s="419"/>
      <c r="C56" s="428" t="s">
        <v>448</v>
      </c>
      <c r="D56" s="414" t="s">
        <v>190</v>
      </c>
      <c r="E56" s="412" t="s">
        <v>513</v>
      </c>
      <c r="F56" s="413" t="s">
        <v>514</v>
      </c>
      <c r="G56" s="406">
        <f>'MC-DRE'!H96</f>
        <v>0</v>
      </c>
      <c r="H56" s="407" t="s">
        <v>0</v>
      </c>
      <c r="I56" s="427">
        <f>I36</f>
        <v>11.54</v>
      </c>
      <c r="J56" s="409">
        <f t="shared" si="0"/>
        <v>14.71</v>
      </c>
      <c r="K56" s="410">
        <f t="shared" si="1"/>
        <v>0</v>
      </c>
    </row>
    <row r="57" spans="1:11" ht="45" customHeight="1" hidden="1">
      <c r="A57" s="659"/>
      <c r="B57" s="419"/>
      <c r="C57" s="428" t="s">
        <v>449</v>
      </c>
      <c r="D57" s="414" t="s">
        <v>192</v>
      </c>
      <c r="E57" s="404">
        <v>100980</v>
      </c>
      <c r="F57" s="415" t="s">
        <v>350</v>
      </c>
      <c r="G57" s="406">
        <f>'MC-DRE'!I96</f>
        <v>0</v>
      </c>
      <c r="H57" s="407" t="s">
        <v>0</v>
      </c>
      <c r="I57" s="427">
        <f aca="true" t="shared" si="3" ref="I57:I63">I37</f>
        <v>6.03</v>
      </c>
      <c r="J57" s="409">
        <f t="shared" si="0"/>
        <v>7.69</v>
      </c>
      <c r="K57" s="410">
        <f t="shared" si="1"/>
        <v>0</v>
      </c>
    </row>
    <row r="58" spans="1:11" s="430" customFormat="1" ht="45" customHeight="1" hidden="1">
      <c r="A58" s="660"/>
      <c r="B58" s="661"/>
      <c r="C58" s="428" t="s">
        <v>450</v>
      </c>
      <c r="D58" s="418" t="s">
        <v>192</v>
      </c>
      <c r="E58" s="412" t="s">
        <v>352</v>
      </c>
      <c r="F58" s="415" t="s">
        <v>353</v>
      </c>
      <c r="G58" s="406">
        <f>'MC-DRE'!J96</f>
        <v>0</v>
      </c>
      <c r="H58" s="407" t="s">
        <v>237</v>
      </c>
      <c r="I58" s="427">
        <f t="shared" si="3"/>
        <v>2.61</v>
      </c>
      <c r="J58" s="409">
        <f t="shared" si="0"/>
        <v>3.33</v>
      </c>
      <c r="K58" s="410">
        <f t="shared" si="1"/>
        <v>0</v>
      </c>
    </row>
    <row r="59" spans="1:11" ht="45" customHeight="1" hidden="1">
      <c r="A59" s="659"/>
      <c r="B59" s="419"/>
      <c r="C59" s="428" t="s">
        <v>451</v>
      </c>
      <c r="D59" s="414" t="s">
        <v>192</v>
      </c>
      <c r="E59" s="404">
        <v>101616</v>
      </c>
      <c r="F59" s="422" t="s">
        <v>234</v>
      </c>
      <c r="G59" s="406">
        <f>'MC-DRE'!K96</f>
        <v>0</v>
      </c>
      <c r="H59" s="407" t="s">
        <v>2</v>
      </c>
      <c r="I59" s="427">
        <f t="shared" si="3"/>
        <v>5.58</v>
      </c>
      <c r="J59" s="409">
        <f t="shared" si="0"/>
        <v>7.11</v>
      </c>
      <c r="K59" s="410">
        <f t="shared" si="1"/>
        <v>0</v>
      </c>
    </row>
    <row r="60" spans="1:11" ht="45" customHeight="1" hidden="1">
      <c r="A60" s="659"/>
      <c r="B60" s="419"/>
      <c r="C60" s="428" t="s">
        <v>452</v>
      </c>
      <c r="D60" s="414" t="s">
        <v>190</v>
      </c>
      <c r="E60" s="404">
        <v>260278</v>
      </c>
      <c r="F60" s="415" t="s">
        <v>347</v>
      </c>
      <c r="G60" s="406">
        <f>'MC-DRE'!L96</f>
        <v>0</v>
      </c>
      <c r="H60" s="406" t="s">
        <v>2</v>
      </c>
      <c r="I60" s="427">
        <f t="shared" si="3"/>
        <v>40.93</v>
      </c>
      <c r="J60" s="409">
        <f t="shared" si="0"/>
        <v>52.17</v>
      </c>
      <c r="K60" s="410">
        <f t="shared" si="1"/>
        <v>0</v>
      </c>
    </row>
    <row r="61" spans="1:11" ht="45" customHeight="1" hidden="1">
      <c r="A61" s="659"/>
      <c r="B61" s="419"/>
      <c r="C61" s="428" t="s">
        <v>453</v>
      </c>
      <c r="D61" s="414" t="s">
        <v>190</v>
      </c>
      <c r="E61" s="404">
        <v>30011</v>
      </c>
      <c r="F61" s="415" t="s">
        <v>512</v>
      </c>
      <c r="G61" s="406">
        <f>'MC-DRE'!N96</f>
        <v>0</v>
      </c>
      <c r="H61" s="407" t="s">
        <v>0</v>
      </c>
      <c r="I61" s="427">
        <f t="shared" si="3"/>
        <v>137.3</v>
      </c>
      <c r="J61" s="409">
        <f t="shared" si="0"/>
        <v>175</v>
      </c>
      <c r="K61" s="410">
        <f t="shared" si="1"/>
        <v>0</v>
      </c>
    </row>
    <row r="62" spans="1:11" ht="45" customHeight="1" hidden="1">
      <c r="A62" s="659"/>
      <c r="B62" s="419"/>
      <c r="C62" s="428" t="s">
        <v>454</v>
      </c>
      <c r="D62" s="418" t="s">
        <v>192</v>
      </c>
      <c r="E62" s="412" t="s">
        <v>349</v>
      </c>
      <c r="F62" s="415" t="s">
        <v>602</v>
      </c>
      <c r="G62" s="406">
        <f>'MC-DRE'!O96</f>
        <v>0</v>
      </c>
      <c r="H62" s="407" t="s">
        <v>0</v>
      </c>
      <c r="I62" s="427">
        <f t="shared" si="3"/>
        <v>18.13</v>
      </c>
      <c r="J62" s="409">
        <f t="shared" si="0"/>
        <v>23.11</v>
      </c>
      <c r="K62" s="410">
        <f t="shared" si="1"/>
        <v>0</v>
      </c>
    </row>
    <row r="63" spans="1:11" ht="45" customHeight="1" hidden="1">
      <c r="A63" s="659"/>
      <c r="B63" s="419"/>
      <c r="C63" s="428" t="s">
        <v>519</v>
      </c>
      <c r="D63" s="414" t="s">
        <v>192</v>
      </c>
      <c r="E63" s="404">
        <v>101579</v>
      </c>
      <c r="F63" s="415" t="s">
        <v>601</v>
      </c>
      <c r="G63" s="406">
        <f>'MC-DRE'!P96</f>
        <v>0</v>
      </c>
      <c r="H63" s="406" t="s">
        <v>2</v>
      </c>
      <c r="I63" s="427">
        <f t="shared" si="3"/>
        <v>39.94</v>
      </c>
      <c r="J63" s="409">
        <f t="shared" si="0"/>
        <v>50.91</v>
      </c>
      <c r="K63" s="410">
        <f t="shared" si="1"/>
        <v>0</v>
      </c>
    </row>
    <row r="64" spans="1:11" ht="45" customHeight="1" hidden="1">
      <c r="A64" s="659"/>
      <c r="B64" s="419"/>
      <c r="C64" s="428" t="s">
        <v>520</v>
      </c>
      <c r="D64" s="418" t="s">
        <v>192</v>
      </c>
      <c r="E64" s="794">
        <v>92826</v>
      </c>
      <c r="F64" s="413" t="s">
        <v>424</v>
      </c>
      <c r="G64" s="406">
        <f>'MC-DRE'!Q96</f>
        <v>0</v>
      </c>
      <c r="H64" s="407" t="s">
        <v>3</v>
      </c>
      <c r="I64" s="427">
        <v>121.33</v>
      </c>
      <c r="J64" s="409">
        <f t="shared" si="0"/>
        <v>154.65</v>
      </c>
      <c r="K64" s="410">
        <f t="shared" si="1"/>
        <v>0</v>
      </c>
    </row>
    <row r="65" spans="1:11" ht="45" customHeight="1" hidden="1">
      <c r="A65" s="659"/>
      <c r="B65" s="419"/>
      <c r="C65" s="423" t="s">
        <v>351</v>
      </c>
      <c r="D65" s="431" t="s">
        <v>190</v>
      </c>
      <c r="E65" s="432" t="s">
        <v>226</v>
      </c>
      <c r="F65" s="433" t="s">
        <v>668</v>
      </c>
      <c r="G65" s="406">
        <f>'MC-DRE'!E124</f>
        <v>0</v>
      </c>
      <c r="H65" s="411" t="s">
        <v>307</v>
      </c>
      <c r="I65" s="427">
        <v>610.6</v>
      </c>
      <c r="J65" s="409">
        <f t="shared" si="0"/>
        <v>778.27</v>
      </c>
      <c r="K65" s="410">
        <f t="shared" si="1"/>
        <v>0</v>
      </c>
    </row>
    <row r="66" spans="1:11" ht="45" customHeight="1" hidden="1">
      <c r="A66" s="659"/>
      <c r="B66" s="419"/>
      <c r="C66" s="428" t="s">
        <v>455</v>
      </c>
      <c r="D66" s="414" t="s">
        <v>190</v>
      </c>
      <c r="E66" s="412" t="s">
        <v>513</v>
      </c>
      <c r="F66" s="413" t="s">
        <v>514</v>
      </c>
      <c r="G66" s="406">
        <f>'MC-DRE'!H124</f>
        <v>0</v>
      </c>
      <c r="H66" s="407" t="s">
        <v>0</v>
      </c>
      <c r="I66" s="427">
        <f>I36</f>
        <v>11.54</v>
      </c>
      <c r="J66" s="409">
        <f t="shared" si="0"/>
        <v>14.71</v>
      </c>
      <c r="K66" s="410">
        <f t="shared" si="1"/>
        <v>0</v>
      </c>
    </row>
    <row r="67" spans="1:11" ht="45" customHeight="1" hidden="1">
      <c r="A67" s="659"/>
      <c r="B67" s="419"/>
      <c r="C67" s="428" t="s">
        <v>456</v>
      </c>
      <c r="D67" s="414" t="s">
        <v>192</v>
      </c>
      <c r="E67" s="404">
        <v>100980</v>
      </c>
      <c r="F67" s="415" t="s">
        <v>350</v>
      </c>
      <c r="G67" s="406">
        <f>'MC-DRE'!I124</f>
        <v>0</v>
      </c>
      <c r="H67" s="407" t="s">
        <v>0</v>
      </c>
      <c r="I67" s="427">
        <f aca="true" t="shared" si="4" ref="I67:I73">I37</f>
        <v>6.03</v>
      </c>
      <c r="J67" s="409">
        <f t="shared" si="0"/>
        <v>7.69</v>
      </c>
      <c r="K67" s="410">
        <f t="shared" si="1"/>
        <v>0</v>
      </c>
    </row>
    <row r="68" spans="1:11" s="430" customFormat="1" ht="45" customHeight="1" hidden="1">
      <c r="A68" s="660"/>
      <c r="B68" s="661"/>
      <c r="C68" s="428" t="s">
        <v>457</v>
      </c>
      <c r="D68" s="418" t="s">
        <v>192</v>
      </c>
      <c r="E68" s="412" t="s">
        <v>352</v>
      </c>
      <c r="F68" s="415" t="s">
        <v>353</v>
      </c>
      <c r="G68" s="406">
        <f>'MC-DRE'!J124</f>
        <v>0</v>
      </c>
      <c r="H68" s="407" t="s">
        <v>237</v>
      </c>
      <c r="I68" s="427">
        <f t="shared" si="4"/>
        <v>2.61</v>
      </c>
      <c r="J68" s="409">
        <f t="shared" si="0"/>
        <v>3.33</v>
      </c>
      <c r="K68" s="410">
        <f t="shared" si="1"/>
        <v>0</v>
      </c>
    </row>
    <row r="69" spans="1:11" ht="45" customHeight="1" hidden="1">
      <c r="A69" s="659"/>
      <c r="B69" s="419"/>
      <c r="C69" s="428" t="s">
        <v>458</v>
      </c>
      <c r="D69" s="414" t="s">
        <v>192</v>
      </c>
      <c r="E69" s="404">
        <v>101616</v>
      </c>
      <c r="F69" s="422" t="s">
        <v>234</v>
      </c>
      <c r="G69" s="406">
        <f>'MC-DRE'!K124</f>
        <v>0</v>
      </c>
      <c r="H69" s="407" t="s">
        <v>2</v>
      </c>
      <c r="I69" s="427">
        <f t="shared" si="4"/>
        <v>5.58</v>
      </c>
      <c r="J69" s="409">
        <f t="shared" si="0"/>
        <v>7.11</v>
      </c>
      <c r="K69" s="410">
        <f t="shared" si="1"/>
        <v>0</v>
      </c>
    </row>
    <row r="70" spans="1:11" ht="45" customHeight="1" hidden="1">
      <c r="A70" s="659"/>
      <c r="B70" s="419"/>
      <c r="C70" s="428" t="s">
        <v>459</v>
      </c>
      <c r="D70" s="414" t="s">
        <v>190</v>
      </c>
      <c r="E70" s="404">
        <v>260278</v>
      </c>
      <c r="F70" s="415" t="s">
        <v>347</v>
      </c>
      <c r="G70" s="406">
        <f>'MC-DRE'!L124</f>
        <v>0</v>
      </c>
      <c r="H70" s="406" t="s">
        <v>2</v>
      </c>
      <c r="I70" s="427">
        <f t="shared" si="4"/>
        <v>40.93</v>
      </c>
      <c r="J70" s="409">
        <f t="shared" si="0"/>
        <v>52.17</v>
      </c>
      <c r="K70" s="410">
        <f t="shared" si="1"/>
        <v>0</v>
      </c>
    </row>
    <row r="71" spans="1:11" ht="45" customHeight="1" hidden="1">
      <c r="A71" s="659"/>
      <c r="B71" s="419"/>
      <c r="C71" s="428" t="s">
        <v>460</v>
      </c>
      <c r="D71" s="414" t="s">
        <v>190</v>
      </c>
      <c r="E71" s="404">
        <v>30011</v>
      </c>
      <c r="F71" s="415" t="s">
        <v>512</v>
      </c>
      <c r="G71" s="406">
        <f>'MC-DRE'!N124</f>
        <v>0</v>
      </c>
      <c r="H71" s="407" t="s">
        <v>0</v>
      </c>
      <c r="I71" s="427">
        <f t="shared" si="4"/>
        <v>137.3</v>
      </c>
      <c r="J71" s="409">
        <f t="shared" si="0"/>
        <v>175</v>
      </c>
      <c r="K71" s="410">
        <f t="shared" si="1"/>
        <v>0</v>
      </c>
    </row>
    <row r="72" spans="1:11" ht="45" customHeight="1" hidden="1">
      <c r="A72" s="659"/>
      <c r="B72" s="419"/>
      <c r="C72" s="428" t="s">
        <v>461</v>
      </c>
      <c r="D72" s="418" t="s">
        <v>192</v>
      </c>
      <c r="E72" s="412" t="s">
        <v>349</v>
      </c>
      <c r="F72" s="415" t="s">
        <v>602</v>
      </c>
      <c r="G72" s="406">
        <f>'MC-DRE'!O124</f>
        <v>0</v>
      </c>
      <c r="H72" s="407" t="s">
        <v>0</v>
      </c>
      <c r="I72" s="427">
        <f t="shared" si="4"/>
        <v>18.13</v>
      </c>
      <c r="J72" s="409">
        <f t="shared" si="0"/>
        <v>23.11</v>
      </c>
      <c r="K72" s="410">
        <f t="shared" si="1"/>
        <v>0</v>
      </c>
    </row>
    <row r="73" spans="1:11" ht="45" customHeight="1" hidden="1">
      <c r="A73" s="659"/>
      <c r="B73" s="419"/>
      <c r="C73" s="428" t="s">
        <v>521</v>
      </c>
      <c r="D73" s="414" t="s">
        <v>192</v>
      </c>
      <c r="E73" s="404">
        <v>101579</v>
      </c>
      <c r="F73" s="415" t="s">
        <v>601</v>
      </c>
      <c r="G73" s="406">
        <f>'MC-DRE'!P124</f>
        <v>0</v>
      </c>
      <c r="H73" s="406" t="s">
        <v>2</v>
      </c>
      <c r="I73" s="427">
        <f t="shared" si="4"/>
        <v>39.94</v>
      </c>
      <c r="J73" s="409">
        <f t="shared" si="0"/>
        <v>50.91</v>
      </c>
      <c r="K73" s="410">
        <f t="shared" si="1"/>
        <v>0</v>
      </c>
    </row>
    <row r="74" spans="1:11" ht="45" customHeight="1" hidden="1">
      <c r="A74" s="659"/>
      <c r="B74" s="419"/>
      <c r="C74" s="428" t="s">
        <v>522</v>
      </c>
      <c r="D74" s="418" t="s">
        <v>192</v>
      </c>
      <c r="E74" s="411">
        <v>92828</v>
      </c>
      <c r="F74" s="413" t="s">
        <v>425</v>
      </c>
      <c r="G74" s="406">
        <f>'MC-DRE'!Q124</f>
        <v>0</v>
      </c>
      <c r="H74" s="407" t="s">
        <v>3</v>
      </c>
      <c r="I74" s="427">
        <v>160.4</v>
      </c>
      <c r="J74" s="409">
        <f t="shared" si="0"/>
        <v>204.45</v>
      </c>
      <c r="K74" s="410">
        <f t="shared" si="1"/>
        <v>0</v>
      </c>
    </row>
    <row r="75" spans="1:11" ht="45" customHeight="1" hidden="1">
      <c r="A75" s="659"/>
      <c r="B75" s="419"/>
      <c r="C75" s="423" t="s">
        <v>462</v>
      </c>
      <c r="D75" s="431" t="s">
        <v>192</v>
      </c>
      <c r="E75" s="795" t="s">
        <v>432</v>
      </c>
      <c r="F75" s="433" t="s">
        <v>669</v>
      </c>
      <c r="G75" s="406">
        <f>'MC-DRE'!E152</f>
        <v>0</v>
      </c>
      <c r="H75" s="411" t="s">
        <v>307</v>
      </c>
      <c r="I75" s="427">
        <v>994.7</v>
      </c>
      <c r="J75" s="409">
        <f t="shared" si="0"/>
        <v>1267.84</v>
      </c>
      <c r="K75" s="410">
        <f t="shared" si="1"/>
        <v>0</v>
      </c>
    </row>
    <row r="76" spans="1:11" ht="45" customHeight="1" hidden="1">
      <c r="A76" s="659"/>
      <c r="B76" s="419"/>
      <c r="C76" s="428" t="s">
        <v>463</v>
      </c>
      <c r="D76" s="414" t="s">
        <v>190</v>
      </c>
      <c r="E76" s="412" t="s">
        <v>513</v>
      </c>
      <c r="F76" s="413" t="s">
        <v>514</v>
      </c>
      <c r="G76" s="406">
        <f>'MC-DRE'!H152</f>
        <v>0</v>
      </c>
      <c r="H76" s="407" t="s">
        <v>0</v>
      </c>
      <c r="I76" s="427">
        <f>I36</f>
        <v>11.54</v>
      </c>
      <c r="J76" s="409">
        <f t="shared" si="0"/>
        <v>14.71</v>
      </c>
      <c r="K76" s="410">
        <f t="shared" si="1"/>
        <v>0</v>
      </c>
    </row>
    <row r="77" spans="1:11" ht="45" customHeight="1" hidden="1">
      <c r="A77" s="659"/>
      <c r="B77" s="419"/>
      <c r="C77" s="428" t="s">
        <v>464</v>
      </c>
      <c r="D77" s="414" t="s">
        <v>192</v>
      </c>
      <c r="E77" s="404">
        <v>100980</v>
      </c>
      <c r="F77" s="415" t="s">
        <v>350</v>
      </c>
      <c r="G77" s="406">
        <f>'MC-DRE'!I152</f>
        <v>0</v>
      </c>
      <c r="H77" s="407" t="s">
        <v>0</v>
      </c>
      <c r="I77" s="427">
        <f aca="true" t="shared" si="5" ref="I77:I83">I37</f>
        <v>6.03</v>
      </c>
      <c r="J77" s="409">
        <f t="shared" si="0"/>
        <v>7.69</v>
      </c>
      <c r="K77" s="410">
        <f t="shared" si="1"/>
        <v>0</v>
      </c>
    </row>
    <row r="78" spans="1:11" s="430" customFormat="1" ht="45" customHeight="1" hidden="1">
      <c r="A78" s="660"/>
      <c r="B78" s="661"/>
      <c r="C78" s="428" t="s">
        <v>465</v>
      </c>
      <c r="D78" s="418" t="s">
        <v>192</v>
      </c>
      <c r="E78" s="412" t="s">
        <v>352</v>
      </c>
      <c r="F78" s="415" t="s">
        <v>353</v>
      </c>
      <c r="G78" s="406">
        <f>'MC-DRE'!J152</f>
        <v>0</v>
      </c>
      <c r="H78" s="407" t="s">
        <v>237</v>
      </c>
      <c r="I78" s="427">
        <f t="shared" si="5"/>
        <v>2.61</v>
      </c>
      <c r="J78" s="409">
        <f t="shared" si="0"/>
        <v>3.33</v>
      </c>
      <c r="K78" s="410">
        <f t="shared" si="1"/>
        <v>0</v>
      </c>
    </row>
    <row r="79" spans="1:11" ht="45" customHeight="1" hidden="1">
      <c r="A79" s="659"/>
      <c r="B79" s="419"/>
      <c r="C79" s="428" t="s">
        <v>466</v>
      </c>
      <c r="D79" s="414" t="s">
        <v>192</v>
      </c>
      <c r="E79" s="404">
        <v>101616</v>
      </c>
      <c r="F79" s="422" t="s">
        <v>234</v>
      </c>
      <c r="G79" s="406">
        <f>'MC-DRE'!K152</f>
        <v>0</v>
      </c>
      <c r="H79" s="407" t="s">
        <v>2</v>
      </c>
      <c r="I79" s="427">
        <f t="shared" si="5"/>
        <v>5.58</v>
      </c>
      <c r="J79" s="409">
        <f t="shared" si="0"/>
        <v>7.11</v>
      </c>
      <c r="K79" s="410">
        <f t="shared" si="1"/>
        <v>0</v>
      </c>
    </row>
    <row r="80" spans="1:11" ht="45" customHeight="1" hidden="1">
      <c r="A80" s="659"/>
      <c r="B80" s="419"/>
      <c r="C80" s="428" t="s">
        <v>467</v>
      </c>
      <c r="D80" s="414" t="s">
        <v>190</v>
      </c>
      <c r="E80" s="404">
        <v>260278</v>
      </c>
      <c r="F80" s="415" t="s">
        <v>347</v>
      </c>
      <c r="G80" s="406">
        <f>'MC-DRE'!L152</f>
        <v>0</v>
      </c>
      <c r="H80" s="406" t="s">
        <v>2</v>
      </c>
      <c r="I80" s="427">
        <f t="shared" si="5"/>
        <v>40.93</v>
      </c>
      <c r="J80" s="409">
        <f t="shared" si="0"/>
        <v>52.17</v>
      </c>
      <c r="K80" s="410">
        <f t="shared" si="1"/>
        <v>0</v>
      </c>
    </row>
    <row r="81" spans="1:11" ht="45" customHeight="1" hidden="1">
      <c r="A81" s="659"/>
      <c r="B81" s="419"/>
      <c r="C81" s="428" t="s">
        <v>468</v>
      </c>
      <c r="D81" s="414" t="s">
        <v>190</v>
      </c>
      <c r="E81" s="404">
        <v>30011</v>
      </c>
      <c r="F81" s="415" t="s">
        <v>512</v>
      </c>
      <c r="G81" s="406">
        <f>'MC-DRE'!N152</f>
        <v>0</v>
      </c>
      <c r="H81" s="407" t="s">
        <v>0</v>
      </c>
      <c r="I81" s="427">
        <f t="shared" si="5"/>
        <v>137.3</v>
      </c>
      <c r="J81" s="409">
        <f t="shared" si="0"/>
        <v>175</v>
      </c>
      <c r="K81" s="410">
        <f t="shared" si="1"/>
        <v>0</v>
      </c>
    </row>
    <row r="82" spans="1:11" ht="45" customHeight="1" hidden="1">
      <c r="A82" s="659"/>
      <c r="B82" s="419"/>
      <c r="C82" s="428" t="s">
        <v>469</v>
      </c>
      <c r="D82" s="418" t="s">
        <v>192</v>
      </c>
      <c r="E82" s="412" t="s">
        <v>349</v>
      </c>
      <c r="F82" s="415" t="s">
        <v>602</v>
      </c>
      <c r="G82" s="406">
        <f>'MC-DRE'!O152</f>
        <v>0</v>
      </c>
      <c r="H82" s="407" t="s">
        <v>0</v>
      </c>
      <c r="I82" s="427">
        <f t="shared" si="5"/>
        <v>18.13</v>
      </c>
      <c r="J82" s="409">
        <f t="shared" si="0"/>
        <v>23.11</v>
      </c>
      <c r="K82" s="410">
        <f t="shared" si="1"/>
        <v>0</v>
      </c>
    </row>
    <row r="83" spans="1:11" ht="45" customHeight="1" hidden="1">
      <c r="A83" s="659"/>
      <c r="B83" s="419"/>
      <c r="C83" s="428" t="s">
        <v>523</v>
      </c>
      <c r="D83" s="414" t="s">
        <v>192</v>
      </c>
      <c r="E83" s="404">
        <v>101579</v>
      </c>
      <c r="F83" s="415" t="s">
        <v>601</v>
      </c>
      <c r="G83" s="406">
        <f>'MC-DRE'!P152</f>
        <v>0</v>
      </c>
      <c r="H83" s="406" t="s">
        <v>2</v>
      </c>
      <c r="I83" s="427">
        <f t="shared" si="5"/>
        <v>39.94</v>
      </c>
      <c r="J83" s="409">
        <f t="shared" si="0"/>
        <v>50.91</v>
      </c>
      <c r="K83" s="410">
        <f t="shared" si="1"/>
        <v>0</v>
      </c>
    </row>
    <row r="84" spans="1:11" ht="45" customHeight="1" hidden="1">
      <c r="A84" s="659"/>
      <c r="B84" s="419"/>
      <c r="C84" s="428" t="s">
        <v>524</v>
      </c>
      <c r="D84" s="418" t="s">
        <v>192</v>
      </c>
      <c r="E84" s="411">
        <v>92830</v>
      </c>
      <c r="F84" s="413" t="s">
        <v>419</v>
      </c>
      <c r="G84" s="406">
        <f>'MC-DRE'!Q152</f>
        <v>0</v>
      </c>
      <c r="H84" s="407" t="s">
        <v>3</v>
      </c>
      <c r="I84" s="427">
        <v>198.96</v>
      </c>
      <c r="J84" s="409">
        <f t="shared" si="0"/>
        <v>253.59</v>
      </c>
      <c r="K84" s="410">
        <f t="shared" si="1"/>
        <v>0</v>
      </c>
    </row>
    <row r="85" spans="1:11" ht="45" customHeight="1" hidden="1">
      <c r="A85" s="659"/>
      <c r="B85" s="419"/>
      <c r="C85" s="423" t="s">
        <v>470</v>
      </c>
      <c r="D85" s="431" t="s">
        <v>192</v>
      </c>
      <c r="E85" s="432" t="s">
        <v>433</v>
      </c>
      <c r="F85" s="433" t="s">
        <v>670</v>
      </c>
      <c r="G85" s="406">
        <f>'MC-DRE'!E180</f>
        <v>0</v>
      </c>
      <c r="H85" s="411" t="s">
        <v>307</v>
      </c>
      <c r="I85" s="427">
        <v>1510.63</v>
      </c>
      <c r="J85" s="409">
        <f t="shared" si="0"/>
        <v>1925.45</v>
      </c>
      <c r="K85" s="410">
        <f t="shared" si="1"/>
        <v>0</v>
      </c>
    </row>
    <row r="86" spans="1:11" ht="45" customHeight="1" hidden="1">
      <c r="A86" s="659"/>
      <c r="B86" s="419"/>
      <c r="C86" s="428" t="s">
        <v>471</v>
      </c>
      <c r="D86" s="414" t="s">
        <v>190</v>
      </c>
      <c r="E86" s="412" t="s">
        <v>513</v>
      </c>
      <c r="F86" s="413" t="s">
        <v>514</v>
      </c>
      <c r="G86" s="406">
        <f>'MC-DRE'!H180</f>
        <v>0</v>
      </c>
      <c r="H86" s="407" t="s">
        <v>0</v>
      </c>
      <c r="I86" s="427">
        <f>I36</f>
        <v>11.54</v>
      </c>
      <c r="J86" s="409">
        <f t="shared" si="0"/>
        <v>14.71</v>
      </c>
      <c r="K86" s="410">
        <f t="shared" si="1"/>
        <v>0</v>
      </c>
    </row>
    <row r="87" spans="1:11" ht="45" customHeight="1" hidden="1">
      <c r="A87" s="659"/>
      <c r="B87" s="419"/>
      <c r="C87" s="428" t="s">
        <v>472</v>
      </c>
      <c r="D87" s="414" t="s">
        <v>192</v>
      </c>
      <c r="E87" s="404">
        <v>100980</v>
      </c>
      <c r="F87" s="415" t="s">
        <v>350</v>
      </c>
      <c r="G87" s="406">
        <f>'MC-DRE'!I180</f>
        <v>0</v>
      </c>
      <c r="H87" s="407" t="s">
        <v>0</v>
      </c>
      <c r="I87" s="427">
        <f aca="true" t="shared" si="6" ref="I87:I93">I37</f>
        <v>6.03</v>
      </c>
      <c r="J87" s="409">
        <f t="shared" si="0"/>
        <v>7.69</v>
      </c>
      <c r="K87" s="410">
        <f t="shared" si="1"/>
        <v>0</v>
      </c>
    </row>
    <row r="88" spans="1:11" s="430" customFormat="1" ht="45" customHeight="1" hidden="1">
      <c r="A88" s="660"/>
      <c r="B88" s="661"/>
      <c r="C88" s="428" t="s">
        <v>473</v>
      </c>
      <c r="D88" s="418" t="s">
        <v>192</v>
      </c>
      <c r="E88" s="412" t="s">
        <v>352</v>
      </c>
      <c r="F88" s="415" t="s">
        <v>353</v>
      </c>
      <c r="G88" s="406">
        <f>'MC-DRE'!J180</f>
        <v>0</v>
      </c>
      <c r="H88" s="407" t="s">
        <v>237</v>
      </c>
      <c r="I88" s="427">
        <f t="shared" si="6"/>
        <v>2.61</v>
      </c>
      <c r="J88" s="409">
        <f t="shared" si="0"/>
        <v>3.33</v>
      </c>
      <c r="K88" s="410">
        <f t="shared" si="1"/>
        <v>0</v>
      </c>
    </row>
    <row r="89" spans="1:11" ht="45" customHeight="1" hidden="1">
      <c r="A89" s="659"/>
      <c r="B89" s="419"/>
      <c r="C89" s="428" t="s">
        <v>474</v>
      </c>
      <c r="D89" s="414" t="s">
        <v>192</v>
      </c>
      <c r="E89" s="404">
        <v>101616</v>
      </c>
      <c r="F89" s="422" t="s">
        <v>234</v>
      </c>
      <c r="G89" s="406">
        <f>'MC-DRE'!K180</f>
        <v>0</v>
      </c>
      <c r="H89" s="407" t="s">
        <v>2</v>
      </c>
      <c r="I89" s="427">
        <f t="shared" si="6"/>
        <v>5.58</v>
      </c>
      <c r="J89" s="409">
        <f t="shared" si="0"/>
        <v>7.11</v>
      </c>
      <c r="K89" s="410">
        <f t="shared" si="1"/>
        <v>0</v>
      </c>
    </row>
    <row r="90" spans="1:11" ht="45" customHeight="1" hidden="1">
      <c r="A90" s="659"/>
      <c r="B90" s="419"/>
      <c r="C90" s="428" t="s">
        <v>475</v>
      </c>
      <c r="D90" s="414" t="s">
        <v>190</v>
      </c>
      <c r="E90" s="404">
        <v>260278</v>
      </c>
      <c r="F90" s="415" t="s">
        <v>347</v>
      </c>
      <c r="G90" s="406">
        <f>'MC-DRE'!L180</f>
        <v>0</v>
      </c>
      <c r="H90" s="406" t="s">
        <v>2</v>
      </c>
      <c r="I90" s="427">
        <f t="shared" si="6"/>
        <v>40.93</v>
      </c>
      <c r="J90" s="409">
        <f t="shared" si="0"/>
        <v>52.17</v>
      </c>
      <c r="K90" s="410">
        <f t="shared" si="1"/>
        <v>0</v>
      </c>
    </row>
    <row r="91" spans="1:11" ht="45" customHeight="1" hidden="1">
      <c r="A91" s="659"/>
      <c r="B91" s="419"/>
      <c r="C91" s="428" t="s">
        <v>476</v>
      </c>
      <c r="D91" s="414" t="s">
        <v>190</v>
      </c>
      <c r="E91" s="404">
        <v>30011</v>
      </c>
      <c r="F91" s="415" t="s">
        <v>512</v>
      </c>
      <c r="G91" s="406">
        <f>'MC-DRE'!N180</f>
        <v>0</v>
      </c>
      <c r="H91" s="407" t="s">
        <v>0</v>
      </c>
      <c r="I91" s="427">
        <f t="shared" si="6"/>
        <v>137.3</v>
      </c>
      <c r="J91" s="409">
        <f t="shared" si="0"/>
        <v>175</v>
      </c>
      <c r="K91" s="410">
        <f t="shared" si="1"/>
        <v>0</v>
      </c>
    </row>
    <row r="92" spans="1:11" ht="45" customHeight="1" hidden="1">
      <c r="A92" s="659"/>
      <c r="B92" s="419"/>
      <c r="C92" s="428" t="s">
        <v>477</v>
      </c>
      <c r="D92" s="418" t="s">
        <v>192</v>
      </c>
      <c r="E92" s="412" t="s">
        <v>349</v>
      </c>
      <c r="F92" s="415" t="s">
        <v>602</v>
      </c>
      <c r="G92" s="406">
        <f>'MC-DRE'!O180</f>
        <v>0</v>
      </c>
      <c r="H92" s="407" t="s">
        <v>0</v>
      </c>
      <c r="I92" s="427">
        <f t="shared" si="6"/>
        <v>18.13</v>
      </c>
      <c r="J92" s="409">
        <f t="shared" si="0"/>
        <v>23.11</v>
      </c>
      <c r="K92" s="410">
        <f t="shared" si="1"/>
        <v>0</v>
      </c>
    </row>
    <row r="93" spans="1:11" ht="45" customHeight="1" hidden="1">
      <c r="A93" s="659"/>
      <c r="B93" s="419"/>
      <c r="C93" s="428" t="s">
        <v>525</v>
      </c>
      <c r="D93" s="414" t="s">
        <v>192</v>
      </c>
      <c r="E93" s="404">
        <v>101579</v>
      </c>
      <c r="F93" s="415" t="s">
        <v>601</v>
      </c>
      <c r="G93" s="406">
        <f>'MC-DRE'!P180</f>
        <v>0</v>
      </c>
      <c r="H93" s="406" t="s">
        <v>2</v>
      </c>
      <c r="I93" s="427">
        <f t="shared" si="6"/>
        <v>39.94</v>
      </c>
      <c r="J93" s="409">
        <f t="shared" si="0"/>
        <v>50.91</v>
      </c>
      <c r="K93" s="410">
        <f t="shared" si="1"/>
        <v>0</v>
      </c>
    </row>
    <row r="94" spans="1:11" ht="45" customHeight="1" hidden="1">
      <c r="A94" s="659"/>
      <c r="B94" s="419"/>
      <c r="C94" s="428" t="s">
        <v>526</v>
      </c>
      <c r="D94" s="418" t="s">
        <v>192</v>
      </c>
      <c r="E94" s="411">
        <v>92832</v>
      </c>
      <c r="F94" s="413" t="s">
        <v>420</v>
      </c>
      <c r="G94" s="406">
        <f>'MC-DRE'!Q180</f>
        <v>0</v>
      </c>
      <c r="H94" s="407" t="s">
        <v>3</v>
      </c>
      <c r="I94" s="427">
        <v>264.51</v>
      </c>
      <c r="J94" s="409">
        <f t="shared" si="0"/>
        <v>337.14</v>
      </c>
      <c r="K94" s="410">
        <f t="shared" si="1"/>
        <v>0</v>
      </c>
    </row>
    <row r="95" spans="1:11" ht="45" customHeight="1">
      <c r="A95" s="659"/>
      <c r="B95" s="419"/>
      <c r="C95" s="423" t="s">
        <v>36</v>
      </c>
      <c r="D95" s="431"/>
      <c r="E95" s="432"/>
      <c r="F95" s="433" t="s">
        <v>235</v>
      </c>
      <c r="G95" s="406"/>
      <c r="H95" s="407"/>
      <c r="I95" s="427"/>
      <c r="J95" s="409"/>
      <c r="K95" s="410"/>
    </row>
    <row r="96" spans="1:11" ht="45" customHeight="1">
      <c r="A96" s="659"/>
      <c r="B96" s="419"/>
      <c r="C96" s="428" t="s">
        <v>448</v>
      </c>
      <c r="D96" s="414" t="s">
        <v>192</v>
      </c>
      <c r="E96" s="412" t="s">
        <v>221</v>
      </c>
      <c r="F96" s="413" t="s">
        <v>222</v>
      </c>
      <c r="G96" s="406">
        <f>'MC-DRE'!C204</f>
        <v>27</v>
      </c>
      <c r="H96" s="411" t="s">
        <v>307</v>
      </c>
      <c r="I96" s="427">
        <v>1580.69</v>
      </c>
      <c r="J96" s="409">
        <f t="shared" si="0"/>
        <v>2014.75</v>
      </c>
      <c r="K96" s="410">
        <f t="shared" si="1"/>
        <v>54398.25</v>
      </c>
    </row>
    <row r="97" spans="1:11" ht="45" customHeight="1">
      <c r="A97" s="659"/>
      <c r="B97" s="419"/>
      <c r="C97" s="423" t="s">
        <v>351</v>
      </c>
      <c r="D97" s="431"/>
      <c r="E97" s="432"/>
      <c r="F97" s="433" t="s">
        <v>480</v>
      </c>
      <c r="G97" s="406"/>
      <c r="H97" s="407"/>
      <c r="I97" s="427"/>
      <c r="J97" s="409"/>
      <c r="K97" s="410"/>
    </row>
    <row r="98" spans="1:12" ht="45" customHeight="1">
      <c r="A98" s="659"/>
      <c r="B98" s="419"/>
      <c r="C98" s="428" t="s">
        <v>455</v>
      </c>
      <c r="D98" s="414" t="s">
        <v>481</v>
      </c>
      <c r="E98" s="412">
        <v>11135</v>
      </c>
      <c r="F98" s="413" t="s">
        <v>482</v>
      </c>
      <c r="G98" s="406">
        <f>'MC-DRE'!J204</f>
        <v>27</v>
      </c>
      <c r="H98" s="411" t="s">
        <v>307</v>
      </c>
      <c r="I98" s="427">
        <v>202.83</v>
      </c>
      <c r="J98" s="409">
        <f t="shared" si="0"/>
        <v>258.53</v>
      </c>
      <c r="K98" s="410">
        <f t="shared" si="1"/>
        <v>6980.31</v>
      </c>
      <c r="L98" s="399" t="s">
        <v>516</v>
      </c>
    </row>
    <row r="99" spans="1:11" ht="45" customHeight="1">
      <c r="A99" s="659"/>
      <c r="B99" s="419"/>
      <c r="C99" s="423" t="s">
        <v>462</v>
      </c>
      <c r="D99" s="431"/>
      <c r="E99" s="432"/>
      <c r="F99" s="433" t="s">
        <v>236</v>
      </c>
      <c r="G99" s="406"/>
      <c r="H99" s="407"/>
      <c r="I99" s="427"/>
      <c r="J99" s="409"/>
      <c r="K99" s="410"/>
    </row>
    <row r="100" spans="1:11" ht="45" customHeight="1">
      <c r="A100" s="659"/>
      <c r="B100" s="419"/>
      <c r="C100" s="428" t="s">
        <v>463</v>
      </c>
      <c r="D100" s="414" t="s">
        <v>190</v>
      </c>
      <c r="E100" s="412" t="s">
        <v>223</v>
      </c>
      <c r="F100" s="413" t="s">
        <v>224</v>
      </c>
      <c r="G100" s="406">
        <f>'MC-DRE'!C228</f>
        <v>14</v>
      </c>
      <c r="H100" s="411" t="s">
        <v>307</v>
      </c>
      <c r="I100" s="427">
        <v>5932.69</v>
      </c>
      <c r="J100" s="409">
        <f t="shared" si="0"/>
        <v>7561.81</v>
      </c>
      <c r="K100" s="410">
        <f t="shared" si="1"/>
        <v>105865.34</v>
      </c>
    </row>
    <row r="101" spans="1:11" ht="45" customHeight="1">
      <c r="A101" s="659"/>
      <c r="B101" s="419"/>
      <c r="C101" s="423" t="s">
        <v>470</v>
      </c>
      <c r="D101" s="431"/>
      <c r="E101" s="432"/>
      <c r="F101" s="433" t="s">
        <v>483</v>
      </c>
      <c r="G101" s="406"/>
      <c r="H101" s="407"/>
      <c r="I101" s="427"/>
      <c r="J101" s="409"/>
      <c r="K101" s="410"/>
    </row>
    <row r="102" spans="1:11" ht="45" customHeight="1">
      <c r="A102" s="659"/>
      <c r="B102" s="419"/>
      <c r="C102" s="428" t="s">
        <v>471</v>
      </c>
      <c r="D102" s="414" t="s">
        <v>192</v>
      </c>
      <c r="E102" s="412" t="s">
        <v>484</v>
      </c>
      <c r="F102" s="413" t="s">
        <v>485</v>
      </c>
      <c r="G102" s="406">
        <f>'MC-DRE'!J228</f>
        <v>14</v>
      </c>
      <c r="H102" s="411" t="s">
        <v>307</v>
      </c>
      <c r="I102" s="427">
        <v>101.33</v>
      </c>
      <c r="J102" s="409">
        <f t="shared" si="0"/>
        <v>129.16</v>
      </c>
      <c r="K102" s="410">
        <f t="shared" si="1"/>
        <v>1808.24</v>
      </c>
    </row>
    <row r="103" spans="1:11" ht="45" customHeight="1">
      <c r="A103" s="659"/>
      <c r="B103" s="419"/>
      <c r="C103" s="423" t="s">
        <v>478</v>
      </c>
      <c r="D103" s="431"/>
      <c r="E103" s="432"/>
      <c r="F103" s="433" t="s">
        <v>536</v>
      </c>
      <c r="G103" s="406"/>
      <c r="H103" s="407"/>
      <c r="I103" s="427"/>
      <c r="J103" s="409"/>
      <c r="K103" s="410"/>
    </row>
    <row r="104" spans="1:11" ht="45" customHeight="1">
      <c r="A104" s="659"/>
      <c r="B104" s="419"/>
      <c r="C104" s="428" t="s">
        <v>479</v>
      </c>
      <c r="D104" s="414" t="s">
        <v>190</v>
      </c>
      <c r="E104" s="412" t="s">
        <v>223</v>
      </c>
      <c r="F104" s="413" t="s">
        <v>537</v>
      </c>
      <c r="G104" s="406">
        <f>'MC-DRE'!N228</f>
        <v>1</v>
      </c>
      <c r="H104" s="411" t="s">
        <v>307</v>
      </c>
      <c r="I104" s="427">
        <v>5999.88</v>
      </c>
      <c r="J104" s="409">
        <f t="shared" si="0"/>
        <v>7647.45</v>
      </c>
      <c r="K104" s="410">
        <f t="shared" si="1"/>
        <v>7647.45</v>
      </c>
    </row>
    <row r="105" spans="1:12" ht="27.75" customHeight="1">
      <c r="A105" s="659"/>
      <c r="B105" s="419"/>
      <c r="C105" s="823" t="s">
        <v>13</v>
      </c>
      <c r="D105" s="824"/>
      <c r="E105" s="824"/>
      <c r="F105" s="824"/>
      <c r="G105" s="824"/>
      <c r="H105" s="824"/>
      <c r="I105" s="824"/>
      <c r="J105" s="825"/>
      <c r="K105" s="434">
        <f>SUM(K35:K104)</f>
        <v>787875.49</v>
      </c>
      <c r="L105" s="435"/>
    </row>
    <row r="106" spans="1:11" ht="27.75" customHeight="1">
      <c r="A106" s="659"/>
      <c r="B106" s="419"/>
      <c r="C106" s="436">
        <v>5</v>
      </c>
      <c r="D106" s="450"/>
      <c r="E106" s="450"/>
      <c r="F106" s="450" t="s">
        <v>16</v>
      </c>
      <c r="G106" s="849"/>
      <c r="H106" s="849"/>
      <c r="I106" s="849"/>
      <c r="J106" s="849"/>
      <c r="K106" s="850"/>
    </row>
    <row r="107" spans="1:11" s="437" customFormat="1" ht="45" customHeight="1">
      <c r="A107" s="662"/>
      <c r="B107" s="663"/>
      <c r="C107" s="438" t="s">
        <v>14</v>
      </c>
      <c r="D107" s="414" t="s">
        <v>190</v>
      </c>
      <c r="E107" s="439">
        <v>10008</v>
      </c>
      <c r="F107" s="440" t="s">
        <v>517</v>
      </c>
      <c r="G107" s="441">
        <f>'MC-TER'!E40</f>
        <v>1785</v>
      </c>
      <c r="H107" s="442" t="s">
        <v>2</v>
      </c>
      <c r="I107" s="443">
        <v>4.79</v>
      </c>
      <c r="J107" s="409">
        <f>I107*(1+$J$16)</f>
        <v>6.11</v>
      </c>
      <c r="K107" s="410">
        <f>G107*J107</f>
        <v>10906.35</v>
      </c>
    </row>
    <row r="108" spans="1:12" ht="76.5">
      <c r="A108" s="659"/>
      <c r="B108" s="419"/>
      <c r="C108" s="438" t="s">
        <v>149</v>
      </c>
      <c r="D108" s="414" t="s">
        <v>192</v>
      </c>
      <c r="E108" s="414">
        <v>101125</v>
      </c>
      <c r="F108" s="415" t="s">
        <v>736</v>
      </c>
      <c r="G108" s="416">
        <f>'MC-TER'!G40</f>
        <v>714</v>
      </c>
      <c r="H108" s="406" t="s">
        <v>0</v>
      </c>
      <c r="I108" s="444">
        <v>13.43</v>
      </c>
      <c r="J108" s="409">
        <f aca="true" t="shared" si="7" ref="J108:J114">I108*(1+$J$16)</f>
        <v>17.12</v>
      </c>
      <c r="K108" s="410">
        <f aca="true" t="shared" si="8" ref="K108:K114">G108*J108</f>
        <v>12223.68</v>
      </c>
      <c r="L108" s="435"/>
    </row>
    <row r="109" spans="1:11" ht="45" customHeight="1">
      <c r="A109" s="659"/>
      <c r="B109" s="419"/>
      <c r="C109" s="438" t="s">
        <v>150</v>
      </c>
      <c r="D109" s="414" t="s">
        <v>192</v>
      </c>
      <c r="E109" s="404">
        <v>97914</v>
      </c>
      <c r="F109" s="415" t="s">
        <v>737</v>
      </c>
      <c r="G109" s="406">
        <f>'MC-TER'!H40</f>
        <v>9096.36</v>
      </c>
      <c r="H109" s="407" t="s">
        <v>237</v>
      </c>
      <c r="I109" s="429">
        <v>2.65</v>
      </c>
      <c r="J109" s="409">
        <f t="shared" si="7"/>
        <v>3.38</v>
      </c>
      <c r="K109" s="410">
        <f t="shared" si="8"/>
        <v>30745.7</v>
      </c>
    </row>
    <row r="110" spans="1:11" ht="76.5" customHeight="1">
      <c r="A110" s="659"/>
      <c r="B110" s="419"/>
      <c r="C110" s="438" t="s">
        <v>493</v>
      </c>
      <c r="D110" s="414" t="s">
        <v>192</v>
      </c>
      <c r="E110" s="404">
        <v>101125</v>
      </c>
      <c r="F110" s="415" t="s">
        <v>797</v>
      </c>
      <c r="G110" s="406">
        <f>'MC-TER'!I40</f>
        <v>714</v>
      </c>
      <c r="H110" s="407" t="s">
        <v>0</v>
      </c>
      <c r="I110" s="429">
        <v>13.43</v>
      </c>
      <c r="J110" s="409">
        <f t="shared" si="7"/>
        <v>17.12</v>
      </c>
      <c r="K110" s="410">
        <f t="shared" si="8"/>
        <v>12223.68</v>
      </c>
    </row>
    <row r="111" spans="1:12" ht="45" customHeight="1">
      <c r="A111" s="659"/>
      <c r="B111" s="419"/>
      <c r="C111" s="438" t="s">
        <v>733</v>
      </c>
      <c r="D111" s="411" t="s">
        <v>192</v>
      </c>
      <c r="E111" s="412">
        <v>6079</v>
      </c>
      <c r="F111" s="415" t="s">
        <v>738</v>
      </c>
      <c r="G111" s="406">
        <f>'MC-TER'!K40</f>
        <v>178.5</v>
      </c>
      <c r="H111" s="407" t="s">
        <v>0</v>
      </c>
      <c r="I111" s="427">
        <v>36.51</v>
      </c>
      <c r="J111" s="409">
        <f t="shared" si="7"/>
        <v>46.54</v>
      </c>
      <c r="K111" s="410">
        <f t="shared" si="8"/>
        <v>8307.39</v>
      </c>
      <c r="L111" s="435"/>
    </row>
    <row r="112" spans="1:11" ht="45" customHeight="1">
      <c r="A112" s="659"/>
      <c r="B112" s="419"/>
      <c r="C112" s="438" t="s">
        <v>734</v>
      </c>
      <c r="D112" s="414" t="s">
        <v>192</v>
      </c>
      <c r="E112" s="404">
        <v>95877</v>
      </c>
      <c r="F112" s="415" t="s">
        <v>739</v>
      </c>
      <c r="G112" s="406">
        <f>'MC-TER'!L40</f>
        <v>6961.5</v>
      </c>
      <c r="H112" s="407" t="s">
        <v>742</v>
      </c>
      <c r="I112" s="429">
        <v>1.77</v>
      </c>
      <c r="J112" s="409">
        <f t="shared" si="7"/>
        <v>2.26</v>
      </c>
      <c r="K112" s="410">
        <f t="shared" si="8"/>
        <v>15732.99</v>
      </c>
    </row>
    <row r="113" spans="1:12" ht="45" customHeight="1">
      <c r="A113" s="659"/>
      <c r="B113" s="419"/>
      <c r="C113" s="438" t="s">
        <v>735</v>
      </c>
      <c r="D113" s="411" t="s">
        <v>192</v>
      </c>
      <c r="E113" s="412">
        <v>93590</v>
      </c>
      <c r="F113" s="415" t="s">
        <v>740</v>
      </c>
      <c r="G113" s="406">
        <f>'MC-TER'!M40</f>
        <v>6868.68</v>
      </c>
      <c r="H113" s="407" t="s">
        <v>742</v>
      </c>
      <c r="I113" s="427">
        <v>0.89</v>
      </c>
      <c r="J113" s="409">
        <f t="shared" si="7"/>
        <v>1.13</v>
      </c>
      <c r="K113" s="410">
        <f t="shared" si="8"/>
        <v>7761.61</v>
      </c>
      <c r="L113" s="435"/>
    </row>
    <row r="114" spans="1:12" ht="45" customHeight="1">
      <c r="A114" s="659"/>
      <c r="B114" s="419"/>
      <c r="C114" s="438" t="s">
        <v>798</v>
      </c>
      <c r="D114" s="411" t="s">
        <v>192</v>
      </c>
      <c r="E114" s="412">
        <v>96385</v>
      </c>
      <c r="F114" s="415" t="s">
        <v>741</v>
      </c>
      <c r="G114" s="406">
        <f>'MC-TER'!N40</f>
        <v>178.5</v>
      </c>
      <c r="H114" s="407" t="s">
        <v>0</v>
      </c>
      <c r="I114" s="427">
        <v>11.3</v>
      </c>
      <c r="J114" s="409">
        <f t="shared" si="7"/>
        <v>14.4</v>
      </c>
      <c r="K114" s="410">
        <f t="shared" si="8"/>
        <v>2570.4</v>
      </c>
      <c r="L114" s="435"/>
    </row>
    <row r="115" spans="1:11" ht="27.75" customHeight="1">
      <c r="A115" s="659"/>
      <c r="B115" s="419"/>
      <c r="C115" s="823" t="s">
        <v>17</v>
      </c>
      <c r="D115" s="824"/>
      <c r="E115" s="824"/>
      <c r="F115" s="824"/>
      <c r="G115" s="824"/>
      <c r="H115" s="824"/>
      <c r="I115" s="824"/>
      <c r="J115" s="825"/>
      <c r="K115" s="434">
        <f>SUM(K107:K114)</f>
        <v>100471.8</v>
      </c>
    </row>
    <row r="116" spans="1:12" ht="27.75" customHeight="1">
      <c r="A116" s="659"/>
      <c r="B116" s="419"/>
      <c r="C116" s="436">
        <v>6</v>
      </c>
      <c r="D116" s="450"/>
      <c r="E116" s="450"/>
      <c r="F116" s="450" t="s">
        <v>33</v>
      </c>
      <c r="G116" s="849"/>
      <c r="H116" s="849"/>
      <c r="I116" s="849"/>
      <c r="J116" s="849"/>
      <c r="K116" s="850"/>
      <c r="L116" s="435"/>
    </row>
    <row r="117" spans="1:11" ht="76.5">
      <c r="A117" s="659"/>
      <c r="B117" s="419"/>
      <c r="C117" s="438" t="s">
        <v>186</v>
      </c>
      <c r="D117" s="414" t="s">
        <v>191</v>
      </c>
      <c r="E117" s="414" t="s">
        <v>209</v>
      </c>
      <c r="F117" s="415" t="s">
        <v>763</v>
      </c>
      <c r="G117" s="416">
        <f>'MC-TER'!P40</f>
        <v>178.5</v>
      </c>
      <c r="H117" s="406" t="s">
        <v>0</v>
      </c>
      <c r="I117" s="445">
        <f>'CPU-II'!G39</f>
        <v>168.41</v>
      </c>
      <c r="J117" s="409">
        <f aca="true" t="shared" si="9" ref="J117:J123">I117*(1+$J$16)</f>
        <v>214.66</v>
      </c>
      <c r="K117" s="410">
        <f aca="true" t="shared" si="10" ref="K117:K124">G117*J117</f>
        <v>38316.81</v>
      </c>
    </row>
    <row r="118" spans="1:11" ht="45" customHeight="1">
      <c r="A118" s="659"/>
      <c r="B118" s="419"/>
      <c r="C118" s="438" t="s">
        <v>187</v>
      </c>
      <c r="D118" s="414" t="s">
        <v>192</v>
      </c>
      <c r="E118" s="404">
        <v>101125</v>
      </c>
      <c r="F118" s="415" t="s">
        <v>797</v>
      </c>
      <c r="G118" s="406">
        <f>'MC-TER'!Q40</f>
        <v>178.5</v>
      </c>
      <c r="H118" s="407" t="s">
        <v>0</v>
      </c>
      <c r="I118" s="446">
        <v>13.43</v>
      </c>
      <c r="J118" s="409">
        <f t="shared" si="9"/>
        <v>17.12</v>
      </c>
      <c r="K118" s="410">
        <f t="shared" si="10"/>
        <v>3055.92</v>
      </c>
    </row>
    <row r="119" spans="1:11" s="430" customFormat="1" ht="45" customHeight="1">
      <c r="A119" s="660"/>
      <c r="B119" s="661"/>
      <c r="C119" s="438" t="s">
        <v>610</v>
      </c>
      <c r="D119" s="414" t="s">
        <v>192</v>
      </c>
      <c r="E119" s="414" t="s">
        <v>566</v>
      </c>
      <c r="F119" s="415" t="s">
        <v>567</v>
      </c>
      <c r="G119" s="416">
        <f>'MC-TER'!R40</f>
        <v>6961.5</v>
      </c>
      <c r="H119" s="406" t="s">
        <v>568</v>
      </c>
      <c r="I119" s="445">
        <v>1.77</v>
      </c>
      <c r="J119" s="409">
        <f t="shared" si="9"/>
        <v>2.26</v>
      </c>
      <c r="K119" s="410">
        <f t="shared" si="10"/>
        <v>15732.99</v>
      </c>
    </row>
    <row r="120" spans="1:11" s="430" customFormat="1" ht="45" customHeight="1">
      <c r="A120" s="660"/>
      <c r="B120" s="661"/>
      <c r="C120" s="438" t="s">
        <v>611</v>
      </c>
      <c r="D120" s="414" t="s">
        <v>192</v>
      </c>
      <c r="E120" s="414">
        <v>93590</v>
      </c>
      <c r="F120" s="415" t="s">
        <v>740</v>
      </c>
      <c r="G120" s="416">
        <f>'MC-TER'!S40</f>
        <v>35039.55</v>
      </c>
      <c r="H120" s="406" t="s">
        <v>568</v>
      </c>
      <c r="I120" s="445">
        <v>0.89</v>
      </c>
      <c r="J120" s="409">
        <f>I120*(1+$J$16)</f>
        <v>1.13</v>
      </c>
      <c r="K120" s="410">
        <f t="shared" si="10"/>
        <v>39594.69</v>
      </c>
    </row>
    <row r="121" spans="1:11" ht="76.5">
      <c r="A121" s="659"/>
      <c r="B121" s="419"/>
      <c r="C121" s="438" t="s">
        <v>612</v>
      </c>
      <c r="D121" s="414" t="s">
        <v>191</v>
      </c>
      <c r="E121" s="414" t="s">
        <v>210</v>
      </c>
      <c r="F121" s="415" t="s">
        <v>674</v>
      </c>
      <c r="G121" s="416">
        <f>'MC-TER'!U40</f>
        <v>357</v>
      </c>
      <c r="H121" s="406" t="s">
        <v>502</v>
      </c>
      <c r="I121" s="445">
        <f>'CPU-III'!G39</f>
        <v>78.76</v>
      </c>
      <c r="J121" s="409">
        <f t="shared" si="9"/>
        <v>100.39</v>
      </c>
      <c r="K121" s="410">
        <f t="shared" si="10"/>
        <v>35839.23</v>
      </c>
    </row>
    <row r="122" spans="1:11" ht="45" customHeight="1">
      <c r="A122" s="659"/>
      <c r="B122" s="419"/>
      <c r="C122" s="438" t="s">
        <v>613</v>
      </c>
      <c r="D122" s="414" t="s">
        <v>192</v>
      </c>
      <c r="E122" s="404">
        <v>101125</v>
      </c>
      <c r="F122" s="415" t="s">
        <v>797</v>
      </c>
      <c r="G122" s="406">
        <f>'MC-TER'!V40</f>
        <v>357</v>
      </c>
      <c r="H122" s="407" t="s">
        <v>0</v>
      </c>
      <c r="I122" s="446">
        <v>13.43</v>
      </c>
      <c r="J122" s="409">
        <f t="shared" si="9"/>
        <v>17.12</v>
      </c>
      <c r="K122" s="410">
        <f t="shared" si="10"/>
        <v>6111.84</v>
      </c>
    </row>
    <row r="123" spans="1:11" s="430" customFormat="1" ht="45" customHeight="1">
      <c r="A123" s="660"/>
      <c r="B123" s="661"/>
      <c r="C123" s="438" t="s">
        <v>800</v>
      </c>
      <c r="D123" s="414" t="s">
        <v>192</v>
      </c>
      <c r="E123" s="414" t="s">
        <v>566</v>
      </c>
      <c r="F123" s="415" t="s">
        <v>567</v>
      </c>
      <c r="G123" s="416">
        <f>'MC-TER'!X40</f>
        <v>13923</v>
      </c>
      <c r="H123" s="406" t="s">
        <v>568</v>
      </c>
      <c r="I123" s="446">
        <v>1.77</v>
      </c>
      <c r="J123" s="409">
        <f t="shared" si="9"/>
        <v>2.26</v>
      </c>
      <c r="K123" s="410">
        <f t="shared" si="10"/>
        <v>31465.98</v>
      </c>
    </row>
    <row r="124" spans="1:11" s="430" customFormat="1" ht="45" customHeight="1">
      <c r="A124" s="660"/>
      <c r="B124" s="661"/>
      <c r="C124" s="438" t="s">
        <v>801</v>
      </c>
      <c r="D124" s="414" t="s">
        <v>192</v>
      </c>
      <c r="E124" s="414">
        <v>93590</v>
      </c>
      <c r="F124" s="415" t="s">
        <v>740</v>
      </c>
      <c r="G124" s="416">
        <f>'MC-TER'!Y40</f>
        <v>3434.34</v>
      </c>
      <c r="H124" s="406" t="s">
        <v>568</v>
      </c>
      <c r="I124" s="446">
        <v>0.89</v>
      </c>
      <c r="J124" s="409">
        <f>I124*(1+$J$16)</f>
        <v>1.13</v>
      </c>
      <c r="K124" s="410">
        <f t="shared" si="10"/>
        <v>3880.8</v>
      </c>
    </row>
    <row r="125" spans="1:12" ht="27.75" customHeight="1">
      <c r="A125" s="659"/>
      <c r="B125" s="419"/>
      <c r="C125" s="823" t="s">
        <v>151</v>
      </c>
      <c r="D125" s="824"/>
      <c r="E125" s="824"/>
      <c r="F125" s="824"/>
      <c r="G125" s="824"/>
      <c r="H125" s="824"/>
      <c r="I125" s="824"/>
      <c r="J125" s="825"/>
      <c r="K125" s="434">
        <f>SUM(K117:K124)</f>
        <v>173998.26</v>
      </c>
      <c r="L125" s="435"/>
    </row>
    <row r="126" spans="1:11" ht="27.75" customHeight="1" hidden="1">
      <c r="A126" s="659"/>
      <c r="B126" s="419"/>
      <c r="C126" s="436">
        <v>7</v>
      </c>
      <c r="D126" s="450"/>
      <c r="E126" s="450"/>
      <c r="F126" s="450" t="s">
        <v>27</v>
      </c>
      <c r="G126" s="849"/>
      <c r="H126" s="849"/>
      <c r="I126" s="849"/>
      <c r="J126" s="849"/>
      <c r="K126" s="850"/>
    </row>
    <row r="127" spans="1:11" ht="45" customHeight="1" hidden="1">
      <c r="A127" s="659"/>
      <c r="B127" s="419"/>
      <c r="C127" s="438" t="s">
        <v>188</v>
      </c>
      <c r="D127" s="411" t="s">
        <v>191</v>
      </c>
      <c r="E127" s="414" t="s">
        <v>418</v>
      </c>
      <c r="F127" s="440" t="s">
        <v>206</v>
      </c>
      <c r="G127" s="416">
        <f>'MC-PAV'!M38</f>
        <v>0</v>
      </c>
      <c r="H127" s="407" t="s">
        <v>2</v>
      </c>
      <c r="I127" s="444">
        <f>'CPU-V'!G32</f>
        <v>10.47</v>
      </c>
      <c r="J127" s="409">
        <f aca="true" t="shared" si="11" ref="J127:J133">I127*(1+$J$16)</f>
        <v>13.35</v>
      </c>
      <c r="K127" s="410">
        <f aca="true" t="shared" si="12" ref="K127:K138">G127*J127</f>
        <v>0</v>
      </c>
    </row>
    <row r="128" spans="1:11" ht="45" customHeight="1" hidden="1">
      <c r="A128" s="659"/>
      <c r="B128" s="419"/>
      <c r="C128" s="438" t="s">
        <v>495</v>
      </c>
      <c r="D128" s="411" t="s">
        <v>191</v>
      </c>
      <c r="E128" s="414" t="s">
        <v>597</v>
      </c>
      <c r="F128" s="440" t="s">
        <v>207</v>
      </c>
      <c r="G128" s="416">
        <f>'MC-PAV'!N38</f>
        <v>0</v>
      </c>
      <c r="H128" s="407" t="s">
        <v>2</v>
      </c>
      <c r="I128" s="444">
        <f>'CPU-VI'!G32</f>
        <v>3.37</v>
      </c>
      <c r="J128" s="409">
        <f t="shared" si="11"/>
        <v>4.3</v>
      </c>
      <c r="K128" s="410">
        <f t="shared" si="12"/>
        <v>0</v>
      </c>
    </row>
    <row r="129" spans="1:12" ht="45" customHeight="1" hidden="1">
      <c r="A129" s="659"/>
      <c r="B129" s="419"/>
      <c r="C129" s="438" t="s">
        <v>496</v>
      </c>
      <c r="D129" s="414" t="s">
        <v>191</v>
      </c>
      <c r="E129" s="414" t="s">
        <v>418</v>
      </c>
      <c r="F129" s="440" t="s">
        <v>156</v>
      </c>
      <c r="G129" s="447"/>
      <c r="H129" s="407" t="s">
        <v>28</v>
      </c>
      <c r="I129" s="444">
        <f>'CPU-cbuq'!G44</f>
        <v>865.82</v>
      </c>
      <c r="J129" s="409">
        <f t="shared" si="11"/>
        <v>1103.57</v>
      </c>
      <c r="K129" s="410">
        <f t="shared" si="12"/>
        <v>0</v>
      </c>
      <c r="L129" s="399" t="s">
        <v>579</v>
      </c>
    </row>
    <row r="130" spans="1:11" ht="45" customHeight="1" hidden="1">
      <c r="A130" s="659"/>
      <c r="B130" s="419"/>
      <c r="C130" s="438" t="s">
        <v>497</v>
      </c>
      <c r="D130" s="414" t="s">
        <v>192</v>
      </c>
      <c r="E130" s="612">
        <v>93598</v>
      </c>
      <c r="F130" s="415" t="s">
        <v>348</v>
      </c>
      <c r="G130" s="447"/>
      <c r="H130" s="407" t="s">
        <v>29</v>
      </c>
      <c r="I130" s="444">
        <v>1.49</v>
      </c>
      <c r="J130" s="409">
        <f t="shared" si="11"/>
        <v>1.9</v>
      </c>
      <c r="K130" s="410">
        <f t="shared" si="12"/>
        <v>0</v>
      </c>
    </row>
    <row r="131" spans="1:12" ht="45" customHeight="1" hidden="1">
      <c r="A131" s="659"/>
      <c r="B131" s="419"/>
      <c r="C131" s="438" t="s">
        <v>496</v>
      </c>
      <c r="D131" s="414" t="s">
        <v>192</v>
      </c>
      <c r="E131" s="414" t="s">
        <v>577</v>
      </c>
      <c r="F131" s="440" t="s">
        <v>578</v>
      </c>
      <c r="G131" s="416">
        <f>'MC-PAV'!P38</f>
        <v>0</v>
      </c>
      <c r="H131" s="406" t="s">
        <v>0</v>
      </c>
      <c r="I131" s="444">
        <v>2362.55</v>
      </c>
      <c r="J131" s="409">
        <f t="shared" si="11"/>
        <v>3011.31</v>
      </c>
      <c r="K131" s="410">
        <f t="shared" si="12"/>
        <v>0</v>
      </c>
      <c r="L131" s="399" t="s">
        <v>580</v>
      </c>
    </row>
    <row r="132" spans="1:11" ht="45" customHeight="1" hidden="1">
      <c r="A132" s="659"/>
      <c r="B132" s="419"/>
      <c r="C132" s="438" t="s">
        <v>497</v>
      </c>
      <c r="D132" s="414" t="s">
        <v>192</v>
      </c>
      <c r="E132" s="612">
        <v>93592</v>
      </c>
      <c r="F132" s="415" t="s">
        <v>348</v>
      </c>
      <c r="G132" s="416">
        <f>'MC-PAV'!Q38</f>
        <v>0</v>
      </c>
      <c r="H132" s="406" t="s">
        <v>568</v>
      </c>
      <c r="I132" s="444">
        <v>2.27</v>
      </c>
      <c r="J132" s="409">
        <f t="shared" si="11"/>
        <v>2.89</v>
      </c>
      <c r="K132" s="410">
        <f t="shared" si="12"/>
        <v>0</v>
      </c>
    </row>
    <row r="133" spans="1:11" ht="45" customHeight="1" hidden="1">
      <c r="A133" s="659"/>
      <c r="B133" s="419"/>
      <c r="C133" s="438" t="s">
        <v>596</v>
      </c>
      <c r="D133" s="414" t="s">
        <v>191</v>
      </c>
      <c r="E133" s="414" t="s">
        <v>685</v>
      </c>
      <c r="F133" s="415" t="s">
        <v>505</v>
      </c>
      <c r="G133" s="447"/>
      <c r="H133" s="406" t="s">
        <v>502</v>
      </c>
      <c r="I133" s="444">
        <f>'CPU-VII'!G44</f>
        <v>179</v>
      </c>
      <c r="J133" s="409">
        <f t="shared" si="11"/>
        <v>228.15</v>
      </c>
      <c r="K133" s="410">
        <f t="shared" si="12"/>
        <v>0</v>
      </c>
    </row>
    <row r="134" spans="1:11" ht="45" customHeight="1" hidden="1">
      <c r="A134" s="659"/>
      <c r="B134" s="419"/>
      <c r="C134" s="438" t="s">
        <v>596</v>
      </c>
      <c r="D134" s="414" t="s">
        <v>192</v>
      </c>
      <c r="E134" s="414">
        <v>96001</v>
      </c>
      <c r="F134" s="415" t="s">
        <v>688</v>
      </c>
      <c r="G134" s="416">
        <f>'MC-PAV'!T38</f>
        <v>0</v>
      </c>
      <c r="H134" s="407" t="s">
        <v>2</v>
      </c>
      <c r="I134" s="444">
        <v>7.52</v>
      </c>
      <c r="J134" s="409">
        <f>I134*(1+$J$16)</f>
        <v>9.58</v>
      </c>
      <c r="K134" s="410">
        <f t="shared" si="12"/>
        <v>0</v>
      </c>
    </row>
    <row r="135" spans="1:12" ht="45" customHeight="1" hidden="1">
      <c r="A135" s="659"/>
      <c r="B135" s="419"/>
      <c r="C135" s="438" t="s">
        <v>687</v>
      </c>
      <c r="D135" s="414" t="s">
        <v>192</v>
      </c>
      <c r="E135" s="414" t="s">
        <v>750</v>
      </c>
      <c r="F135" s="440" t="s">
        <v>751</v>
      </c>
      <c r="G135" s="416">
        <f>'MC-PAV'!S38</f>
        <v>0</v>
      </c>
      <c r="H135" s="406" t="s">
        <v>0</v>
      </c>
      <c r="I135" s="444">
        <v>432.64</v>
      </c>
      <c r="J135" s="409">
        <f>I135*(1+$J$16)</f>
        <v>551.44</v>
      </c>
      <c r="K135" s="410">
        <f t="shared" si="12"/>
        <v>0</v>
      </c>
      <c r="L135" s="399" t="s">
        <v>580</v>
      </c>
    </row>
    <row r="136" spans="1:11" ht="45" customHeight="1" hidden="1">
      <c r="A136" s="659"/>
      <c r="B136" s="419"/>
      <c r="C136" s="438" t="s">
        <v>759</v>
      </c>
      <c r="D136" s="414" t="s">
        <v>192</v>
      </c>
      <c r="E136" s="612" t="s">
        <v>752</v>
      </c>
      <c r="F136" s="415" t="s">
        <v>753</v>
      </c>
      <c r="G136" s="416">
        <f>'MC-PAV'!R38</f>
        <v>0</v>
      </c>
      <c r="H136" s="406" t="s">
        <v>2</v>
      </c>
      <c r="I136" s="444">
        <v>18.11</v>
      </c>
      <c r="J136" s="409">
        <f>I136*(1+$J$16)</f>
        <v>23.08</v>
      </c>
      <c r="K136" s="410">
        <f t="shared" si="12"/>
        <v>0</v>
      </c>
    </row>
    <row r="137" spans="1:11" ht="45" customHeight="1" hidden="1">
      <c r="A137" s="659"/>
      <c r="B137" s="419"/>
      <c r="C137" s="438" t="s">
        <v>760</v>
      </c>
      <c r="D137" s="414" t="s">
        <v>192</v>
      </c>
      <c r="E137" s="414">
        <v>100973</v>
      </c>
      <c r="F137" s="415" t="s">
        <v>754</v>
      </c>
      <c r="G137" s="416">
        <f>'MC-PAV'!U38</f>
        <v>0</v>
      </c>
      <c r="H137" s="406" t="s">
        <v>0</v>
      </c>
      <c r="I137" s="444">
        <v>8.35</v>
      </c>
      <c r="J137" s="409">
        <f>I137*(1+$J$16)</f>
        <v>10.64</v>
      </c>
      <c r="K137" s="410">
        <f t="shared" si="12"/>
        <v>0</v>
      </c>
    </row>
    <row r="138" spans="1:11" ht="45" customHeight="1" hidden="1">
      <c r="A138" s="659"/>
      <c r="B138" s="419"/>
      <c r="C138" s="438" t="s">
        <v>761</v>
      </c>
      <c r="D138" s="414" t="s">
        <v>192</v>
      </c>
      <c r="E138" s="414">
        <v>97914</v>
      </c>
      <c r="F138" s="415" t="s">
        <v>737</v>
      </c>
      <c r="G138" s="416">
        <f>'MC-PAV'!V38</f>
        <v>0</v>
      </c>
      <c r="H138" s="407" t="s">
        <v>237</v>
      </c>
      <c r="I138" s="444">
        <v>2.65</v>
      </c>
      <c r="J138" s="409">
        <f>I138*(1+$J$16)</f>
        <v>3.38</v>
      </c>
      <c r="K138" s="410">
        <f t="shared" si="12"/>
        <v>0</v>
      </c>
    </row>
    <row r="139" spans="1:11" ht="27.75" customHeight="1" hidden="1">
      <c r="A139" s="659"/>
      <c r="B139" s="419"/>
      <c r="C139" s="823" t="s">
        <v>183</v>
      </c>
      <c r="D139" s="824"/>
      <c r="E139" s="824"/>
      <c r="F139" s="824"/>
      <c r="G139" s="824"/>
      <c r="H139" s="824"/>
      <c r="I139" s="824"/>
      <c r="J139" s="825"/>
      <c r="K139" s="434">
        <f>SUM(K127:K138)</f>
        <v>0</v>
      </c>
    </row>
    <row r="140" spans="1:11" ht="27.75" customHeight="1" hidden="1">
      <c r="A140" s="659"/>
      <c r="B140" s="419"/>
      <c r="C140" s="436">
        <v>8</v>
      </c>
      <c r="D140" s="450"/>
      <c r="E140" s="450"/>
      <c r="F140" s="450" t="s">
        <v>696</v>
      </c>
      <c r="G140" s="849"/>
      <c r="H140" s="849"/>
      <c r="I140" s="849"/>
      <c r="J140" s="849"/>
      <c r="K140" s="850"/>
    </row>
    <row r="141" spans="1:11" ht="45" customHeight="1" hidden="1">
      <c r="A141" s="659"/>
      <c r="B141" s="419"/>
      <c r="C141" s="683" t="s">
        <v>498</v>
      </c>
      <c r="D141" s="411"/>
      <c r="E141" s="414"/>
      <c r="F141" s="682" t="s">
        <v>697</v>
      </c>
      <c r="G141" s="416"/>
      <c r="H141" s="407"/>
      <c r="I141" s="444"/>
      <c r="J141" s="409"/>
      <c r="K141" s="410"/>
    </row>
    <row r="142" spans="1:11" ht="45" customHeight="1" hidden="1">
      <c r="A142" s="659"/>
      <c r="B142" s="419"/>
      <c r="C142" s="438" t="s">
        <v>708</v>
      </c>
      <c r="D142" s="411" t="s">
        <v>698</v>
      </c>
      <c r="E142" s="414" t="s">
        <v>699</v>
      </c>
      <c r="F142" s="440" t="s">
        <v>700</v>
      </c>
      <c r="G142" s="416"/>
      <c r="H142" s="407" t="s">
        <v>2</v>
      </c>
      <c r="I142" s="444">
        <v>51.71</v>
      </c>
      <c r="J142" s="409">
        <f>I142*(1+$J$16)</f>
        <v>65.91</v>
      </c>
      <c r="K142" s="410">
        <f>G142*J142</f>
        <v>0</v>
      </c>
    </row>
    <row r="143" spans="1:11" ht="45" customHeight="1" hidden="1">
      <c r="A143" s="659"/>
      <c r="B143" s="419"/>
      <c r="C143" s="438" t="s">
        <v>709</v>
      </c>
      <c r="D143" s="414" t="s">
        <v>698</v>
      </c>
      <c r="E143" s="414" t="s">
        <v>701</v>
      </c>
      <c r="F143" s="440" t="s">
        <v>702</v>
      </c>
      <c r="G143" s="416"/>
      <c r="H143" s="407" t="s">
        <v>2</v>
      </c>
      <c r="I143" s="444">
        <v>38.87</v>
      </c>
      <c r="J143" s="409">
        <f>I143*(1+$J$16)</f>
        <v>49.54</v>
      </c>
      <c r="K143" s="410">
        <f>G143*J143</f>
        <v>0</v>
      </c>
    </row>
    <row r="144" spans="1:11" ht="45" customHeight="1" hidden="1">
      <c r="A144" s="659"/>
      <c r="B144" s="419"/>
      <c r="C144" s="683" t="s">
        <v>710</v>
      </c>
      <c r="D144" s="414"/>
      <c r="E144" s="612"/>
      <c r="F144" s="681" t="s">
        <v>703</v>
      </c>
      <c r="G144" s="416"/>
      <c r="H144" s="407"/>
      <c r="I144" s="444"/>
      <c r="J144" s="409"/>
      <c r="K144" s="410"/>
    </row>
    <row r="145" spans="1:11" ht="45" customHeight="1" hidden="1">
      <c r="A145" s="659"/>
      <c r="B145" s="419"/>
      <c r="C145" s="438" t="s">
        <v>711</v>
      </c>
      <c r="D145" s="414" t="s">
        <v>698</v>
      </c>
      <c r="E145" s="414" t="s">
        <v>704</v>
      </c>
      <c r="F145" s="440" t="s">
        <v>705</v>
      </c>
      <c r="G145" s="416"/>
      <c r="H145" s="407" t="s">
        <v>2</v>
      </c>
      <c r="I145" s="444">
        <v>199.43</v>
      </c>
      <c r="J145" s="409">
        <f>I145*(1+$J$16)</f>
        <v>254.19</v>
      </c>
      <c r="K145" s="410">
        <f>G145*J145</f>
        <v>0</v>
      </c>
    </row>
    <row r="146" spans="1:11" ht="45" customHeight="1" hidden="1">
      <c r="A146" s="659"/>
      <c r="B146" s="419"/>
      <c r="C146" s="438" t="s">
        <v>712</v>
      </c>
      <c r="D146" s="414" t="s">
        <v>698</v>
      </c>
      <c r="E146" s="612" t="s">
        <v>706</v>
      </c>
      <c r="F146" s="415" t="s">
        <v>707</v>
      </c>
      <c r="G146" s="416"/>
      <c r="H146" s="411" t="s">
        <v>307</v>
      </c>
      <c r="I146" s="444">
        <v>115.41</v>
      </c>
      <c r="J146" s="409">
        <f>I146*(1+$J$16)</f>
        <v>147.1</v>
      </c>
      <c r="K146" s="410">
        <f>G146*J146</f>
        <v>0</v>
      </c>
    </row>
    <row r="147" spans="1:11" ht="27.75" customHeight="1" hidden="1">
      <c r="A147" s="659"/>
      <c r="B147" s="419"/>
      <c r="C147" s="823" t="s">
        <v>494</v>
      </c>
      <c r="D147" s="824"/>
      <c r="E147" s="824"/>
      <c r="F147" s="824"/>
      <c r="G147" s="824"/>
      <c r="H147" s="824"/>
      <c r="I147" s="824"/>
      <c r="J147" s="825"/>
      <c r="K147" s="434">
        <f>SUM(K141:K146)</f>
        <v>0</v>
      </c>
    </row>
    <row r="148" spans="1:11" ht="27.75" customHeight="1">
      <c r="A148" s="659"/>
      <c r="B148" s="419"/>
      <c r="C148" s="448">
        <v>7</v>
      </c>
      <c r="D148" s="449"/>
      <c r="E148" s="449"/>
      <c r="F148" s="450" t="s">
        <v>11</v>
      </c>
      <c r="G148" s="849"/>
      <c r="H148" s="849"/>
      <c r="I148" s="849"/>
      <c r="J148" s="849"/>
      <c r="K148" s="850"/>
    </row>
    <row r="149" spans="1:11" s="430" customFormat="1" ht="45" customHeight="1">
      <c r="A149" s="660"/>
      <c r="B149" s="661"/>
      <c r="C149" s="451" t="s">
        <v>188</v>
      </c>
      <c r="D149" s="418" t="s">
        <v>190</v>
      </c>
      <c r="E149" s="412" t="s">
        <v>208</v>
      </c>
      <c r="F149" s="415" t="s">
        <v>152</v>
      </c>
      <c r="G149" s="416">
        <f>'MC-PAV'!W38</f>
        <v>3724</v>
      </c>
      <c r="H149" s="407" t="s">
        <v>2</v>
      </c>
      <c r="I149" s="417">
        <v>7.66</v>
      </c>
      <c r="J149" s="409">
        <f>I149*(1+$J$16)</f>
        <v>9.76</v>
      </c>
      <c r="K149" s="410">
        <f>G149*J149</f>
        <v>36346.24</v>
      </c>
    </row>
    <row r="150" spans="1:11" ht="27.75" customHeight="1" thickBot="1">
      <c r="A150" s="664"/>
      <c r="B150" s="665"/>
      <c r="C150" s="853" t="s">
        <v>183</v>
      </c>
      <c r="D150" s="854"/>
      <c r="E150" s="854"/>
      <c r="F150" s="854"/>
      <c r="G150" s="854"/>
      <c r="H150" s="854"/>
      <c r="I150" s="854"/>
      <c r="J150" s="855"/>
      <c r="K150" s="666">
        <f>SUM(K149)</f>
        <v>36346.24</v>
      </c>
    </row>
    <row r="151" spans="3:12" ht="41.25" customHeight="1" thickBot="1">
      <c r="C151" s="866" t="s">
        <v>26</v>
      </c>
      <c r="D151" s="867"/>
      <c r="E151" s="867"/>
      <c r="F151" s="867"/>
      <c r="G151" s="867"/>
      <c r="H151" s="867"/>
      <c r="I151" s="867"/>
      <c r="J151" s="868"/>
      <c r="K151" s="656">
        <f>SUM(K22,K26,K33,K105,K115,K125,K139,K147,K150)</f>
        <v>1199384.27</v>
      </c>
      <c r="L151" s="399" t="s">
        <v>818</v>
      </c>
    </row>
    <row r="152" ht="25.5">
      <c r="N152" s="452"/>
    </row>
    <row r="153" ht="25.5">
      <c r="N153" s="435"/>
    </row>
    <row r="154" ht="25.5">
      <c r="K154" s="435"/>
    </row>
    <row r="165" spans="7:9" ht="25.5">
      <c r="G165" s="865"/>
      <c r="H165" s="865"/>
      <c r="I165" s="865"/>
    </row>
  </sheetData>
  <sheetProtection/>
  <mergeCells count="55">
    <mergeCell ref="C1:K4"/>
    <mergeCell ref="G165:I165"/>
    <mergeCell ref="C139:J139"/>
    <mergeCell ref="C115:J115"/>
    <mergeCell ref="G116:K116"/>
    <mergeCell ref="C125:J125"/>
    <mergeCell ref="G148:K148"/>
    <mergeCell ref="G126:K126"/>
    <mergeCell ref="C151:J151"/>
    <mergeCell ref="G34:K34"/>
    <mergeCell ref="P21:P22"/>
    <mergeCell ref="O23:O24"/>
    <mergeCell ref="C150:J150"/>
    <mergeCell ref="G140:K140"/>
    <mergeCell ref="C26:J26"/>
    <mergeCell ref="O17:O18"/>
    <mergeCell ref="G17:K17"/>
    <mergeCell ref="G106:K106"/>
    <mergeCell ref="C105:J105"/>
    <mergeCell ref="C22:J22"/>
    <mergeCell ref="M21:M22"/>
    <mergeCell ref="N21:N22"/>
    <mergeCell ref="O21:O22"/>
    <mergeCell ref="C33:J33"/>
    <mergeCell ref="G27:K27"/>
    <mergeCell ref="G23:K23"/>
    <mergeCell ref="C11:K11"/>
    <mergeCell ref="E15:E16"/>
    <mergeCell ref="C13:K13"/>
    <mergeCell ref="H15:H16"/>
    <mergeCell ref="F15:F16"/>
    <mergeCell ref="G15:G16"/>
    <mergeCell ref="I15:I16"/>
    <mergeCell ref="K15:K16"/>
    <mergeCell ref="C14:K14"/>
    <mergeCell ref="P23:P24"/>
    <mergeCell ref="M25:M26"/>
    <mergeCell ref="N25:N26"/>
    <mergeCell ref="O25:O26"/>
    <mergeCell ref="P25:P26"/>
    <mergeCell ref="P17:P18"/>
    <mergeCell ref="M17:M18"/>
    <mergeCell ref="N17:N18"/>
    <mergeCell ref="M23:M24"/>
    <mergeCell ref="N23:N24"/>
    <mergeCell ref="C7:K7"/>
    <mergeCell ref="C5:K5"/>
    <mergeCell ref="C147:J147"/>
    <mergeCell ref="C6:K6"/>
    <mergeCell ref="D9:K9"/>
    <mergeCell ref="C10:D10"/>
    <mergeCell ref="E10:K10"/>
    <mergeCell ref="C15:C16"/>
    <mergeCell ref="D15:D16"/>
    <mergeCell ref="C12:K12"/>
  </mergeCells>
  <printOptions horizontalCentered="1"/>
  <pageMargins left="0" right="0" top="0.4330708661417323" bottom="0" header="0" footer="0"/>
  <pageSetup fitToHeight="0" fitToWidth="1" horizontalDpi="600" verticalDpi="600" orientation="portrait" paperSize="9" scale="37"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I228"/>
  <sheetViews>
    <sheetView tabSelected="1" view="pageBreakPreview" zoomScale="40" zoomScaleNormal="48" zoomScaleSheetLayoutView="40" zoomScalePageLayoutView="0" workbookViewId="0" topLeftCell="A12">
      <selection activeCell="C208" sqref="C208:E208"/>
    </sheetView>
  </sheetViews>
  <sheetFormatPr defaultColWidth="11.57421875" defaultRowHeight="12.75"/>
  <cols>
    <col min="1" max="1" width="11.57421875" style="89" bestFit="1" customWidth="1"/>
    <col min="2" max="2" width="46.8515625" style="89" customWidth="1"/>
    <col min="3" max="3" width="13.421875" style="511" bestFit="1" customWidth="1"/>
    <col min="4" max="4" width="40.140625" style="511" bestFit="1" customWidth="1"/>
    <col min="5" max="5" width="19.140625" style="511" bestFit="1" customWidth="1"/>
    <col min="6" max="6" width="23.00390625" style="511" bestFit="1" customWidth="1"/>
    <col min="7" max="7" width="81.28125" style="511" bestFit="1" customWidth="1"/>
    <col min="8" max="8" width="45.8515625" style="89" bestFit="1" customWidth="1"/>
    <col min="9" max="9" width="22.7109375" style="89" customWidth="1"/>
    <col min="10" max="10" width="42.7109375" style="89" customWidth="1"/>
    <col min="11" max="12" width="22.7109375" style="89" customWidth="1"/>
    <col min="13" max="13" width="24.421875" style="89" customWidth="1"/>
    <col min="14" max="15" width="34.140625" style="89" bestFit="1" customWidth="1"/>
    <col min="16" max="16" width="37.7109375" style="89" bestFit="1" customWidth="1"/>
    <col min="17" max="17" width="35.8515625" style="89" bestFit="1" customWidth="1"/>
    <col min="18" max="18" width="19.00390625" style="89" customWidth="1"/>
    <col min="19" max="28" width="23.7109375" style="89" customWidth="1"/>
    <col min="29" max="29" width="25.57421875" style="89" bestFit="1" customWidth="1"/>
    <col min="30" max="30" width="11.57421875" style="89" customWidth="1"/>
    <col min="31" max="32" width="25.7109375" style="89" customWidth="1"/>
    <col min="33" max="33" width="11.57421875" style="89" customWidth="1"/>
    <col min="34" max="35" width="25.7109375" style="89" customWidth="1"/>
    <col min="36" max="16384" width="11.57421875" style="89" customWidth="1"/>
  </cols>
  <sheetData>
    <row r="1" spans="1:18" s="468" customFormat="1" ht="24.75" customHeight="1" hidden="1">
      <c r="A1" s="463"/>
      <c r="B1" s="464"/>
      <c r="C1" s="465"/>
      <c r="D1" s="465"/>
      <c r="E1" s="465"/>
      <c r="F1" s="465"/>
      <c r="G1" s="465"/>
      <c r="H1" s="464"/>
      <c r="I1" s="464"/>
      <c r="J1" s="464"/>
      <c r="K1" s="464"/>
      <c r="L1" s="464"/>
      <c r="M1" s="464"/>
      <c r="N1" s="464"/>
      <c r="O1" s="464"/>
      <c r="P1" s="464"/>
      <c r="Q1" s="466"/>
      <c r="R1" s="467"/>
    </row>
    <row r="2" spans="1:18" s="399" customFormat="1" ht="27.75" customHeight="1" hidden="1">
      <c r="A2" s="909"/>
      <c r="B2" s="910"/>
      <c r="C2" s="910"/>
      <c r="D2" s="910"/>
      <c r="E2" s="910"/>
      <c r="F2" s="910"/>
      <c r="G2" s="910"/>
      <c r="H2" s="910"/>
      <c r="I2" s="910"/>
      <c r="J2" s="910"/>
      <c r="K2" s="910"/>
      <c r="L2" s="910"/>
      <c r="M2" s="910"/>
      <c r="N2" s="910"/>
      <c r="O2" s="910"/>
      <c r="P2" s="910"/>
      <c r="Q2" s="911"/>
      <c r="R2" s="748"/>
    </row>
    <row r="3" spans="1:18" s="399" customFormat="1" ht="27.75" customHeight="1" hidden="1">
      <c r="A3" s="909"/>
      <c r="B3" s="910"/>
      <c r="C3" s="910"/>
      <c r="D3" s="910"/>
      <c r="E3" s="910"/>
      <c r="F3" s="910"/>
      <c r="G3" s="910"/>
      <c r="H3" s="910"/>
      <c r="I3" s="910"/>
      <c r="J3" s="910"/>
      <c r="K3" s="910"/>
      <c r="L3" s="910"/>
      <c r="M3" s="910"/>
      <c r="N3" s="910"/>
      <c r="O3" s="910"/>
      <c r="P3" s="910"/>
      <c r="Q3" s="911"/>
      <c r="R3" s="748"/>
    </row>
    <row r="4" spans="1:18" s="399" customFormat="1" ht="27.75" customHeight="1" hidden="1">
      <c r="A4" s="909"/>
      <c r="B4" s="910"/>
      <c r="C4" s="910"/>
      <c r="D4" s="910"/>
      <c r="E4" s="910"/>
      <c r="F4" s="910"/>
      <c r="G4" s="910"/>
      <c r="H4" s="910"/>
      <c r="I4" s="910"/>
      <c r="J4" s="910"/>
      <c r="K4" s="910"/>
      <c r="L4" s="910"/>
      <c r="M4" s="910"/>
      <c r="N4" s="910"/>
      <c r="O4" s="910"/>
      <c r="P4" s="910"/>
      <c r="Q4" s="911"/>
      <c r="R4" s="748"/>
    </row>
    <row r="5" spans="1:18" s="399" customFormat="1" ht="27.75" customHeight="1" hidden="1">
      <c r="A5" s="747"/>
      <c r="B5" s="748"/>
      <c r="C5" s="748"/>
      <c r="D5" s="748"/>
      <c r="E5" s="748"/>
      <c r="F5" s="748"/>
      <c r="G5" s="748"/>
      <c r="H5" s="748"/>
      <c r="I5" s="748"/>
      <c r="J5" s="748"/>
      <c r="K5" s="748"/>
      <c r="L5" s="748"/>
      <c r="M5" s="748"/>
      <c r="N5" s="748"/>
      <c r="O5" s="748"/>
      <c r="P5" s="748"/>
      <c r="Q5" s="749"/>
      <c r="R5" s="748"/>
    </row>
    <row r="6" spans="1:18" s="399" customFormat="1" ht="27.75" customHeight="1" hidden="1">
      <c r="A6" s="909" t="s">
        <v>19</v>
      </c>
      <c r="B6" s="910"/>
      <c r="C6" s="910"/>
      <c r="D6" s="910"/>
      <c r="E6" s="910"/>
      <c r="F6" s="910"/>
      <c r="G6" s="910"/>
      <c r="H6" s="910"/>
      <c r="I6" s="910"/>
      <c r="J6" s="910"/>
      <c r="K6" s="910"/>
      <c r="L6" s="910"/>
      <c r="M6" s="910"/>
      <c r="N6" s="910"/>
      <c r="O6" s="910"/>
      <c r="P6" s="910"/>
      <c r="Q6" s="911"/>
      <c r="R6" s="748"/>
    </row>
    <row r="7" spans="1:18" s="399" customFormat="1" ht="27.75" customHeight="1" hidden="1">
      <c r="A7" s="912" t="s">
        <v>193</v>
      </c>
      <c r="B7" s="913"/>
      <c r="C7" s="913"/>
      <c r="D7" s="913"/>
      <c r="E7" s="913"/>
      <c r="F7" s="913"/>
      <c r="G7" s="913"/>
      <c r="H7" s="913"/>
      <c r="I7" s="913"/>
      <c r="J7" s="913"/>
      <c r="K7" s="913"/>
      <c r="L7" s="913"/>
      <c r="M7" s="913"/>
      <c r="N7" s="913"/>
      <c r="O7" s="913"/>
      <c r="P7" s="913"/>
      <c r="Q7" s="914"/>
      <c r="R7" s="748"/>
    </row>
    <row r="8" spans="1:18" s="399" customFormat="1" ht="27.75" customHeight="1" hidden="1">
      <c r="A8" s="912" t="s">
        <v>18</v>
      </c>
      <c r="B8" s="913"/>
      <c r="C8" s="913"/>
      <c r="D8" s="913"/>
      <c r="E8" s="913"/>
      <c r="F8" s="913"/>
      <c r="G8" s="913"/>
      <c r="H8" s="913"/>
      <c r="I8" s="913"/>
      <c r="J8" s="913"/>
      <c r="K8" s="913"/>
      <c r="L8" s="913"/>
      <c r="M8" s="913"/>
      <c r="N8" s="913"/>
      <c r="O8" s="913"/>
      <c r="P8" s="913"/>
      <c r="Q8" s="914"/>
      <c r="R8" s="748"/>
    </row>
    <row r="9" spans="1:18" s="468" customFormat="1" ht="24.75" customHeight="1" hidden="1">
      <c r="A9" s="610"/>
      <c r="B9" s="472"/>
      <c r="C9" s="472"/>
      <c r="D9" s="472"/>
      <c r="E9" s="472"/>
      <c r="F9" s="472"/>
      <c r="G9" s="472"/>
      <c r="H9" s="472"/>
      <c r="I9" s="472"/>
      <c r="J9" s="472"/>
      <c r="K9" s="472"/>
      <c r="L9" s="472"/>
      <c r="M9" s="472"/>
      <c r="N9" s="472"/>
      <c r="O9" s="472"/>
      <c r="P9" s="472"/>
      <c r="Q9" s="611"/>
      <c r="R9" s="582"/>
    </row>
    <row r="10" spans="1:18" ht="57" customHeight="1" hidden="1">
      <c r="A10" s="613"/>
      <c r="B10" s="583" t="s">
        <v>649</v>
      </c>
      <c r="C10" s="918"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D10" s="919"/>
      <c r="E10" s="919"/>
      <c r="F10" s="919"/>
      <c r="G10" s="919"/>
      <c r="H10" s="919"/>
      <c r="I10" s="919"/>
      <c r="J10" s="919"/>
      <c r="K10" s="919"/>
      <c r="L10" s="919"/>
      <c r="M10" s="919"/>
      <c r="N10" s="919"/>
      <c r="O10" s="919"/>
      <c r="P10" s="919"/>
      <c r="Q10" s="920"/>
      <c r="R10" s="474"/>
    </row>
    <row r="11" spans="1:18" s="468" customFormat="1" ht="24.75" customHeight="1" hidden="1" thickBot="1">
      <c r="A11" s="469"/>
      <c r="B11" s="470"/>
      <c r="C11" s="470"/>
      <c r="D11" s="470"/>
      <c r="E11" s="470"/>
      <c r="F11" s="470"/>
      <c r="G11" s="470"/>
      <c r="H11" s="470"/>
      <c r="I11" s="470"/>
      <c r="J11" s="470"/>
      <c r="K11" s="470"/>
      <c r="L11" s="470"/>
      <c r="M11" s="470"/>
      <c r="N11" s="470"/>
      <c r="O11" s="470"/>
      <c r="P11" s="470"/>
      <c r="Q11" s="471"/>
      <c r="R11" s="472"/>
    </row>
    <row r="12" spans="1:18" ht="41.25" customHeight="1" thickBot="1" thickTop="1">
      <c r="A12" s="915" t="s">
        <v>376</v>
      </c>
      <c r="B12" s="916"/>
      <c r="C12" s="916"/>
      <c r="D12" s="916"/>
      <c r="E12" s="916"/>
      <c r="F12" s="916"/>
      <c r="G12" s="916"/>
      <c r="H12" s="916"/>
      <c r="I12" s="916"/>
      <c r="J12" s="916"/>
      <c r="K12" s="916"/>
      <c r="L12" s="916"/>
      <c r="M12" s="916"/>
      <c r="N12" s="916"/>
      <c r="O12" s="916"/>
      <c r="P12" s="916"/>
      <c r="Q12" s="917"/>
      <c r="R12" s="473"/>
    </row>
    <row r="13" spans="1:18" ht="27" customHeight="1" thickBot="1" thickTop="1">
      <c r="A13" s="906"/>
      <c r="B13" s="907"/>
      <c r="C13" s="907"/>
      <c r="D13" s="907"/>
      <c r="E13" s="907"/>
      <c r="F13" s="907"/>
      <c r="G13" s="907"/>
      <c r="H13" s="907"/>
      <c r="I13" s="907"/>
      <c r="J13" s="907"/>
      <c r="K13" s="907"/>
      <c r="L13" s="907"/>
      <c r="M13" s="907"/>
      <c r="N13" s="907"/>
      <c r="O13" s="907"/>
      <c r="P13" s="907"/>
      <c r="Q13" s="908"/>
      <c r="R13" s="474"/>
    </row>
    <row r="14" spans="1:18" s="476" customFormat="1" ht="45" customHeight="1" thickBot="1">
      <c r="A14" s="881" t="s">
        <v>366</v>
      </c>
      <c r="B14" s="882"/>
      <c r="C14" s="882"/>
      <c r="D14" s="882"/>
      <c r="E14" s="882"/>
      <c r="F14" s="882"/>
      <c r="G14" s="882"/>
      <c r="H14" s="882"/>
      <c r="I14" s="882"/>
      <c r="J14" s="882"/>
      <c r="K14" s="882"/>
      <c r="L14" s="882"/>
      <c r="M14" s="882"/>
      <c r="N14" s="882"/>
      <c r="O14" s="882"/>
      <c r="P14" s="882"/>
      <c r="Q14" s="883"/>
      <c r="R14" s="475"/>
    </row>
    <row r="15" spans="1:18" s="476" customFormat="1" ht="45" customHeight="1">
      <c r="A15" s="888" t="s">
        <v>6</v>
      </c>
      <c r="B15" s="891" t="s">
        <v>370</v>
      </c>
      <c r="C15" s="878" t="s">
        <v>354</v>
      </c>
      <c r="D15" s="878"/>
      <c r="E15" s="878"/>
      <c r="F15" s="884" t="s">
        <v>531</v>
      </c>
      <c r="G15" s="884"/>
      <c r="H15" s="884"/>
      <c r="I15" s="884" t="s">
        <v>532</v>
      </c>
      <c r="J15" s="897" t="s">
        <v>535</v>
      </c>
      <c r="K15" s="884" t="s">
        <v>362</v>
      </c>
      <c r="L15" s="884" t="s">
        <v>364</v>
      </c>
      <c r="M15" s="871" t="s">
        <v>363</v>
      </c>
      <c r="N15" s="874" t="s">
        <v>533</v>
      </c>
      <c r="O15" s="874" t="s">
        <v>600</v>
      </c>
      <c r="P15" s="874" t="s">
        <v>534</v>
      </c>
      <c r="Q15" s="876" t="s">
        <v>365</v>
      </c>
      <c r="R15" s="475"/>
    </row>
    <row r="16" spans="1:28" s="476" customFormat="1" ht="45" customHeight="1">
      <c r="A16" s="889"/>
      <c r="B16" s="892"/>
      <c r="C16" s="879"/>
      <c r="D16" s="879"/>
      <c r="E16" s="879"/>
      <c r="F16" s="885"/>
      <c r="G16" s="885"/>
      <c r="H16" s="885"/>
      <c r="I16" s="885"/>
      <c r="J16" s="898"/>
      <c r="K16" s="885"/>
      <c r="L16" s="885"/>
      <c r="M16" s="872"/>
      <c r="N16" s="875"/>
      <c r="O16" s="875"/>
      <c r="P16" s="880"/>
      <c r="Q16" s="877"/>
      <c r="R16" s="475"/>
      <c r="S16" s="477"/>
      <c r="T16" s="477"/>
      <c r="U16" s="477"/>
      <c r="V16" s="477"/>
      <c r="W16" s="477"/>
      <c r="X16" s="477"/>
      <c r="Y16" s="478"/>
      <c r="Z16" s="478"/>
      <c r="AA16" s="478"/>
      <c r="AB16" s="478"/>
    </row>
    <row r="17" spans="1:28" s="476" customFormat="1" ht="45" customHeight="1">
      <c r="A17" s="889"/>
      <c r="B17" s="892"/>
      <c r="C17" s="479" t="s">
        <v>153</v>
      </c>
      <c r="D17" s="480" t="s">
        <v>377</v>
      </c>
      <c r="E17" s="479" t="s">
        <v>361</v>
      </c>
      <c r="F17" s="479" t="s">
        <v>355</v>
      </c>
      <c r="G17" s="479" t="s">
        <v>360</v>
      </c>
      <c r="H17" s="479" t="s">
        <v>23</v>
      </c>
      <c r="I17" s="885"/>
      <c r="J17" s="898"/>
      <c r="K17" s="885"/>
      <c r="L17" s="885"/>
      <c r="M17" s="873"/>
      <c r="N17" s="479" t="s">
        <v>23</v>
      </c>
      <c r="O17" s="479" t="s">
        <v>23</v>
      </c>
      <c r="P17" s="875"/>
      <c r="Q17" s="877"/>
      <c r="R17" s="475"/>
      <c r="S17" s="481"/>
      <c r="T17" s="481"/>
      <c r="U17" s="477"/>
      <c r="V17" s="477"/>
      <c r="W17" s="477"/>
      <c r="X17" s="477"/>
      <c r="Y17" s="481"/>
      <c r="Z17" s="478"/>
      <c r="AA17" s="478"/>
      <c r="AB17" s="478"/>
    </row>
    <row r="18" spans="1:29" s="476" customFormat="1" ht="60" customHeight="1">
      <c r="A18" s="889"/>
      <c r="B18" s="892"/>
      <c r="C18" s="753"/>
      <c r="D18" s="753"/>
      <c r="E18" s="753" t="s">
        <v>54</v>
      </c>
      <c r="F18" s="753" t="s">
        <v>57</v>
      </c>
      <c r="G18" s="753" t="s">
        <v>15</v>
      </c>
      <c r="H18" s="753" t="s">
        <v>773</v>
      </c>
      <c r="I18" s="753" t="s">
        <v>778</v>
      </c>
      <c r="J18" s="751" t="s">
        <v>774</v>
      </c>
      <c r="K18" s="753" t="s">
        <v>775</v>
      </c>
      <c r="L18" s="753" t="s">
        <v>776</v>
      </c>
      <c r="M18" s="753" t="s">
        <v>777</v>
      </c>
      <c r="N18" s="753" t="s">
        <v>779</v>
      </c>
      <c r="O18" s="753" t="s">
        <v>780</v>
      </c>
      <c r="P18" s="753" t="s">
        <v>781</v>
      </c>
      <c r="Q18" s="750" t="s">
        <v>782</v>
      </c>
      <c r="R18" s="475"/>
      <c r="S18" s="894" t="s">
        <v>539</v>
      </c>
      <c r="T18" s="895"/>
      <c r="U18" s="895"/>
      <c r="V18" s="895"/>
      <c r="W18" s="895"/>
      <c r="X18" s="895"/>
      <c r="Y18" s="895"/>
      <c r="Z18" s="895"/>
      <c r="AA18" s="895"/>
      <c r="AB18" s="895"/>
      <c r="AC18" s="896"/>
    </row>
    <row r="19" spans="1:29" s="476" customFormat="1" ht="60" customHeight="1" thickBot="1">
      <c r="A19" s="890"/>
      <c r="B19" s="893"/>
      <c r="C19" s="482" t="s">
        <v>359</v>
      </c>
      <c r="D19" s="482" t="s">
        <v>356</v>
      </c>
      <c r="E19" s="482" t="s">
        <v>356</v>
      </c>
      <c r="F19" s="482" t="s">
        <v>581</v>
      </c>
      <c r="G19" s="484" t="s">
        <v>783</v>
      </c>
      <c r="H19" s="482"/>
      <c r="I19" s="482"/>
      <c r="J19" s="483">
        <v>10</v>
      </c>
      <c r="K19" s="482"/>
      <c r="L19" s="482"/>
      <c r="M19" s="482"/>
      <c r="N19" s="482"/>
      <c r="O19" s="484"/>
      <c r="P19" s="484" t="s">
        <v>598</v>
      </c>
      <c r="Q19" s="614"/>
      <c r="R19" s="485"/>
      <c r="S19" s="480" t="s">
        <v>540</v>
      </c>
      <c r="T19" s="480" t="s">
        <v>541</v>
      </c>
      <c r="U19" s="480" t="s">
        <v>542</v>
      </c>
      <c r="V19" s="480" t="s">
        <v>543</v>
      </c>
      <c r="W19" s="480" t="s">
        <v>544</v>
      </c>
      <c r="X19" s="480" t="s">
        <v>371</v>
      </c>
      <c r="Y19" s="479" t="s">
        <v>533</v>
      </c>
      <c r="Z19" s="479" t="s">
        <v>600</v>
      </c>
      <c r="AA19" s="479" t="s">
        <v>534</v>
      </c>
      <c r="AB19" s="479" t="s">
        <v>365</v>
      </c>
      <c r="AC19" s="486" t="s">
        <v>23</v>
      </c>
    </row>
    <row r="20" spans="1:29" s="476" customFormat="1" ht="45" customHeight="1">
      <c r="A20" s="487">
        <f>DADOS!A12</f>
        <v>1</v>
      </c>
      <c r="B20" s="488" t="str">
        <f>DADOS!B12</f>
        <v>R. CANARINHO</v>
      </c>
      <c r="C20" s="489">
        <v>5</v>
      </c>
      <c r="D20" s="490">
        <v>5</v>
      </c>
      <c r="E20" s="489">
        <f>C20*D20</f>
        <v>25</v>
      </c>
      <c r="F20" s="491">
        <f>0.48+0.5</f>
        <v>0.98</v>
      </c>
      <c r="G20" s="491">
        <f>0.48+0.6</f>
        <v>1.08</v>
      </c>
      <c r="H20" s="491">
        <f>E20*F20*G20</f>
        <v>26.46</v>
      </c>
      <c r="I20" s="492">
        <f>M20</f>
        <v>3.14</v>
      </c>
      <c r="J20" s="493">
        <f>I20*1.25*$J$19</f>
        <v>39.25</v>
      </c>
      <c r="K20" s="491">
        <f aca="true" t="shared" si="0" ref="K20:K39">E20*F20</f>
        <v>24.5</v>
      </c>
      <c r="L20" s="492">
        <f>K20</f>
        <v>24.5</v>
      </c>
      <c r="M20" s="491">
        <f aca="true" t="shared" si="1" ref="M20:M39">(3.14*0.2^2)*E20</f>
        <v>3.14</v>
      </c>
      <c r="N20" s="491">
        <f>(H20-M20)*70%</f>
        <v>16.32</v>
      </c>
      <c r="O20" s="491">
        <f>(H20-M20)*30%</f>
        <v>7</v>
      </c>
      <c r="P20" s="491">
        <v>0</v>
      </c>
      <c r="Q20" s="615">
        <f aca="true" t="shared" si="2" ref="Q20:Q39">E20</f>
        <v>25</v>
      </c>
      <c r="R20" s="494"/>
      <c r="S20" s="495">
        <f>'ORÇAMENTO GERAL'!$J$35</f>
        <v>219.09</v>
      </c>
      <c r="T20" s="495">
        <f>'ORÇAMENTO GERAL'!$J$36</f>
        <v>14.71</v>
      </c>
      <c r="U20" s="495">
        <f>'ORÇAMENTO GERAL'!$J$37</f>
        <v>7.69</v>
      </c>
      <c r="V20" s="495">
        <f>'ORÇAMENTO GERAL'!$J$38</f>
        <v>3.33</v>
      </c>
      <c r="W20" s="495">
        <f>'ORÇAMENTO GERAL'!$J$39</f>
        <v>7.11</v>
      </c>
      <c r="X20" s="495">
        <f>'ORÇAMENTO GERAL'!$J$40</f>
        <v>52.17</v>
      </c>
      <c r="Y20" s="495">
        <f>'ORÇAMENTO GERAL'!$J$41</f>
        <v>175</v>
      </c>
      <c r="Z20" s="495">
        <f>'ORÇAMENTO GERAL'!$J$42</f>
        <v>23.11</v>
      </c>
      <c r="AA20" s="495">
        <f>'ORÇAMENTO GERAL'!$J$43</f>
        <v>50.91</v>
      </c>
      <c r="AB20" s="495">
        <f>'ORÇAMENTO GERAL'!$J$44</f>
        <v>78.67</v>
      </c>
      <c r="AC20" s="495">
        <f aca="true" t="shared" si="3" ref="AC20:AC39">(E20*S20)+(H20*T20)+(I20*U20)+(J20*V20)+(K20*W20)+(L20*X20)+(N20*Y20)+(O20*Z20)+(P20*AA20)+(Q20*AB20)</f>
        <v>12458.21</v>
      </c>
    </row>
    <row r="21" spans="1:29" s="476" customFormat="1" ht="45" customHeight="1">
      <c r="A21" s="487">
        <f>DADOS!A13</f>
        <v>2</v>
      </c>
      <c r="B21" s="488" t="str">
        <f>DADOS!B13</f>
        <v>R. SEM NOME 1</v>
      </c>
      <c r="C21" s="496">
        <v>9</v>
      </c>
      <c r="D21" s="497">
        <v>5</v>
      </c>
      <c r="E21" s="496">
        <f aca="true" t="shared" si="4" ref="E21:E39">C21*D21</f>
        <v>45</v>
      </c>
      <c r="F21" s="491">
        <f aca="true" t="shared" si="5" ref="F21:F39">0.48+0.5</f>
        <v>0.98</v>
      </c>
      <c r="G21" s="491">
        <f aca="true" t="shared" si="6" ref="G21:G39">0.48+0.6</f>
        <v>1.08</v>
      </c>
      <c r="H21" s="491">
        <f aca="true" t="shared" si="7" ref="H21:H39">E21*F21*G21</f>
        <v>47.63</v>
      </c>
      <c r="I21" s="492">
        <f aca="true" t="shared" si="8" ref="I21:I39">M21</f>
        <v>5.65</v>
      </c>
      <c r="J21" s="493">
        <f aca="true" t="shared" si="9" ref="J21:J39">I21*1.25*$J$19</f>
        <v>70.63</v>
      </c>
      <c r="K21" s="491">
        <f t="shared" si="0"/>
        <v>44.1</v>
      </c>
      <c r="L21" s="492">
        <f aca="true" t="shared" si="10" ref="L21:L39">K21</f>
        <v>44.1</v>
      </c>
      <c r="M21" s="491">
        <f t="shared" si="1"/>
        <v>5.65</v>
      </c>
      <c r="N21" s="491">
        <f aca="true" t="shared" si="11" ref="N21:N39">(H21-M21)*70%</f>
        <v>29.39</v>
      </c>
      <c r="O21" s="491">
        <f aca="true" t="shared" si="12" ref="O21:O39">(H21-M21)*30%</f>
        <v>12.59</v>
      </c>
      <c r="P21" s="491">
        <v>0</v>
      </c>
      <c r="Q21" s="615">
        <f t="shared" si="2"/>
        <v>45</v>
      </c>
      <c r="R21" s="494"/>
      <c r="S21" s="495">
        <f>'ORÇAMENTO GERAL'!$J$35</f>
        <v>219.09</v>
      </c>
      <c r="T21" s="495">
        <f>'ORÇAMENTO GERAL'!$J$36</f>
        <v>14.71</v>
      </c>
      <c r="U21" s="495">
        <f>'ORÇAMENTO GERAL'!$J$37</f>
        <v>7.69</v>
      </c>
      <c r="V21" s="495">
        <f>'ORÇAMENTO GERAL'!$J$38</f>
        <v>3.33</v>
      </c>
      <c r="W21" s="495">
        <f>'ORÇAMENTO GERAL'!$J$39</f>
        <v>7.11</v>
      </c>
      <c r="X21" s="495">
        <f>'ORÇAMENTO GERAL'!$J$40</f>
        <v>52.17</v>
      </c>
      <c r="Y21" s="495">
        <f>'ORÇAMENTO GERAL'!$J$41</f>
        <v>175</v>
      </c>
      <c r="Z21" s="495">
        <f>'ORÇAMENTO GERAL'!$J$42</f>
        <v>23.11</v>
      </c>
      <c r="AA21" s="495">
        <f>'ORÇAMENTO GERAL'!$J$43</f>
        <v>50.91</v>
      </c>
      <c r="AB21" s="495">
        <f>'ORÇAMENTO GERAL'!$J$44</f>
        <v>78.67</v>
      </c>
      <c r="AC21" s="495">
        <f t="shared" si="3"/>
        <v>22426.94</v>
      </c>
    </row>
    <row r="22" spans="1:29" s="476" customFormat="1" ht="45" customHeight="1">
      <c r="A22" s="487">
        <f>DADOS!A14</f>
        <v>3</v>
      </c>
      <c r="B22" s="488" t="str">
        <f>DADOS!B14</f>
        <v>EST. DO CURUÇAMBÁ</v>
      </c>
      <c r="C22" s="496"/>
      <c r="D22" s="497"/>
      <c r="E22" s="496">
        <f t="shared" si="4"/>
        <v>0</v>
      </c>
      <c r="F22" s="491">
        <f t="shared" si="5"/>
        <v>0.98</v>
      </c>
      <c r="G22" s="491">
        <f t="shared" si="6"/>
        <v>1.08</v>
      </c>
      <c r="H22" s="491">
        <f t="shared" si="7"/>
        <v>0</v>
      </c>
      <c r="I22" s="492">
        <f t="shared" si="8"/>
        <v>0</v>
      </c>
      <c r="J22" s="493">
        <f t="shared" si="9"/>
        <v>0</v>
      </c>
      <c r="K22" s="491">
        <f t="shared" si="0"/>
        <v>0</v>
      </c>
      <c r="L22" s="492">
        <f t="shared" si="10"/>
        <v>0</v>
      </c>
      <c r="M22" s="491">
        <f t="shared" si="1"/>
        <v>0</v>
      </c>
      <c r="N22" s="491">
        <f t="shared" si="11"/>
        <v>0</v>
      </c>
      <c r="O22" s="491">
        <f t="shared" si="12"/>
        <v>0</v>
      </c>
      <c r="P22" s="491">
        <v>0</v>
      </c>
      <c r="Q22" s="615">
        <f t="shared" si="2"/>
        <v>0</v>
      </c>
      <c r="R22" s="494"/>
      <c r="S22" s="495">
        <f>'ORÇAMENTO GERAL'!$J$35</f>
        <v>219.09</v>
      </c>
      <c r="T22" s="495">
        <f>'ORÇAMENTO GERAL'!$J$36</f>
        <v>14.71</v>
      </c>
      <c r="U22" s="495">
        <f>'ORÇAMENTO GERAL'!$J$37</f>
        <v>7.69</v>
      </c>
      <c r="V22" s="495">
        <f>'ORÇAMENTO GERAL'!$J$38</f>
        <v>3.33</v>
      </c>
      <c r="W22" s="495">
        <f>'ORÇAMENTO GERAL'!$J$39</f>
        <v>7.11</v>
      </c>
      <c r="X22" s="495">
        <f>'ORÇAMENTO GERAL'!$J$40</f>
        <v>52.17</v>
      </c>
      <c r="Y22" s="495">
        <f>'ORÇAMENTO GERAL'!$J$41</f>
        <v>175</v>
      </c>
      <c r="Z22" s="495">
        <f>'ORÇAMENTO GERAL'!$J$42</f>
        <v>23.11</v>
      </c>
      <c r="AA22" s="495">
        <f>'ORÇAMENTO GERAL'!$J$43</f>
        <v>50.91</v>
      </c>
      <c r="AB22" s="495">
        <f>'ORÇAMENTO GERAL'!$J$44</f>
        <v>78.67</v>
      </c>
      <c r="AC22" s="495">
        <f t="shared" si="3"/>
        <v>0</v>
      </c>
    </row>
    <row r="23" spans="1:29" s="476" customFormat="1" ht="45" customHeight="1">
      <c r="A23" s="487">
        <f>DADOS!A15</f>
        <v>4</v>
      </c>
      <c r="B23" s="488" t="str">
        <f>DADOS!B15</f>
        <v>PASS. SOL NASCENTE</v>
      </c>
      <c r="C23" s="496">
        <v>4</v>
      </c>
      <c r="D23" s="497">
        <v>5</v>
      </c>
      <c r="E23" s="496">
        <f t="shared" si="4"/>
        <v>20</v>
      </c>
      <c r="F23" s="491">
        <f t="shared" si="5"/>
        <v>0.98</v>
      </c>
      <c r="G23" s="491">
        <f t="shared" si="6"/>
        <v>1.08</v>
      </c>
      <c r="H23" s="491">
        <f t="shared" si="7"/>
        <v>21.17</v>
      </c>
      <c r="I23" s="492">
        <f t="shared" si="8"/>
        <v>2.51</v>
      </c>
      <c r="J23" s="493">
        <f t="shared" si="9"/>
        <v>31.38</v>
      </c>
      <c r="K23" s="491">
        <f t="shared" si="0"/>
        <v>19.6</v>
      </c>
      <c r="L23" s="492">
        <f t="shared" si="10"/>
        <v>19.6</v>
      </c>
      <c r="M23" s="491">
        <f t="shared" si="1"/>
        <v>2.51</v>
      </c>
      <c r="N23" s="491">
        <f t="shared" si="11"/>
        <v>13.06</v>
      </c>
      <c r="O23" s="491">
        <f t="shared" si="12"/>
        <v>5.6</v>
      </c>
      <c r="P23" s="491">
        <v>0</v>
      </c>
      <c r="Q23" s="615">
        <f t="shared" si="2"/>
        <v>20</v>
      </c>
      <c r="R23" s="494"/>
      <c r="S23" s="495">
        <f>'ORÇAMENTO GERAL'!$J$35</f>
        <v>219.09</v>
      </c>
      <c r="T23" s="495">
        <f>'ORÇAMENTO GERAL'!$J$36</f>
        <v>14.71</v>
      </c>
      <c r="U23" s="495">
        <f>'ORÇAMENTO GERAL'!$J$37</f>
        <v>7.69</v>
      </c>
      <c r="V23" s="495">
        <f>'ORÇAMENTO GERAL'!$J$38</f>
        <v>3.33</v>
      </c>
      <c r="W23" s="495">
        <f>'ORÇAMENTO GERAL'!$J$39</f>
        <v>7.11</v>
      </c>
      <c r="X23" s="495">
        <f>'ORÇAMENTO GERAL'!$J$40</f>
        <v>52.17</v>
      </c>
      <c r="Y23" s="495">
        <f>'ORÇAMENTO GERAL'!$J$41</f>
        <v>175</v>
      </c>
      <c r="Z23" s="495">
        <f>'ORÇAMENTO GERAL'!$J$42</f>
        <v>23.11</v>
      </c>
      <c r="AA23" s="495">
        <f>'ORÇAMENTO GERAL'!$J$43</f>
        <v>50.91</v>
      </c>
      <c r="AB23" s="495">
        <f>'ORÇAMENTO GERAL'!$J$44</f>
        <v>78.67</v>
      </c>
      <c r="AC23" s="495">
        <f t="shared" si="3"/>
        <v>9967.21</v>
      </c>
    </row>
    <row r="24" spans="1:29" s="476" customFormat="1" ht="45" customHeight="1" thickBot="1">
      <c r="A24" s="487">
        <f>DADOS!A16</f>
        <v>5</v>
      </c>
      <c r="B24" s="488" t="str">
        <f>DADOS!B16</f>
        <v>AL. NOVA ESPERANÇA</v>
      </c>
      <c r="C24" s="496">
        <v>9</v>
      </c>
      <c r="D24" s="497">
        <v>5</v>
      </c>
      <c r="E24" s="496">
        <f t="shared" si="4"/>
        <v>45</v>
      </c>
      <c r="F24" s="491">
        <f t="shared" si="5"/>
        <v>0.98</v>
      </c>
      <c r="G24" s="491">
        <f t="shared" si="6"/>
        <v>1.08</v>
      </c>
      <c r="H24" s="491">
        <f t="shared" si="7"/>
        <v>47.63</v>
      </c>
      <c r="I24" s="492">
        <f t="shared" si="8"/>
        <v>5.65</v>
      </c>
      <c r="J24" s="493">
        <f t="shared" si="9"/>
        <v>70.63</v>
      </c>
      <c r="K24" s="491">
        <f t="shared" si="0"/>
        <v>44.1</v>
      </c>
      <c r="L24" s="492">
        <f t="shared" si="10"/>
        <v>44.1</v>
      </c>
      <c r="M24" s="491">
        <f t="shared" si="1"/>
        <v>5.65</v>
      </c>
      <c r="N24" s="491">
        <f t="shared" si="11"/>
        <v>29.39</v>
      </c>
      <c r="O24" s="491">
        <f t="shared" si="12"/>
        <v>12.59</v>
      </c>
      <c r="P24" s="491">
        <v>0</v>
      </c>
      <c r="Q24" s="615">
        <f t="shared" si="2"/>
        <v>45</v>
      </c>
      <c r="R24" s="494"/>
      <c r="S24" s="495">
        <f>'ORÇAMENTO GERAL'!$J$35</f>
        <v>219.09</v>
      </c>
      <c r="T24" s="495">
        <f>'ORÇAMENTO GERAL'!$J$36</f>
        <v>14.71</v>
      </c>
      <c r="U24" s="495">
        <f>'ORÇAMENTO GERAL'!$J$37</f>
        <v>7.69</v>
      </c>
      <c r="V24" s="495">
        <f>'ORÇAMENTO GERAL'!$J$38</f>
        <v>3.33</v>
      </c>
      <c r="W24" s="495">
        <f>'ORÇAMENTO GERAL'!$J$39</f>
        <v>7.11</v>
      </c>
      <c r="X24" s="495">
        <f>'ORÇAMENTO GERAL'!$J$40</f>
        <v>52.17</v>
      </c>
      <c r="Y24" s="495">
        <f>'ORÇAMENTO GERAL'!$J$41</f>
        <v>175</v>
      </c>
      <c r="Z24" s="495">
        <f>'ORÇAMENTO GERAL'!$J$42</f>
        <v>23.11</v>
      </c>
      <c r="AA24" s="495">
        <f>'ORÇAMENTO GERAL'!$J$43</f>
        <v>50.91</v>
      </c>
      <c r="AB24" s="495">
        <f>'ORÇAMENTO GERAL'!$J$44</f>
        <v>78.67</v>
      </c>
      <c r="AC24" s="495">
        <f t="shared" si="3"/>
        <v>22426.94</v>
      </c>
    </row>
    <row r="25" spans="1:29" s="476" customFormat="1" ht="45" customHeight="1" hidden="1">
      <c r="A25" s="487">
        <f>DADOS!A17</f>
        <v>6</v>
      </c>
      <c r="B25" s="488">
        <f>DADOS!B17</f>
        <v>0</v>
      </c>
      <c r="C25" s="496"/>
      <c r="D25" s="497"/>
      <c r="E25" s="496">
        <f t="shared" si="4"/>
        <v>0</v>
      </c>
      <c r="F25" s="491">
        <f t="shared" si="5"/>
        <v>0.98</v>
      </c>
      <c r="G25" s="491">
        <f t="shared" si="6"/>
        <v>1.08</v>
      </c>
      <c r="H25" s="491">
        <f t="shared" si="7"/>
        <v>0</v>
      </c>
      <c r="I25" s="492">
        <f t="shared" si="8"/>
        <v>0</v>
      </c>
      <c r="J25" s="493">
        <f t="shared" si="9"/>
        <v>0</v>
      </c>
      <c r="K25" s="491">
        <f t="shared" si="0"/>
        <v>0</v>
      </c>
      <c r="L25" s="492">
        <f t="shared" si="10"/>
        <v>0</v>
      </c>
      <c r="M25" s="491">
        <f t="shared" si="1"/>
        <v>0</v>
      </c>
      <c r="N25" s="491">
        <f t="shared" si="11"/>
        <v>0</v>
      </c>
      <c r="O25" s="491">
        <f t="shared" si="12"/>
        <v>0</v>
      </c>
      <c r="P25" s="491">
        <v>0</v>
      </c>
      <c r="Q25" s="615">
        <f t="shared" si="2"/>
        <v>0</v>
      </c>
      <c r="R25" s="494"/>
      <c r="S25" s="495">
        <f>'ORÇAMENTO GERAL'!$J$35</f>
        <v>219.09</v>
      </c>
      <c r="T25" s="495">
        <f>'ORÇAMENTO GERAL'!$J$36</f>
        <v>14.71</v>
      </c>
      <c r="U25" s="495">
        <f>'ORÇAMENTO GERAL'!$J$37</f>
        <v>7.69</v>
      </c>
      <c r="V25" s="495">
        <f>'ORÇAMENTO GERAL'!$J$38</f>
        <v>3.33</v>
      </c>
      <c r="W25" s="495">
        <f>'ORÇAMENTO GERAL'!$J$39</f>
        <v>7.11</v>
      </c>
      <c r="X25" s="495">
        <f>'ORÇAMENTO GERAL'!$J$40</f>
        <v>52.17</v>
      </c>
      <c r="Y25" s="495">
        <f>'ORÇAMENTO GERAL'!$J$41</f>
        <v>175</v>
      </c>
      <c r="Z25" s="495">
        <f>'ORÇAMENTO GERAL'!$J$42</f>
        <v>23.11</v>
      </c>
      <c r="AA25" s="495">
        <f>'ORÇAMENTO GERAL'!$J$43</f>
        <v>50.91</v>
      </c>
      <c r="AB25" s="495">
        <f>'ORÇAMENTO GERAL'!$J$44</f>
        <v>78.67</v>
      </c>
      <c r="AC25" s="495">
        <f t="shared" si="3"/>
        <v>0</v>
      </c>
    </row>
    <row r="26" spans="1:29" s="476" customFormat="1" ht="45" customHeight="1" hidden="1">
      <c r="A26" s="487">
        <f>DADOS!A18</f>
        <v>7</v>
      </c>
      <c r="B26" s="488">
        <f>DADOS!B18</f>
        <v>0</v>
      </c>
      <c r="C26" s="496"/>
      <c r="D26" s="497"/>
      <c r="E26" s="496">
        <f t="shared" si="4"/>
        <v>0</v>
      </c>
      <c r="F26" s="491">
        <f t="shared" si="5"/>
        <v>0.98</v>
      </c>
      <c r="G26" s="491">
        <f t="shared" si="6"/>
        <v>1.08</v>
      </c>
      <c r="H26" s="491">
        <f t="shared" si="7"/>
        <v>0</v>
      </c>
      <c r="I26" s="492">
        <f t="shared" si="8"/>
        <v>0</v>
      </c>
      <c r="J26" s="493">
        <f t="shared" si="9"/>
        <v>0</v>
      </c>
      <c r="K26" s="491">
        <f t="shared" si="0"/>
        <v>0</v>
      </c>
      <c r="L26" s="492">
        <f t="shared" si="10"/>
        <v>0</v>
      </c>
      <c r="M26" s="491">
        <f t="shared" si="1"/>
        <v>0</v>
      </c>
      <c r="N26" s="491">
        <f t="shared" si="11"/>
        <v>0</v>
      </c>
      <c r="O26" s="491">
        <f t="shared" si="12"/>
        <v>0</v>
      </c>
      <c r="P26" s="491">
        <v>0</v>
      </c>
      <c r="Q26" s="615">
        <f t="shared" si="2"/>
        <v>0</v>
      </c>
      <c r="R26" s="494"/>
      <c r="S26" s="495">
        <f>'ORÇAMENTO GERAL'!$J$35</f>
        <v>219.09</v>
      </c>
      <c r="T26" s="495">
        <f>'ORÇAMENTO GERAL'!$J$36</f>
        <v>14.71</v>
      </c>
      <c r="U26" s="495">
        <f>'ORÇAMENTO GERAL'!$J$37</f>
        <v>7.69</v>
      </c>
      <c r="V26" s="495">
        <f>'ORÇAMENTO GERAL'!$J$38</f>
        <v>3.33</v>
      </c>
      <c r="W26" s="495">
        <f>'ORÇAMENTO GERAL'!$J$39</f>
        <v>7.11</v>
      </c>
      <c r="X26" s="495">
        <f>'ORÇAMENTO GERAL'!$J$40</f>
        <v>52.17</v>
      </c>
      <c r="Y26" s="495">
        <f>'ORÇAMENTO GERAL'!$J$41</f>
        <v>175</v>
      </c>
      <c r="Z26" s="495">
        <f>'ORÇAMENTO GERAL'!$J$42</f>
        <v>23.11</v>
      </c>
      <c r="AA26" s="495">
        <f>'ORÇAMENTO GERAL'!$J$43</f>
        <v>50.91</v>
      </c>
      <c r="AB26" s="495">
        <f>'ORÇAMENTO GERAL'!$J$44</f>
        <v>78.67</v>
      </c>
      <c r="AC26" s="495">
        <f t="shared" si="3"/>
        <v>0</v>
      </c>
    </row>
    <row r="27" spans="1:29" s="476" customFormat="1" ht="45" customHeight="1" hidden="1">
      <c r="A27" s="487">
        <f>DADOS!A19</f>
        <v>8</v>
      </c>
      <c r="B27" s="488">
        <f>DADOS!B19</f>
        <v>0</v>
      </c>
      <c r="C27" s="496"/>
      <c r="D27" s="497"/>
      <c r="E27" s="496">
        <f t="shared" si="4"/>
        <v>0</v>
      </c>
      <c r="F27" s="491">
        <f t="shared" si="5"/>
        <v>0.98</v>
      </c>
      <c r="G27" s="491">
        <f t="shared" si="6"/>
        <v>1.08</v>
      </c>
      <c r="H27" s="491">
        <f t="shared" si="7"/>
        <v>0</v>
      </c>
      <c r="I27" s="492">
        <f t="shared" si="8"/>
        <v>0</v>
      </c>
      <c r="J27" s="493">
        <f t="shared" si="9"/>
        <v>0</v>
      </c>
      <c r="K27" s="491">
        <f t="shared" si="0"/>
        <v>0</v>
      </c>
      <c r="L27" s="492">
        <f t="shared" si="10"/>
        <v>0</v>
      </c>
      <c r="M27" s="491">
        <f t="shared" si="1"/>
        <v>0</v>
      </c>
      <c r="N27" s="491">
        <f t="shared" si="11"/>
        <v>0</v>
      </c>
      <c r="O27" s="491">
        <f t="shared" si="12"/>
        <v>0</v>
      </c>
      <c r="P27" s="491">
        <v>0</v>
      </c>
      <c r="Q27" s="615">
        <f t="shared" si="2"/>
        <v>0</v>
      </c>
      <c r="R27" s="494"/>
      <c r="S27" s="495">
        <f>'ORÇAMENTO GERAL'!$J$35</f>
        <v>219.09</v>
      </c>
      <c r="T27" s="495">
        <f>'ORÇAMENTO GERAL'!$J$36</f>
        <v>14.71</v>
      </c>
      <c r="U27" s="495">
        <f>'ORÇAMENTO GERAL'!$J$37</f>
        <v>7.69</v>
      </c>
      <c r="V27" s="495">
        <f>'ORÇAMENTO GERAL'!$J$38</f>
        <v>3.33</v>
      </c>
      <c r="W27" s="495">
        <f>'ORÇAMENTO GERAL'!$J$39</f>
        <v>7.11</v>
      </c>
      <c r="X27" s="495">
        <f>'ORÇAMENTO GERAL'!$J$40</f>
        <v>52.17</v>
      </c>
      <c r="Y27" s="495">
        <f>'ORÇAMENTO GERAL'!$J$41</f>
        <v>175</v>
      </c>
      <c r="Z27" s="495">
        <f>'ORÇAMENTO GERAL'!$J$42</f>
        <v>23.11</v>
      </c>
      <c r="AA27" s="495">
        <f>'ORÇAMENTO GERAL'!$J$43</f>
        <v>50.91</v>
      </c>
      <c r="AB27" s="495">
        <f>'ORÇAMENTO GERAL'!$J$44</f>
        <v>78.67</v>
      </c>
      <c r="AC27" s="495">
        <f t="shared" si="3"/>
        <v>0</v>
      </c>
    </row>
    <row r="28" spans="1:29" s="476" customFormat="1" ht="45" customHeight="1" hidden="1">
      <c r="A28" s="487">
        <f>DADOS!A20</f>
        <v>9</v>
      </c>
      <c r="B28" s="488">
        <f>DADOS!B20</f>
        <v>0</v>
      </c>
      <c r="C28" s="496"/>
      <c r="D28" s="497"/>
      <c r="E28" s="496">
        <f t="shared" si="4"/>
        <v>0</v>
      </c>
      <c r="F28" s="491">
        <f t="shared" si="5"/>
        <v>0.98</v>
      </c>
      <c r="G28" s="491">
        <f t="shared" si="6"/>
        <v>1.08</v>
      </c>
      <c r="H28" s="491">
        <f t="shared" si="7"/>
        <v>0</v>
      </c>
      <c r="I28" s="492">
        <f t="shared" si="8"/>
        <v>0</v>
      </c>
      <c r="J28" s="493">
        <f t="shared" si="9"/>
        <v>0</v>
      </c>
      <c r="K28" s="491">
        <f t="shared" si="0"/>
        <v>0</v>
      </c>
      <c r="L28" s="492">
        <f t="shared" si="10"/>
        <v>0</v>
      </c>
      <c r="M28" s="491">
        <f t="shared" si="1"/>
        <v>0</v>
      </c>
      <c r="N28" s="491">
        <f t="shared" si="11"/>
        <v>0</v>
      </c>
      <c r="O28" s="491">
        <f t="shared" si="12"/>
        <v>0</v>
      </c>
      <c r="P28" s="491">
        <v>0</v>
      </c>
      <c r="Q28" s="615">
        <f t="shared" si="2"/>
        <v>0</v>
      </c>
      <c r="R28" s="494"/>
      <c r="S28" s="495">
        <f>'ORÇAMENTO GERAL'!$J$35</f>
        <v>219.09</v>
      </c>
      <c r="T28" s="495">
        <f>'ORÇAMENTO GERAL'!$J$36</f>
        <v>14.71</v>
      </c>
      <c r="U28" s="495">
        <f>'ORÇAMENTO GERAL'!$J$37</f>
        <v>7.69</v>
      </c>
      <c r="V28" s="495">
        <f>'ORÇAMENTO GERAL'!$J$38</f>
        <v>3.33</v>
      </c>
      <c r="W28" s="495">
        <f>'ORÇAMENTO GERAL'!$J$39</f>
        <v>7.11</v>
      </c>
      <c r="X28" s="495">
        <f>'ORÇAMENTO GERAL'!$J$40</f>
        <v>52.17</v>
      </c>
      <c r="Y28" s="495">
        <f>'ORÇAMENTO GERAL'!$J$41</f>
        <v>175</v>
      </c>
      <c r="Z28" s="495">
        <f>'ORÇAMENTO GERAL'!$J$42</f>
        <v>23.11</v>
      </c>
      <c r="AA28" s="495">
        <f>'ORÇAMENTO GERAL'!$J$43</f>
        <v>50.91</v>
      </c>
      <c r="AB28" s="495">
        <f>'ORÇAMENTO GERAL'!$J$44</f>
        <v>78.67</v>
      </c>
      <c r="AC28" s="495">
        <f t="shared" si="3"/>
        <v>0</v>
      </c>
    </row>
    <row r="29" spans="1:29" s="476" customFormat="1" ht="45" customHeight="1" hidden="1">
      <c r="A29" s="487">
        <f>DADOS!A21</f>
        <v>10</v>
      </c>
      <c r="B29" s="488">
        <f>DADOS!B21</f>
        <v>0</v>
      </c>
      <c r="C29" s="496"/>
      <c r="D29" s="497"/>
      <c r="E29" s="496">
        <f t="shared" si="4"/>
        <v>0</v>
      </c>
      <c r="F29" s="491">
        <f t="shared" si="5"/>
        <v>0.98</v>
      </c>
      <c r="G29" s="491">
        <f t="shared" si="6"/>
        <v>1.08</v>
      </c>
      <c r="H29" s="491">
        <f t="shared" si="7"/>
        <v>0</v>
      </c>
      <c r="I29" s="492">
        <f t="shared" si="8"/>
        <v>0</v>
      </c>
      <c r="J29" s="493">
        <f t="shared" si="9"/>
        <v>0</v>
      </c>
      <c r="K29" s="491">
        <f t="shared" si="0"/>
        <v>0</v>
      </c>
      <c r="L29" s="492">
        <f t="shared" si="10"/>
        <v>0</v>
      </c>
      <c r="M29" s="491">
        <f t="shared" si="1"/>
        <v>0</v>
      </c>
      <c r="N29" s="491">
        <f t="shared" si="11"/>
        <v>0</v>
      </c>
      <c r="O29" s="491">
        <f t="shared" si="12"/>
        <v>0</v>
      </c>
      <c r="P29" s="491">
        <v>0</v>
      </c>
      <c r="Q29" s="615">
        <f t="shared" si="2"/>
        <v>0</v>
      </c>
      <c r="R29" s="494"/>
      <c r="S29" s="495">
        <f>'ORÇAMENTO GERAL'!$J$35</f>
        <v>219.09</v>
      </c>
      <c r="T29" s="495">
        <f>'ORÇAMENTO GERAL'!$J$36</f>
        <v>14.71</v>
      </c>
      <c r="U29" s="495">
        <f>'ORÇAMENTO GERAL'!$J$37</f>
        <v>7.69</v>
      </c>
      <c r="V29" s="495">
        <f>'ORÇAMENTO GERAL'!$J$38</f>
        <v>3.33</v>
      </c>
      <c r="W29" s="495">
        <f>'ORÇAMENTO GERAL'!$J$39</f>
        <v>7.11</v>
      </c>
      <c r="X29" s="495">
        <f>'ORÇAMENTO GERAL'!$J$40</f>
        <v>52.17</v>
      </c>
      <c r="Y29" s="495">
        <f>'ORÇAMENTO GERAL'!$J$41</f>
        <v>175</v>
      </c>
      <c r="Z29" s="495">
        <f>'ORÇAMENTO GERAL'!$J$42</f>
        <v>23.11</v>
      </c>
      <c r="AA29" s="495">
        <f>'ORÇAMENTO GERAL'!$J$43</f>
        <v>50.91</v>
      </c>
      <c r="AB29" s="495">
        <f>'ORÇAMENTO GERAL'!$J$44</f>
        <v>78.67</v>
      </c>
      <c r="AC29" s="495">
        <f t="shared" si="3"/>
        <v>0</v>
      </c>
    </row>
    <row r="30" spans="1:29" s="476" customFormat="1" ht="45" customHeight="1" hidden="1">
      <c r="A30" s="487">
        <f>DADOS!A22</f>
        <v>11</v>
      </c>
      <c r="B30" s="488">
        <f>DADOS!B22</f>
        <v>0</v>
      </c>
      <c r="C30" s="496"/>
      <c r="D30" s="497"/>
      <c r="E30" s="496">
        <f t="shared" si="4"/>
        <v>0</v>
      </c>
      <c r="F30" s="491">
        <f t="shared" si="5"/>
        <v>0.98</v>
      </c>
      <c r="G30" s="491">
        <f t="shared" si="6"/>
        <v>1.08</v>
      </c>
      <c r="H30" s="491">
        <f t="shared" si="7"/>
        <v>0</v>
      </c>
      <c r="I30" s="492">
        <f t="shared" si="8"/>
        <v>0</v>
      </c>
      <c r="J30" s="493">
        <f t="shared" si="9"/>
        <v>0</v>
      </c>
      <c r="K30" s="491">
        <f t="shared" si="0"/>
        <v>0</v>
      </c>
      <c r="L30" s="492">
        <f t="shared" si="10"/>
        <v>0</v>
      </c>
      <c r="M30" s="491">
        <f t="shared" si="1"/>
        <v>0</v>
      </c>
      <c r="N30" s="491">
        <f t="shared" si="11"/>
        <v>0</v>
      </c>
      <c r="O30" s="491">
        <f t="shared" si="12"/>
        <v>0</v>
      </c>
      <c r="P30" s="491">
        <v>0</v>
      </c>
      <c r="Q30" s="615">
        <f t="shared" si="2"/>
        <v>0</v>
      </c>
      <c r="R30" s="494"/>
      <c r="S30" s="495">
        <f>'ORÇAMENTO GERAL'!$J$35</f>
        <v>219.09</v>
      </c>
      <c r="T30" s="495">
        <f>'ORÇAMENTO GERAL'!$J$36</f>
        <v>14.71</v>
      </c>
      <c r="U30" s="495">
        <f>'ORÇAMENTO GERAL'!$J$37</f>
        <v>7.69</v>
      </c>
      <c r="V30" s="495">
        <f>'ORÇAMENTO GERAL'!$J$38</f>
        <v>3.33</v>
      </c>
      <c r="W30" s="495">
        <f>'ORÇAMENTO GERAL'!$J$39</f>
        <v>7.11</v>
      </c>
      <c r="X30" s="495">
        <f>'ORÇAMENTO GERAL'!$J$40</f>
        <v>52.17</v>
      </c>
      <c r="Y30" s="495">
        <f>'ORÇAMENTO GERAL'!$J$41</f>
        <v>175</v>
      </c>
      <c r="Z30" s="495">
        <f>'ORÇAMENTO GERAL'!$J$42</f>
        <v>23.11</v>
      </c>
      <c r="AA30" s="495">
        <f>'ORÇAMENTO GERAL'!$J$43</f>
        <v>50.91</v>
      </c>
      <c r="AB30" s="495">
        <f>'ORÇAMENTO GERAL'!$J$44</f>
        <v>78.67</v>
      </c>
      <c r="AC30" s="495">
        <f t="shared" si="3"/>
        <v>0</v>
      </c>
    </row>
    <row r="31" spans="1:29" s="476" customFormat="1" ht="45" customHeight="1" hidden="1">
      <c r="A31" s="487">
        <f>DADOS!A23</f>
        <v>12</v>
      </c>
      <c r="B31" s="488">
        <f>DADOS!B23</f>
        <v>0</v>
      </c>
      <c r="C31" s="496"/>
      <c r="D31" s="497"/>
      <c r="E31" s="496">
        <f t="shared" si="4"/>
        <v>0</v>
      </c>
      <c r="F31" s="491">
        <f t="shared" si="5"/>
        <v>0.98</v>
      </c>
      <c r="G31" s="491">
        <f t="shared" si="6"/>
        <v>1.08</v>
      </c>
      <c r="H31" s="491">
        <f t="shared" si="7"/>
        <v>0</v>
      </c>
      <c r="I31" s="492">
        <f t="shared" si="8"/>
        <v>0</v>
      </c>
      <c r="J31" s="493">
        <f t="shared" si="9"/>
        <v>0</v>
      </c>
      <c r="K31" s="491">
        <f t="shared" si="0"/>
        <v>0</v>
      </c>
      <c r="L31" s="492">
        <f t="shared" si="10"/>
        <v>0</v>
      </c>
      <c r="M31" s="491">
        <f t="shared" si="1"/>
        <v>0</v>
      </c>
      <c r="N31" s="491">
        <f t="shared" si="11"/>
        <v>0</v>
      </c>
      <c r="O31" s="491">
        <f t="shared" si="12"/>
        <v>0</v>
      </c>
      <c r="P31" s="491">
        <v>0</v>
      </c>
      <c r="Q31" s="615">
        <f t="shared" si="2"/>
        <v>0</v>
      </c>
      <c r="R31" s="494"/>
      <c r="S31" s="495">
        <f>'ORÇAMENTO GERAL'!$J$35</f>
        <v>219.09</v>
      </c>
      <c r="T31" s="495">
        <f>'ORÇAMENTO GERAL'!$J$36</f>
        <v>14.71</v>
      </c>
      <c r="U31" s="495">
        <f>'ORÇAMENTO GERAL'!$J$37</f>
        <v>7.69</v>
      </c>
      <c r="V31" s="495">
        <f>'ORÇAMENTO GERAL'!$J$38</f>
        <v>3.33</v>
      </c>
      <c r="W31" s="495">
        <f>'ORÇAMENTO GERAL'!$J$39</f>
        <v>7.11</v>
      </c>
      <c r="X31" s="495">
        <f>'ORÇAMENTO GERAL'!$J$40</f>
        <v>52.17</v>
      </c>
      <c r="Y31" s="495">
        <f>'ORÇAMENTO GERAL'!$J$41</f>
        <v>175</v>
      </c>
      <c r="Z31" s="495">
        <f>'ORÇAMENTO GERAL'!$J$42</f>
        <v>23.11</v>
      </c>
      <c r="AA31" s="495">
        <f>'ORÇAMENTO GERAL'!$J$43</f>
        <v>50.91</v>
      </c>
      <c r="AB31" s="495">
        <f>'ORÇAMENTO GERAL'!$J$44</f>
        <v>78.67</v>
      </c>
      <c r="AC31" s="495">
        <f t="shared" si="3"/>
        <v>0</v>
      </c>
    </row>
    <row r="32" spans="1:29" s="476" customFormat="1" ht="45" customHeight="1" hidden="1">
      <c r="A32" s="487">
        <f>DADOS!A24</f>
        <v>13</v>
      </c>
      <c r="B32" s="488">
        <f>DADOS!B24</f>
        <v>0</v>
      </c>
      <c r="C32" s="496"/>
      <c r="D32" s="497"/>
      <c r="E32" s="496">
        <f t="shared" si="4"/>
        <v>0</v>
      </c>
      <c r="F32" s="491">
        <f t="shared" si="5"/>
        <v>0.98</v>
      </c>
      <c r="G32" s="491">
        <f t="shared" si="6"/>
        <v>1.08</v>
      </c>
      <c r="H32" s="491">
        <f t="shared" si="7"/>
        <v>0</v>
      </c>
      <c r="I32" s="492">
        <f t="shared" si="8"/>
        <v>0</v>
      </c>
      <c r="J32" s="493">
        <f t="shared" si="9"/>
        <v>0</v>
      </c>
      <c r="K32" s="491">
        <f t="shared" si="0"/>
        <v>0</v>
      </c>
      <c r="L32" s="492">
        <f t="shared" si="10"/>
        <v>0</v>
      </c>
      <c r="M32" s="491">
        <f t="shared" si="1"/>
        <v>0</v>
      </c>
      <c r="N32" s="491">
        <f t="shared" si="11"/>
        <v>0</v>
      </c>
      <c r="O32" s="491">
        <f t="shared" si="12"/>
        <v>0</v>
      </c>
      <c r="P32" s="491">
        <v>0</v>
      </c>
      <c r="Q32" s="615">
        <f t="shared" si="2"/>
        <v>0</v>
      </c>
      <c r="R32" s="494"/>
      <c r="S32" s="495">
        <f>'ORÇAMENTO GERAL'!$J$35</f>
        <v>219.09</v>
      </c>
      <c r="T32" s="495">
        <f>'ORÇAMENTO GERAL'!$J$36</f>
        <v>14.71</v>
      </c>
      <c r="U32" s="495">
        <f>'ORÇAMENTO GERAL'!$J$37</f>
        <v>7.69</v>
      </c>
      <c r="V32" s="495">
        <f>'ORÇAMENTO GERAL'!$J$38</f>
        <v>3.33</v>
      </c>
      <c r="W32" s="495">
        <f>'ORÇAMENTO GERAL'!$J$39</f>
        <v>7.11</v>
      </c>
      <c r="X32" s="495">
        <f>'ORÇAMENTO GERAL'!$J$40</f>
        <v>52.17</v>
      </c>
      <c r="Y32" s="495">
        <f>'ORÇAMENTO GERAL'!$J$41</f>
        <v>175</v>
      </c>
      <c r="Z32" s="495">
        <f>'ORÇAMENTO GERAL'!$J$42</f>
        <v>23.11</v>
      </c>
      <c r="AA32" s="495">
        <f>'ORÇAMENTO GERAL'!$J$43</f>
        <v>50.91</v>
      </c>
      <c r="AB32" s="495">
        <f>'ORÇAMENTO GERAL'!$J$44</f>
        <v>78.67</v>
      </c>
      <c r="AC32" s="495">
        <f t="shared" si="3"/>
        <v>0</v>
      </c>
    </row>
    <row r="33" spans="1:29" s="476" customFormat="1" ht="45" customHeight="1" hidden="1">
      <c r="A33" s="487">
        <f>DADOS!A25</f>
        <v>14</v>
      </c>
      <c r="B33" s="488">
        <f>DADOS!B25</f>
        <v>0</v>
      </c>
      <c r="C33" s="496"/>
      <c r="D33" s="497"/>
      <c r="E33" s="496">
        <f t="shared" si="4"/>
        <v>0</v>
      </c>
      <c r="F33" s="491">
        <f t="shared" si="5"/>
        <v>0.98</v>
      </c>
      <c r="G33" s="491">
        <f t="shared" si="6"/>
        <v>1.08</v>
      </c>
      <c r="H33" s="491">
        <f t="shared" si="7"/>
        <v>0</v>
      </c>
      <c r="I33" s="492">
        <f t="shared" si="8"/>
        <v>0</v>
      </c>
      <c r="J33" s="493">
        <f t="shared" si="9"/>
        <v>0</v>
      </c>
      <c r="K33" s="491">
        <f t="shared" si="0"/>
        <v>0</v>
      </c>
      <c r="L33" s="492">
        <f t="shared" si="10"/>
        <v>0</v>
      </c>
      <c r="M33" s="491">
        <f t="shared" si="1"/>
        <v>0</v>
      </c>
      <c r="N33" s="491">
        <f t="shared" si="11"/>
        <v>0</v>
      </c>
      <c r="O33" s="491">
        <f t="shared" si="12"/>
        <v>0</v>
      </c>
      <c r="P33" s="491">
        <v>0</v>
      </c>
      <c r="Q33" s="615">
        <f t="shared" si="2"/>
        <v>0</v>
      </c>
      <c r="R33" s="494"/>
      <c r="S33" s="495">
        <f>'ORÇAMENTO GERAL'!$J$35</f>
        <v>219.09</v>
      </c>
      <c r="T33" s="495">
        <f>'ORÇAMENTO GERAL'!$J$36</f>
        <v>14.71</v>
      </c>
      <c r="U33" s="495">
        <f>'ORÇAMENTO GERAL'!$J$37</f>
        <v>7.69</v>
      </c>
      <c r="V33" s="495">
        <f>'ORÇAMENTO GERAL'!$J$38</f>
        <v>3.33</v>
      </c>
      <c r="W33" s="495">
        <f>'ORÇAMENTO GERAL'!$J$39</f>
        <v>7.11</v>
      </c>
      <c r="X33" s="495">
        <f>'ORÇAMENTO GERAL'!$J$40</f>
        <v>52.17</v>
      </c>
      <c r="Y33" s="495">
        <f>'ORÇAMENTO GERAL'!$J$41</f>
        <v>175</v>
      </c>
      <c r="Z33" s="495">
        <f>'ORÇAMENTO GERAL'!$J$42</f>
        <v>23.11</v>
      </c>
      <c r="AA33" s="495">
        <f>'ORÇAMENTO GERAL'!$J$43</f>
        <v>50.91</v>
      </c>
      <c r="AB33" s="495">
        <f>'ORÇAMENTO GERAL'!$J$44</f>
        <v>78.67</v>
      </c>
      <c r="AC33" s="495">
        <f t="shared" si="3"/>
        <v>0</v>
      </c>
    </row>
    <row r="34" spans="1:29" s="476" customFormat="1" ht="45" customHeight="1" hidden="1">
      <c r="A34" s="487">
        <f>DADOS!A26</f>
        <v>15</v>
      </c>
      <c r="B34" s="488">
        <f>DADOS!B26</f>
        <v>0</v>
      </c>
      <c r="C34" s="496"/>
      <c r="D34" s="497"/>
      <c r="E34" s="496">
        <f t="shared" si="4"/>
        <v>0</v>
      </c>
      <c r="F34" s="491">
        <f t="shared" si="5"/>
        <v>0.98</v>
      </c>
      <c r="G34" s="491">
        <f t="shared" si="6"/>
        <v>1.08</v>
      </c>
      <c r="H34" s="491">
        <f t="shared" si="7"/>
        <v>0</v>
      </c>
      <c r="I34" s="492">
        <f t="shared" si="8"/>
        <v>0</v>
      </c>
      <c r="J34" s="493">
        <f t="shared" si="9"/>
        <v>0</v>
      </c>
      <c r="K34" s="491">
        <f t="shared" si="0"/>
        <v>0</v>
      </c>
      <c r="L34" s="492">
        <f t="shared" si="10"/>
        <v>0</v>
      </c>
      <c r="M34" s="491">
        <f t="shared" si="1"/>
        <v>0</v>
      </c>
      <c r="N34" s="491">
        <f t="shared" si="11"/>
        <v>0</v>
      </c>
      <c r="O34" s="491">
        <f t="shared" si="12"/>
        <v>0</v>
      </c>
      <c r="P34" s="491">
        <v>0</v>
      </c>
      <c r="Q34" s="615">
        <f t="shared" si="2"/>
        <v>0</v>
      </c>
      <c r="R34" s="494"/>
      <c r="S34" s="495">
        <f>'ORÇAMENTO GERAL'!$J$35</f>
        <v>219.09</v>
      </c>
      <c r="T34" s="495">
        <f>'ORÇAMENTO GERAL'!$J$36</f>
        <v>14.71</v>
      </c>
      <c r="U34" s="495">
        <f>'ORÇAMENTO GERAL'!$J$37</f>
        <v>7.69</v>
      </c>
      <c r="V34" s="495">
        <f>'ORÇAMENTO GERAL'!$J$38</f>
        <v>3.33</v>
      </c>
      <c r="W34" s="495">
        <f>'ORÇAMENTO GERAL'!$J$39</f>
        <v>7.11</v>
      </c>
      <c r="X34" s="495">
        <f>'ORÇAMENTO GERAL'!$J$40</f>
        <v>52.17</v>
      </c>
      <c r="Y34" s="495">
        <f>'ORÇAMENTO GERAL'!$J$41</f>
        <v>175</v>
      </c>
      <c r="Z34" s="495">
        <f>'ORÇAMENTO GERAL'!$J$42</f>
        <v>23.11</v>
      </c>
      <c r="AA34" s="495">
        <f>'ORÇAMENTO GERAL'!$J$43</f>
        <v>50.91</v>
      </c>
      <c r="AB34" s="495">
        <f>'ORÇAMENTO GERAL'!$J$44</f>
        <v>78.67</v>
      </c>
      <c r="AC34" s="495">
        <f t="shared" si="3"/>
        <v>0</v>
      </c>
    </row>
    <row r="35" spans="1:29" s="476" customFormat="1" ht="45" customHeight="1" hidden="1">
      <c r="A35" s="487">
        <f>DADOS!A27</f>
        <v>16</v>
      </c>
      <c r="B35" s="488">
        <f>DADOS!B27</f>
        <v>0</v>
      </c>
      <c r="C35" s="496"/>
      <c r="D35" s="497"/>
      <c r="E35" s="496">
        <f t="shared" si="4"/>
        <v>0</v>
      </c>
      <c r="F35" s="491">
        <f t="shared" si="5"/>
        <v>0.98</v>
      </c>
      <c r="G35" s="491">
        <f t="shared" si="6"/>
        <v>1.08</v>
      </c>
      <c r="H35" s="491">
        <f t="shared" si="7"/>
        <v>0</v>
      </c>
      <c r="I35" s="492">
        <f t="shared" si="8"/>
        <v>0</v>
      </c>
      <c r="J35" s="493">
        <f t="shared" si="9"/>
        <v>0</v>
      </c>
      <c r="K35" s="491">
        <f t="shared" si="0"/>
        <v>0</v>
      </c>
      <c r="L35" s="492">
        <f t="shared" si="10"/>
        <v>0</v>
      </c>
      <c r="M35" s="491">
        <f t="shared" si="1"/>
        <v>0</v>
      </c>
      <c r="N35" s="491">
        <f t="shared" si="11"/>
        <v>0</v>
      </c>
      <c r="O35" s="491">
        <f t="shared" si="12"/>
        <v>0</v>
      </c>
      <c r="P35" s="491">
        <v>0</v>
      </c>
      <c r="Q35" s="615">
        <f t="shared" si="2"/>
        <v>0</v>
      </c>
      <c r="R35" s="494"/>
      <c r="S35" s="495">
        <f>'ORÇAMENTO GERAL'!$J$35</f>
        <v>219.09</v>
      </c>
      <c r="T35" s="495">
        <f>'ORÇAMENTO GERAL'!$J$36</f>
        <v>14.71</v>
      </c>
      <c r="U35" s="495">
        <f>'ORÇAMENTO GERAL'!$J$37</f>
        <v>7.69</v>
      </c>
      <c r="V35" s="495">
        <f>'ORÇAMENTO GERAL'!$J$38</f>
        <v>3.33</v>
      </c>
      <c r="W35" s="495">
        <f>'ORÇAMENTO GERAL'!$J$39</f>
        <v>7.11</v>
      </c>
      <c r="X35" s="495">
        <f>'ORÇAMENTO GERAL'!$J$40</f>
        <v>52.17</v>
      </c>
      <c r="Y35" s="495">
        <f>'ORÇAMENTO GERAL'!$J$41</f>
        <v>175</v>
      </c>
      <c r="Z35" s="495">
        <f>'ORÇAMENTO GERAL'!$J$42</f>
        <v>23.11</v>
      </c>
      <c r="AA35" s="495">
        <f>'ORÇAMENTO GERAL'!$J$43</f>
        <v>50.91</v>
      </c>
      <c r="AB35" s="495">
        <f>'ORÇAMENTO GERAL'!$J$44</f>
        <v>78.67</v>
      </c>
      <c r="AC35" s="495">
        <f t="shared" si="3"/>
        <v>0</v>
      </c>
    </row>
    <row r="36" spans="1:29" s="476" customFormat="1" ht="45" customHeight="1" hidden="1">
      <c r="A36" s="487">
        <f>DADOS!A28</f>
        <v>17</v>
      </c>
      <c r="B36" s="488">
        <f>DADOS!B28</f>
        <v>0</v>
      </c>
      <c r="C36" s="496"/>
      <c r="D36" s="497"/>
      <c r="E36" s="496">
        <f t="shared" si="4"/>
        <v>0</v>
      </c>
      <c r="F36" s="491">
        <f t="shared" si="5"/>
        <v>0.98</v>
      </c>
      <c r="G36" s="491">
        <f t="shared" si="6"/>
        <v>1.08</v>
      </c>
      <c r="H36" s="491">
        <f t="shared" si="7"/>
        <v>0</v>
      </c>
      <c r="I36" s="492">
        <f t="shared" si="8"/>
        <v>0</v>
      </c>
      <c r="J36" s="493">
        <f t="shared" si="9"/>
        <v>0</v>
      </c>
      <c r="K36" s="491">
        <f t="shared" si="0"/>
        <v>0</v>
      </c>
      <c r="L36" s="492">
        <f t="shared" si="10"/>
        <v>0</v>
      </c>
      <c r="M36" s="491">
        <f t="shared" si="1"/>
        <v>0</v>
      </c>
      <c r="N36" s="491">
        <f t="shared" si="11"/>
        <v>0</v>
      </c>
      <c r="O36" s="491">
        <f t="shared" si="12"/>
        <v>0</v>
      </c>
      <c r="P36" s="491">
        <v>0</v>
      </c>
      <c r="Q36" s="615">
        <f t="shared" si="2"/>
        <v>0</v>
      </c>
      <c r="R36" s="494"/>
      <c r="S36" s="495">
        <f>'ORÇAMENTO GERAL'!$J$35</f>
        <v>219.09</v>
      </c>
      <c r="T36" s="495">
        <f>'ORÇAMENTO GERAL'!$J$36</f>
        <v>14.71</v>
      </c>
      <c r="U36" s="495">
        <f>'ORÇAMENTO GERAL'!$J$37</f>
        <v>7.69</v>
      </c>
      <c r="V36" s="495">
        <f>'ORÇAMENTO GERAL'!$J$38</f>
        <v>3.33</v>
      </c>
      <c r="W36" s="495">
        <f>'ORÇAMENTO GERAL'!$J$39</f>
        <v>7.11</v>
      </c>
      <c r="X36" s="495">
        <f>'ORÇAMENTO GERAL'!$J$40</f>
        <v>52.17</v>
      </c>
      <c r="Y36" s="495">
        <f>'ORÇAMENTO GERAL'!$J$41</f>
        <v>175</v>
      </c>
      <c r="Z36" s="495">
        <f>'ORÇAMENTO GERAL'!$J$42</f>
        <v>23.11</v>
      </c>
      <c r="AA36" s="495">
        <f>'ORÇAMENTO GERAL'!$J$43</f>
        <v>50.91</v>
      </c>
      <c r="AB36" s="495">
        <f>'ORÇAMENTO GERAL'!$J$44</f>
        <v>78.67</v>
      </c>
      <c r="AC36" s="495">
        <f t="shared" si="3"/>
        <v>0</v>
      </c>
    </row>
    <row r="37" spans="1:29" s="476" customFormat="1" ht="45" customHeight="1" hidden="1">
      <c r="A37" s="487">
        <f>DADOS!A29</f>
        <v>18</v>
      </c>
      <c r="B37" s="488">
        <f>DADOS!B29</f>
        <v>0</v>
      </c>
      <c r="C37" s="496"/>
      <c r="D37" s="497"/>
      <c r="E37" s="496">
        <f t="shared" si="4"/>
        <v>0</v>
      </c>
      <c r="F37" s="491">
        <f t="shared" si="5"/>
        <v>0.98</v>
      </c>
      <c r="G37" s="491">
        <f t="shared" si="6"/>
        <v>1.08</v>
      </c>
      <c r="H37" s="491">
        <f t="shared" si="7"/>
        <v>0</v>
      </c>
      <c r="I37" s="492">
        <f t="shared" si="8"/>
        <v>0</v>
      </c>
      <c r="J37" s="493">
        <f t="shared" si="9"/>
        <v>0</v>
      </c>
      <c r="K37" s="491">
        <f t="shared" si="0"/>
        <v>0</v>
      </c>
      <c r="L37" s="492">
        <f t="shared" si="10"/>
        <v>0</v>
      </c>
      <c r="M37" s="491">
        <f t="shared" si="1"/>
        <v>0</v>
      </c>
      <c r="N37" s="491">
        <f t="shared" si="11"/>
        <v>0</v>
      </c>
      <c r="O37" s="491">
        <f t="shared" si="12"/>
        <v>0</v>
      </c>
      <c r="P37" s="491">
        <v>0</v>
      </c>
      <c r="Q37" s="615">
        <f t="shared" si="2"/>
        <v>0</v>
      </c>
      <c r="R37" s="494"/>
      <c r="S37" s="495">
        <f>'ORÇAMENTO GERAL'!$J$35</f>
        <v>219.09</v>
      </c>
      <c r="T37" s="495">
        <f>'ORÇAMENTO GERAL'!$J$36</f>
        <v>14.71</v>
      </c>
      <c r="U37" s="495">
        <f>'ORÇAMENTO GERAL'!$J$37</f>
        <v>7.69</v>
      </c>
      <c r="V37" s="495">
        <f>'ORÇAMENTO GERAL'!$J$38</f>
        <v>3.33</v>
      </c>
      <c r="W37" s="495">
        <f>'ORÇAMENTO GERAL'!$J$39</f>
        <v>7.11</v>
      </c>
      <c r="X37" s="495">
        <f>'ORÇAMENTO GERAL'!$J$40</f>
        <v>52.17</v>
      </c>
      <c r="Y37" s="495">
        <f>'ORÇAMENTO GERAL'!$J$41</f>
        <v>175</v>
      </c>
      <c r="Z37" s="495">
        <f>'ORÇAMENTO GERAL'!$J$42</f>
        <v>23.11</v>
      </c>
      <c r="AA37" s="495">
        <f>'ORÇAMENTO GERAL'!$J$43</f>
        <v>50.91</v>
      </c>
      <c r="AB37" s="495">
        <f>'ORÇAMENTO GERAL'!$J$44</f>
        <v>78.67</v>
      </c>
      <c r="AC37" s="495">
        <f t="shared" si="3"/>
        <v>0</v>
      </c>
    </row>
    <row r="38" spans="1:29" s="476" customFormat="1" ht="45" customHeight="1" hidden="1">
      <c r="A38" s="487">
        <f>DADOS!A30</f>
        <v>19</v>
      </c>
      <c r="B38" s="488">
        <f>DADOS!B30</f>
        <v>0</v>
      </c>
      <c r="C38" s="496"/>
      <c r="D38" s="497"/>
      <c r="E38" s="496">
        <f t="shared" si="4"/>
        <v>0</v>
      </c>
      <c r="F38" s="491">
        <f t="shared" si="5"/>
        <v>0.98</v>
      </c>
      <c r="G38" s="491">
        <f t="shared" si="6"/>
        <v>1.08</v>
      </c>
      <c r="H38" s="491">
        <f t="shared" si="7"/>
        <v>0</v>
      </c>
      <c r="I38" s="492">
        <f t="shared" si="8"/>
        <v>0</v>
      </c>
      <c r="J38" s="493">
        <f t="shared" si="9"/>
        <v>0</v>
      </c>
      <c r="K38" s="491">
        <f t="shared" si="0"/>
        <v>0</v>
      </c>
      <c r="L38" s="492">
        <f t="shared" si="10"/>
        <v>0</v>
      </c>
      <c r="M38" s="491">
        <f t="shared" si="1"/>
        <v>0</v>
      </c>
      <c r="N38" s="491">
        <f t="shared" si="11"/>
        <v>0</v>
      </c>
      <c r="O38" s="491">
        <f t="shared" si="12"/>
        <v>0</v>
      </c>
      <c r="P38" s="491">
        <v>0</v>
      </c>
      <c r="Q38" s="615">
        <f t="shared" si="2"/>
        <v>0</v>
      </c>
      <c r="R38" s="494"/>
      <c r="S38" s="495">
        <f>'ORÇAMENTO GERAL'!$J$35</f>
        <v>219.09</v>
      </c>
      <c r="T38" s="495">
        <f>'ORÇAMENTO GERAL'!$J$36</f>
        <v>14.71</v>
      </c>
      <c r="U38" s="495">
        <f>'ORÇAMENTO GERAL'!$J$37</f>
        <v>7.69</v>
      </c>
      <c r="V38" s="495">
        <f>'ORÇAMENTO GERAL'!$J$38</f>
        <v>3.33</v>
      </c>
      <c r="W38" s="495">
        <f>'ORÇAMENTO GERAL'!$J$39</f>
        <v>7.11</v>
      </c>
      <c r="X38" s="495">
        <f>'ORÇAMENTO GERAL'!$J$40</f>
        <v>52.17</v>
      </c>
      <c r="Y38" s="495">
        <f>'ORÇAMENTO GERAL'!$J$41</f>
        <v>175</v>
      </c>
      <c r="Z38" s="495">
        <f>'ORÇAMENTO GERAL'!$J$42</f>
        <v>23.11</v>
      </c>
      <c r="AA38" s="495">
        <f>'ORÇAMENTO GERAL'!$J$43</f>
        <v>50.91</v>
      </c>
      <c r="AB38" s="495">
        <f>'ORÇAMENTO GERAL'!$J$44</f>
        <v>78.67</v>
      </c>
      <c r="AC38" s="495">
        <f t="shared" si="3"/>
        <v>0</v>
      </c>
    </row>
    <row r="39" spans="1:29" s="476" customFormat="1" ht="45" customHeight="1" hidden="1" thickBot="1">
      <c r="A39" s="487">
        <f>DADOS!A31</f>
        <v>20</v>
      </c>
      <c r="B39" s="488">
        <f>DADOS!B31</f>
        <v>0</v>
      </c>
      <c r="C39" s="496"/>
      <c r="D39" s="497"/>
      <c r="E39" s="496">
        <f t="shared" si="4"/>
        <v>0</v>
      </c>
      <c r="F39" s="491">
        <f t="shared" si="5"/>
        <v>0.98</v>
      </c>
      <c r="G39" s="491">
        <f t="shared" si="6"/>
        <v>1.08</v>
      </c>
      <c r="H39" s="491">
        <f t="shared" si="7"/>
        <v>0</v>
      </c>
      <c r="I39" s="492">
        <f t="shared" si="8"/>
        <v>0</v>
      </c>
      <c r="J39" s="493">
        <f t="shared" si="9"/>
        <v>0</v>
      </c>
      <c r="K39" s="491">
        <f t="shared" si="0"/>
        <v>0</v>
      </c>
      <c r="L39" s="492">
        <f t="shared" si="10"/>
        <v>0</v>
      </c>
      <c r="M39" s="491">
        <f t="shared" si="1"/>
        <v>0</v>
      </c>
      <c r="N39" s="491">
        <f t="shared" si="11"/>
        <v>0</v>
      </c>
      <c r="O39" s="491">
        <f t="shared" si="12"/>
        <v>0</v>
      </c>
      <c r="P39" s="491">
        <v>0</v>
      </c>
      <c r="Q39" s="615">
        <f t="shared" si="2"/>
        <v>0</v>
      </c>
      <c r="R39" s="494"/>
      <c r="S39" s="495">
        <f>'ORÇAMENTO GERAL'!$J$35</f>
        <v>219.09</v>
      </c>
      <c r="T39" s="495">
        <f>'ORÇAMENTO GERAL'!$J$36</f>
        <v>14.71</v>
      </c>
      <c r="U39" s="495">
        <f>'ORÇAMENTO GERAL'!$J$37</f>
        <v>7.69</v>
      </c>
      <c r="V39" s="495">
        <f>'ORÇAMENTO GERAL'!$J$38</f>
        <v>3.33</v>
      </c>
      <c r="W39" s="495">
        <f>'ORÇAMENTO GERAL'!$J$39</f>
        <v>7.11</v>
      </c>
      <c r="X39" s="495">
        <f>'ORÇAMENTO GERAL'!$J$40</f>
        <v>52.17</v>
      </c>
      <c r="Y39" s="495">
        <f>'ORÇAMENTO GERAL'!$J$41</f>
        <v>175</v>
      </c>
      <c r="Z39" s="495">
        <f>'ORÇAMENTO GERAL'!$J$42</f>
        <v>23.11</v>
      </c>
      <c r="AA39" s="495">
        <f>'ORÇAMENTO GERAL'!$J$43</f>
        <v>50.91</v>
      </c>
      <c r="AB39" s="495">
        <f>'ORÇAMENTO GERAL'!$J$44</f>
        <v>78.67</v>
      </c>
      <c r="AC39" s="495">
        <f t="shared" si="3"/>
        <v>0</v>
      </c>
    </row>
    <row r="40" spans="1:18" s="476" customFormat="1" ht="45" customHeight="1" thickBot="1">
      <c r="A40" s="886" t="s">
        <v>23</v>
      </c>
      <c r="B40" s="887"/>
      <c r="C40" s="498"/>
      <c r="D40" s="498"/>
      <c r="E40" s="498">
        <f>SUM(E20:E39)</f>
        <v>135</v>
      </c>
      <c r="F40" s="498"/>
      <c r="G40" s="498"/>
      <c r="H40" s="498">
        <f>SUM(H20:H39)</f>
        <v>142.89</v>
      </c>
      <c r="I40" s="498">
        <f aca="true" t="shared" si="13" ref="I40:Q40">SUM(I20:I39)</f>
        <v>16.95</v>
      </c>
      <c r="J40" s="498">
        <f t="shared" si="13"/>
        <v>211.89</v>
      </c>
      <c r="K40" s="498">
        <f t="shared" si="13"/>
        <v>132.3</v>
      </c>
      <c r="L40" s="498">
        <f t="shared" si="13"/>
        <v>132.3</v>
      </c>
      <c r="M40" s="498">
        <f t="shared" si="13"/>
        <v>16.95</v>
      </c>
      <c r="N40" s="498">
        <f t="shared" si="13"/>
        <v>88.16</v>
      </c>
      <c r="O40" s="498">
        <f t="shared" si="13"/>
        <v>37.78</v>
      </c>
      <c r="P40" s="498">
        <f t="shared" si="13"/>
        <v>0</v>
      </c>
      <c r="Q40" s="498">
        <f t="shared" si="13"/>
        <v>135</v>
      </c>
      <c r="R40" s="499"/>
    </row>
    <row r="41" spans="1:18" s="503" customFormat="1" ht="45" customHeight="1" thickBot="1">
      <c r="A41" s="616"/>
      <c r="B41" s="501"/>
      <c r="C41" s="501"/>
      <c r="D41" s="501"/>
      <c r="E41" s="501"/>
      <c r="F41" s="502"/>
      <c r="G41" s="501"/>
      <c r="H41" s="501"/>
      <c r="I41" s="501"/>
      <c r="J41" s="617"/>
      <c r="K41" s="501"/>
      <c r="L41" s="501"/>
      <c r="M41" s="501"/>
      <c r="N41" s="501"/>
      <c r="O41" s="501"/>
      <c r="P41" s="501"/>
      <c r="Q41" s="618"/>
      <c r="R41" s="476"/>
    </row>
    <row r="42" spans="1:18" s="476" customFormat="1" ht="45" customHeight="1" thickBot="1">
      <c r="A42" s="881" t="s">
        <v>367</v>
      </c>
      <c r="B42" s="882"/>
      <c r="C42" s="882"/>
      <c r="D42" s="882"/>
      <c r="E42" s="882"/>
      <c r="F42" s="882"/>
      <c r="G42" s="882"/>
      <c r="H42" s="882"/>
      <c r="I42" s="882"/>
      <c r="J42" s="882"/>
      <c r="K42" s="882"/>
      <c r="L42" s="882"/>
      <c r="M42" s="882"/>
      <c r="N42" s="882"/>
      <c r="O42" s="882"/>
      <c r="P42" s="882"/>
      <c r="Q42" s="883"/>
      <c r="R42" s="475"/>
    </row>
    <row r="43" spans="1:18" s="476" customFormat="1" ht="45" customHeight="1">
      <c r="A43" s="888" t="s">
        <v>6</v>
      </c>
      <c r="B43" s="891" t="s">
        <v>370</v>
      </c>
      <c r="C43" s="878" t="s">
        <v>375</v>
      </c>
      <c r="D43" s="878"/>
      <c r="E43" s="878"/>
      <c r="F43" s="884" t="s">
        <v>531</v>
      </c>
      <c r="G43" s="884"/>
      <c r="H43" s="884"/>
      <c r="I43" s="884" t="s">
        <v>532</v>
      </c>
      <c r="J43" s="897" t="s">
        <v>535</v>
      </c>
      <c r="K43" s="884" t="s">
        <v>362</v>
      </c>
      <c r="L43" s="884" t="s">
        <v>364</v>
      </c>
      <c r="M43" s="871" t="s">
        <v>363</v>
      </c>
      <c r="N43" s="874" t="s">
        <v>533</v>
      </c>
      <c r="O43" s="874" t="s">
        <v>600</v>
      </c>
      <c r="P43" s="874" t="s">
        <v>534</v>
      </c>
      <c r="Q43" s="876" t="s">
        <v>365</v>
      </c>
      <c r="R43" s="475"/>
    </row>
    <row r="44" spans="1:18" s="476" customFormat="1" ht="45" customHeight="1">
      <c r="A44" s="889"/>
      <c r="B44" s="892"/>
      <c r="C44" s="879"/>
      <c r="D44" s="879"/>
      <c r="E44" s="879"/>
      <c r="F44" s="885"/>
      <c r="G44" s="885"/>
      <c r="H44" s="885"/>
      <c r="I44" s="885"/>
      <c r="J44" s="898"/>
      <c r="K44" s="885"/>
      <c r="L44" s="885"/>
      <c r="M44" s="872"/>
      <c r="N44" s="875"/>
      <c r="O44" s="875"/>
      <c r="P44" s="880"/>
      <c r="Q44" s="877"/>
      <c r="R44" s="475"/>
    </row>
    <row r="45" spans="1:18" s="476" customFormat="1" ht="45" customHeight="1">
      <c r="A45" s="889"/>
      <c r="B45" s="892"/>
      <c r="C45" s="479" t="s">
        <v>153</v>
      </c>
      <c r="D45" s="480" t="s">
        <v>377</v>
      </c>
      <c r="E45" s="479" t="s">
        <v>361</v>
      </c>
      <c r="F45" s="479" t="s">
        <v>355</v>
      </c>
      <c r="G45" s="479" t="s">
        <v>360</v>
      </c>
      <c r="H45" s="479" t="s">
        <v>23</v>
      </c>
      <c r="I45" s="885"/>
      <c r="J45" s="898"/>
      <c r="K45" s="885"/>
      <c r="L45" s="885"/>
      <c r="M45" s="873"/>
      <c r="N45" s="479" t="s">
        <v>23</v>
      </c>
      <c r="O45" s="479" t="s">
        <v>23</v>
      </c>
      <c r="P45" s="875"/>
      <c r="Q45" s="877"/>
      <c r="R45" s="475"/>
    </row>
    <row r="46" spans="1:29" s="476" customFormat="1" ht="60" customHeight="1">
      <c r="A46" s="889"/>
      <c r="B46" s="892"/>
      <c r="C46" s="753"/>
      <c r="D46" s="753"/>
      <c r="E46" s="753" t="s">
        <v>54</v>
      </c>
      <c r="F46" s="753" t="s">
        <v>57</v>
      </c>
      <c r="G46" s="753" t="s">
        <v>15</v>
      </c>
      <c r="H46" s="753" t="s">
        <v>773</v>
      </c>
      <c r="I46" s="753" t="s">
        <v>778</v>
      </c>
      <c r="J46" s="751" t="s">
        <v>774</v>
      </c>
      <c r="K46" s="753" t="s">
        <v>775</v>
      </c>
      <c r="L46" s="753" t="s">
        <v>776</v>
      </c>
      <c r="M46" s="753" t="s">
        <v>777</v>
      </c>
      <c r="N46" s="753" t="s">
        <v>779</v>
      </c>
      <c r="O46" s="753" t="s">
        <v>780</v>
      </c>
      <c r="P46" s="753" t="s">
        <v>781</v>
      </c>
      <c r="Q46" s="750" t="s">
        <v>782</v>
      </c>
      <c r="R46" s="475"/>
      <c r="S46" s="894" t="s">
        <v>545</v>
      </c>
      <c r="T46" s="895"/>
      <c r="U46" s="895"/>
      <c r="V46" s="895"/>
      <c r="W46" s="895"/>
      <c r="X46" s="895"/>
      <c r="Y46" s="895"/>
      <c r="Z46" s="895"/>
      <c r="AA46" s="895"/>
      <c r="AB46" s="895"/>
      <c r="AC46" s="896"/>
    </row>
    <row r="47" spans="1:29" s="476" customFormat="1" ht="60" customHeight="1" thickBot="1">
      <c r="A47" s="890"/>
      <c r="B47" s="893"/>
      <c r="C47" s="482" t="s">
        <v>359</v>
      </c>
      <c r="D47" s="482" t="s">
        <v>356</v>
      </c>
      <c r="E47" s="482" t="s">
        <v>356</v>
      </c>
      <c r="F47" s="482" t="s">
        <v>581</v>
      </c>
      <c r="G47" s="484" t="s">
        <v>783</v>
      </c>
      <c r="H47" s="482"/>
      <c r="I47" s="482"/>
      <c r="J47" s="483">
        <v>10</v>
      </c>
      <c r="K47" s="482"/>
      <c r="L47" s="482"/>
      <c r="M47" s="482"/>
      <c r="N47" s="482"/>
      <c r="O47" s="484"/>
      <c r="P47" s="484" t="s">
        <v>598</v>
      </c>
      <c r="Q47" s="614"/>
      <c r="R47" s="485"/>
      <c r="S47" s="480" t="s">
        <v>540</v>
      </c>
      <c r="T47" s="480" t="s">
        <v>541</v>
      </c>
      <c r="U47" s="480" t="s">
        <v>542</v>
      </c>
      <c r="V47" s="480" t="s">
        <v>543</v>
      </c>
      <c r="W47" s="480" t="s">
        <v>544</v>
      </c>
      <c r="X47" s="480" t="s">
        <v>371</v>
      </c>
      <c r="Y47" s="479" t="s">
        <v>533</v>
      </c>
      <c r="Z47" s="479" t="s">
        <v>600</v>
      </c>
      <c r="AA47" s="479" t="s">
        <v>534</v>
      </c>
      <c r="AB47" s="479" t="s">
        <v>365</v>
      </c>
      <c r="AC47" s="486" t="s">
        <v>23</v>
      </c>
    </row>
    <row r="48" spans="1:29" s="476" customFormat="1" ht="45" customHeight="1">
      <c r="A48" s="487">
        <f>DADOS!A12</f>
        <v>1</v>
      </c>
      <c r="B48" s="488" t="str">
        <f>DADOS!B12</f>
        <v>R. CANARINHO</v>
      </c>
      <c r="C48" s="489">
        <v>1</v>
      </c>
      <c r="D48" s="490">
        <f>62+62</f>
        <v>124</v>
      </c>
      <c r="E48" s="489">
        <f>C48*D48</f>
        <v>124</v>
      </c>
      <c r="F48" s="491">
        <f>0.72+0.5</f>
        <v>1.22</v>
      </c>
      <c r="G48" s="491">
        <f>((0.72+0.6)+((0.72+0.6)+(E48*0.5%)))/2</f>
        <v>1.63</v>
      </c>
      <c r="H48" s="491">
        <f aca="true" t="shared" si="14" ref="H48:H67">E48*F48*G48</f>
        <v>246.59</v>
      </c>
      <c r="I48" s="492">
        <f>M48</f>
        <v>35.04</v>
      </c>
      <c r="J48" s="493">
        <f>I48*1.25*$J$19</f>
        <v>438</v>
      </c>
      <c r="K48" s="491">
        <f aca="true" t="shared" si="15" ref="K48:K67">E48*F48</f>
        <v>151.28</v>
      </c>
      <c r="L48" s="492">
        <f>K48</f>
        <v>151.28</v>
      </c>
      <c r="M48" s="491">
        <f aca="true" t="shared" si="16" ref="M48:M67">(3.14*0.3^2)*E48</f>
        <v>35.04</v>
      </c>
      <c r="N48" s="491">
        <f>(H48-M48)*70%</f>
        <v>148.09</v>
      </c>
      <c r="O48" s="491">
        <f>(H48-M48)*30%</f>
        <v>63.47</v>
      </c>
      <c r="P48" s="491">
        <f>IF(G48&gt;1.5,D48*G48*2,)*0</f>
        <v>0</v>
      </c>
      <c r="Q48" s="615">
        <f aca="true" t="shared" si="17" ref="Q48:Q67">E48</f>
        <v>124</v>
      </c>
      <c r="R48" s="494"/>
      <c r="S48" s="504">
        <f>'ORÇAMENTO GERAL'!$J$45</f>
        <v>333.82</v>
      </c>
      <c r="T48" s="504">
        <f>'ORÇAMENTO GERAL'!$J$46</f>
        <v>14.71</v>
      </c>
      <c r="U48" s="504">
        <f>'ORÇAMENTO GERAL'!$J$47</f>
        <v>7.69</v>
      </c>
      <c r="V48" s="504">
        <f>'ORÇAMENTO GERAL'!$J$48</f>
        <v>3.33</v>
      </c>
      <c r="W48" s="504">
        <f>'ORÇAMENTO GERAL'!$J$49</f>
        <v>7.11</v>
      </c>
      <c r="X48" s="504">
        <f>'ORÇAMENTO GERAL'!$J$50</f>
        <v>52.17</v>
      </c>
      <c r="Y48" s="504">
        <f>'ORÇAMENTO GERAL'!$J$51</f>
        <v>175</v>
      </c>
      <c r="Z48" s="504">
        <f>'ORÇAMENTO GERAL'!$J$52</f>
        <v>23.11</v>
      </c>
      <c r="AA48" s="504">
        <f>'ORÇAMENTO GERAL'!$J$53</f>
        <v>50.91</v>
      </c>
      <c r="AB48" s="504">
        <f>'ORÇAMENTO GERAL'!$J$54</f>
        <v>114.64</v>
      </c>
      <c r="AC48" s="495">
        <f aca="true" t="shared" si="18" ref="AC48:AC67">(E48*S48)+(H48*T48)+(I48*U48)+(J48*V48)+(K48*W48)+(L48*X48)+(N48*Y48)+(O48*Z48)+(P48*AA48)+(Q48*AB48)</f>
        <v>97314.8</v>
      </c>
    </row>
    <row r="49" spans="1:29" s="476" customFormat="1" ht="45" customHeight="1">
      <c r="A49" s="487">
        <f>DADOS!A13</f>
        <v>2</v>
      </c>
      <c r="B49" s="488" t="str">
        <f>DADOS!B13</f>
        <v>R. SEM NOME 1</v>
      </c>
      <c r="C49" s="496">
        <v>1</v>
      </c>
      <c r="D49" s="492">
        <f>7+40+39+80+80</f>
        <v>246</v>
      </c>
      <c r="E49" s="491">
        <f>C49*D49</f>
        <v>246</v>
      </c>
      <c r="F49" s="491">
        <f aca="true" t="shared" si="19" ref="F49:F67">0.72+0.5</f>
        <v>1.22</v>
      </c>
      <c r="G49" s="491">
        <f aca="true" t="shared" si="20" ref="G49:G67">((0.72+0.6)+((0.72+0.6)+(E49*0.5%)))/2</f>
        <v>1.94</v>
      </c>
      <c r="H49" s="491">
        <f t="shared" si="14"/>
        <v>582.23</v>
      </c>
      <c r="I49" s="492">
        <f aca="true" t="shared" si="21" ref="I49:I67">M49</f>
        <v>69.52</v>
      </c>
      <c r="J49" s="493">
        <f aca="true" t="shared" si="22" ref="J49:J67">I49*1.25*$J$19</f>
        <v>869</v>
      </c>
      <c r="K49" s="491">
        <f t="shared" si="15"/>
        <v>300.12</v>
      </c>
      <c r="L49" s="492">
        <f aca="true" t="shared" si="23" ref="L49:L67">K49</f>
        <v>300.12</v>
      </c>
      <c r="M49" s="491">
        <f t="shared" si="16"/>
        <v>69.52</v>
      </c>
      <c r="N49" s="491">
        <f aca="true" t="shared" si="24" ref="N49:N67">(H49-M49)*70%</f>
        <v>358.9</v>
      </c>
      <c r="O49" s="491">
        <f aca="true" t="shared" si="25" ref="O49:O67">(H49-M49)*30%</f>
        <v>153.81</v>
      </c>
      <c r="P49" s="491">
        <f>IF(G49&gt;1.5,D49*G49*2,)*0</f>
        <v>0</v>
      </c>
      <c r="Q49" s="615">
        <f t="shared" si="17"/>
        <v>246</v>
      </c>
      <c r="R49" s="494"/>
      <c r="S49" s="504">
        <f>'ORÇAMENTO GERAL'!$J$45</f>
        <v>333.82</v>
      </c>
      <c r="T49" s="504">
        <f>'ORÇAMENTO GERAL'!$J$46</f>
        <v>14.71</v>
      </c>
      <c r="U49" s="504">
        <f>'ORÇAMENTO GERAL'!$J$47</f>
        <v>7.69</v>
      </c>
      <c r="V49" s="504">
        <f>'ORÇAMENTO GERAL'!$J$48</f>
        <v>3.33</v>
      </c>
      <c r="W49" s="504">
        <f>'ORÇAMENTO GERAL'!$J$49</f>
        <v>7.11</v>
      </c>
      <c r="X49" s="504">
        <f>'ORÇAMENTO GERAL'!$J$50</f>
        <v>52.17</v>
      </c>
      <c r="Y49" s="504">
        <f>'ORÇAMENTO GERAL'!$J$51</f>
        <v>175</v>
      </c>
      <c r="Z49" s="504">
        <f>'ORÇAMENTO GERAL'!$J$52</f>
        <v>23.11</v>
      </c>
      <c r="AA49" s="504">
        <f>'ORÇAMENTO GERAL'!$J$53</f>
        <v>50.91</v>
      </c>
      <c r="AB49" s="504">
        <f>'ORÇAMENTO GERAL'!$J$54</f>
        <v>114.64</v>
      </c>
      <c r="AC49" s="495">
        <f t="shared" si="18"/>
        <v>206467.3</v>
      </c>
    </row>
    <row r="50" spans="1:29" s="476" customFormat="1" ht="45" customHeight="1">
      <c r="A50" s="487">
        <f>DADOS!A14</f>
        <v>3</v>
      </c>
      <c r="B50" s="488" t="str">
        <f>DADOS!B14</f>
        <v>EST. DO CURUÇAMBÁ</v>
      </c>
      <c r="C50" s="496">
        <v>1</v>
      </c>
      <c r="D50" s="492">
        <f>20+10</f>
        <v>30</v>
      </c>
      <c r="E50" s="491">
        <f aca="true" t="shared" si="26" ref="E50:E67">C50*D50</f>
        <v>30</v>
      </c>
      <c r="F50" s="491">
        <f t="shared" si="19"/>
        <v>1.22</v>
      </c>
      <c r="G50" s="491">
        <f t="shared" si="20"/>
        <v>1.4</v>
      </c>
      <c r="H50" s="491">
        <f t="shared" si="14"/>
        <v>51.24</v>
      </c>
      <c r="I50" s="492">
        <f t="shared" si="21"/>
        <v>8.48</v>
      </c>
      <c r="J50" s="493">
        <f t="shared" si="22"/>
        <v>106</v>
      </c>
      <c r="K50" s="491">
        <f t="shared" si="15"/>
        <v>36.6</v>
      </c>
      <c r="L50" s="492">
        <f t="shared" si="23"/>
        <v>36.6</v>
      </c>
      <c r="M50" s="491">
        <f t="shared" si="16"/>
        <v>8.48</v>
      </c>
      <c r="N50" s="491">
        <f t="shared" si="24"/>
        <v>29.93</v>
      </c>
      <c r="O50" s="491">
        <f t="shared" si="25"/>
        <v>12.83</v>
      </c>
      <c r="P50" s="491">
        <f>IF(G50&gt;1.5,D50*G50*2,)*0</f>
        <v>0</v>
      </c>
      <c r="Q50" s="615">
        <f t="shared" si="17"/>
        <v>30</v>
      </c>
      <c r="R50" s="494"/>
      <c r="S50" s="504">
        <f>'ORÇAMENTO GERAL'!$J$45</f>
        <v>333.82</v>
      </c>
      <c r="T50" s="504">
        <f>'ORÇAMENTO GERAL'!$J$46</f>
        <v>14.71</v>
      </c>
      <c r="U50" s="504">
        <f>'ORÇAMENTO GERAL'!$J$47</f>
        <v>7.69</v>
      </c>
      <c r="V50" s="504">
        <f>'ORÇAMENTO GERAL'!$J$48</f>
        <v>3.33</v>
      </c>
      <c r="W50" s="504">
        <f>'ORÇAMENTO GERAL'!$J$49</f>
        <v>7.11</v>
      </c>
      <c r="X50" s="504">
        <f>'ORÇAMENTO GERAL'!$J$50</f>
        <v>52.17</v>
      </c>
      <c r="Y50" s="504">
        <f>'ORÇAMENTO GERAL'!$J$51</f>
        <v>175</v>
      </c>
      <c r="Z50" s="504">
        <f>'ORÇAMENTO GERAL'!$J$52</f>
        <v>23.11</v>
      </c>
      <c r="AA50" s="504">
        <f>'ORÇAMENTO GERAL'!$J$53</f>
        <v>50.91</v>
      </c>
      <c r="AB50" s="504">
        <f>'ORÇAMENTO GERAL'!$J$54</f>
        <v>114.64</v>
      </c>
      <c r="AC50" s="495">
        <f t="shared" si="18"/>
        <v>22329.63</v>
      </c>
    </row>
    <row r="51" spans="1:29" s="476" customFormat="1" ht="45" customHeight="1">
      <c r="A51" s="487">
        <f>DADOS!A15</f>
        <v>4</v>
      </c>
      <c r="B51" s="488" t="str">
        <f>DADOS!B15</f>
        <v>PASS. SOL NASCENTE</v>
      </c>
      <c r="C51" s="496">
        <v>1</v>
      </c>
      <c r="D51" s="492">
        <v>120</v>
      </c>
      <c r="E51" s="491">
        <f t="shared" si="26"/>
        <v>120</v>
      </c>
      <c r="F51" s="491">
        <f t="shared" si="19"/>
        <v>1.22</v>
      </c>
      <c r="G51" s="491">
        <f t="shared" si="20"/>
        <v>1.62</v>
      </c>
      <c r="H51" s="491">
        <f t="shared" si="14"/>
        <v>237.17</v>
      </c>
      <c r="I51" s="492">
        <f t="shared" si="21"/>
        <v>33.91</v>
      </c>
      <c r="J51" s="493">
        <f t="shared" si="22"/>
        <v>423.88</v>
      </c>
      <c r="K51" s="491">
        <f t="shared" si="15"/>
        <v>146.4</v>
      </c>
      <c r="L51" s="492">
        <f t="shared" si="23"/>
        <v>146.4</v>
      </c>
      <c r="M51" s="491">
        <f t="shared" si="16"/>
        <v>33.91</v>
      </c>
      <c r="N51" s="491">
        <f t="shared" si="24"/>
        <v>142.28</v>
      </c>
      <c r="O51" s="491">
        <f t="shared" si="25"/>
        <v>60.98</v>
      </c>
      <c r="P51" s="491">
        <f>IF(G51&gt;1.5,D51*G51*2,)*0</f>
        <v>0</v>
      </c>
      <c r="Q51" s="615">
        <f t="shared" si="17"/>
        <v>120</v>
      </c>
      <c r="R51" s="494"/>
      <c r="S51" s="504">
        <f>'ORÇAMENTO GERAL'!$J$45</f>
        <v>333.82</v>
      </c>
      <c r="T51" s="504">
        <f>'ORÇAMENTO GERAL'!$J$46</f>
        <v>14.71</v>
      </c>
      <c r="U51" s="504">
        <f>'ORÇAMENTO GERAL'!$J$47</f>
        <v>7.69</v>
      </c>
      <c r="V51" s="504">
        <f>'ORÇAMENTO GERAL'!$J$48</f>
        <v>3.33</v>
      </c>
      <c r="W51" s="504">
        <f>'ORÇAMENTO GERAL'!$J$49</f>
        <v>7.11</v>
      </c>
      <c r="X51" s="504">
        <f>'ORÇAMENTO GERAL'!$J$50</f>
        <v>52.17</v>
      </c>
      <c r="Y51" s="504">
        <f>'ORÇAMENTO GERAL'!$J$51</f>
        <v>175</v>
      </c>
      <c r="Z51" s="504">
        <f>'ORÇAMENTO GERAL'!$J$52</f>
        <v>23.11</v>
      </c>
      <c r="AA51" s="504">
        <f>'ORÇAMENTO GERAL'!$J$53</f>
        <v>50.91</v>
      </c>
      <c r="AB51" s="504">
        <f>'ORÇAMENTO GERAL'!$J$54</f>
        <v>114.64</v>
      </c>
      <c r="AC51" s="495">
        <f t="shared" si="18"/>
        <v>93963.1</v>
      </c>
    </row>
    <row r="52" spans="1:29" s="476" customFormat="1" ht="45" customHeight="1" thickBot="1">
      <c r="A52" s="487">
        <f>DADOS!A16</f>
        <v>5</v>
      </c>
      <c r="B52" s="488" t="str">
        <f>DADOS!B16</f>
        <v>AL. NOVA ESPERANÇA</v>
      </c>
      <c r="C52" s="496">
        <v>1</v>
      </c>
      <c r="D52" s="492">
        <v>155</v>
      </c>
      <c r="E52" s="491">
        <f t="shared" si="26"/>
        <v>155</v>
      </c>
      <c r="F52" s="491">
        <f t="shared" si="19"/>
        <v>1.22</v>
      </c>
      <c r="G52" s="491">
        <f t="shared" si="20"/>
        <v>1.71</v>
      </c>
      <c r="H52" s="491">
        <f t="shared" si="14"/>
        <v>323.36</v>
      </c>
      <c r="I52" s="492">
        <f t="shared" si="21"/>
        <v>43.8</v>
      </c>
      <c r="J52" s="493">
        <f t="shared" si="22"/>
        <v>547.5</v>
      </c>
      <c r="K52" s="491">
        <f t="shared" si="15"/>
        <v>189.1</v>
      </c>
      <c r="L52" s="492">
        <f t="shared" si="23"/>
        <v>189.1</v>
      </c>
      <c r="M52" s="491">
        <f t="shared" si="16"/>
        <v>43.8</v>
      </c>
      <c r="N52" s="491">
        <f t="shared" si="24"/>
        <v>195.69</v>
      </c>
      <c r="O52" s="491">
        <f t="shared" si="25"/>
        <v>83.87</v>
      </c>
      <c r="P52" s="491">
        <f>IF(G52&gt;1.5,D52*G52*2,)*0</f>
        <v>0</v>
      </c>
      <c r="Q52" s="615">
        <f t="shared" si="17"/>
        <v>155</v>
      </c>
      <c r="R52" s="494"/>
      <c r="S52" s="504">
        <f>'ORÇAMENTO GERAL'!$J$45</f>
        <v>333.82</v>
      </c>
      <c r="T52" s="504">
        <f>'ORÇAMENTO GERAL'!$J$46</f>
        <v>14.71</v>
      </c>
      <c r="U52" s="504">
        <f>'ORÇAMENTO GERAL'!$J$47</f>
        <v>7.69</v>
      </c>
      <c r="V52" s="504">
        <f>'ORÇAMENTO GERAL'!$J$48</f>
        <v>3.33</v>
      </c>
      <c r="W52" s="504">
        <f>'ORÇAMENTO GERAL'!$J$49</f>
        <v>7.11</v>
      </c>
      <c r="X52" s="504">
        <f>'ORÇAMENTO GERAL'!$J$50</f>
        <v>52.17</v>
      </c>
      <c r="Y52" s="504">
        <f>'ORÇAMENTO GERAL'!$J$51</f>
        <v>175</v>
      </c>
      <c r="Z52" s="504">
        <f>'ORÇAMENTO GERAL'!$J$52</f>
        <v>23.11</v>
      </c>
      <c r="AA52" s="504">
        <f>'ORÇAMENTO GERAL'!$J$53</f>
        <v>50.91</v>
      </c>
      <c r="AB52" s="504">
        <f>'ORÇAMENTO GERAL'!$J$54</f>
        <v>114.64</v>
      </c>
      <c r="AC52" s="495">
        <f t="shared" si="18"/>
        <v>123821.76</v>
      </c>
    </row>
    <row r="53" spans="1:29" s="476" customFormat="1" ht="45" customHeight="1" hidden="1">
      <c r="A53" s="487">
        <f>DADOS!A17</f>
        <v>6</v>
      </c>
      <c r="B53" s="488">
        <f>DADOS!B17</f>
        <v>0</v>
      </c>
      <c r="C53" s="496">
        <v>1</v>
      </c>
      <c r="D53" s="492"/>
      <c r="E53" s="491">
        <f t="shared" si="26"/>
        <v>0</v>
      </c>
      <c r="F53" s="491">
        <f t="shared" si="19"/>
        <v>1.22</v>
      </c>
      <c r="G53" s="491">
        <f t="shared" si="20"/>
        <v>1.32</v>
      </c>
      <c r="H53" s="491">
        <f t="shared" si="14"/>
        <v>0</v>
      </c>
      <c r="I53" s="492">
        <f t="shared" si="21"/>
        <v>0</v>
      </c>
      <c r="J53" s="493">
        <f t="shared" si="22"/>
        <v>0</v>
      </c>
      <c r="K53" s="491">
        <f t="shared" si="15"/>
        <v>0</v>
      </c>
      <c r="L53" s="492">
        <f t="shared" si="23"/>
        <v>0</v>
      </c>
      <c r="M53" s="491">
        <f t="shared" si="16"/>
        <v>0</v>
      </c>
      <c r="N53" s="491">
        <f t="shared" si="24"/>
        <v>0</v>
      </c>
      <c r="O53" s="491">
        <f t="shared" si="25"/>
        <v>0</v>
      </c>
      <c r="P53" s="491">
        <f aca="true" t="shared" si="27" ref="P53:P67">IF(G53&gt;1.5,D53*G53*2,)</f>
        <v>0</v>
      </c>
      <c r="Q53" s="615">
        <f t="shared" si="17"/>
        <v>0</v>
      </c>
      <c r="R53" s="494"/>
      <c r="S53" s="504">
        <f>'ORÇAMENTO GERAL'!$J$45</f>
        <v>333.82</v>
      </c>
      <c r="T53" s="504">
        <f>'ORÇAMENTO GERAL'!$J$46</f>
        <v>14.71</v>
      </c>
      <c r="U53" s="504">
        <f>'ORÇAMENTO GERAL'!$J$47</f>
        <v>7.69</v>
      </c>
      <c r="V53" s="504">
        <f>'ORÇAMENTO GERAL'!$J$48</f>
        <v>3.33</v>
      </c>
      <c r="W53" s="504">
        <f>'ORÇAMENTO GERAL'!$J$49</f>
        <v>7.11</v>
      </c>
      <c r="X53" s="504">
        <f>'ORÇAMENTO GERAL'!$J$50</f>
        <v>52.17</v>
      </c>
      <c r="Y53" s="504">
        <f>'ORÇAMENTO GERAL'!$J$51</f>
        <v>175</v>
      </c>
      <c r="Z53" s="504">
        <f>'ORÇAMENTO GERAL'!$J$52</f>
        <v>23.11</v>
      </c>
      <c r="AA53" s="504">
        <f>'ORÇAMENTO GERAL'!$J$53</f>
        <v>50.91</v>
      </c>
      <c r="AB53" s="504">
        <f>'ORÇAMENTO GERAL'!$J$54</f>
        <v>114.64</v>
      </c>
      <c r="AC53" s="495">
        <f t="shared" si="18"/>
        <v>0</v>
      </c>
    </row>
    <row r="54" spans="1:29" s="476" customFormat="1" ht="45" customHeight="1" hidden="1">
      <c r="A54" s="487">
        <f>DADOS!A18</f>
        <v>7</v>
      </c>
      <c r="B54" s="488">
        <f>DADOS!B18</f>
        <v>0</v>
      </c>
      <c r="C54" s="496">
        <v>1</v>
      </c>
      <c r="D54" s="492"/>
      <c r="E54" s="491">
        <f t="shared" si="26"/>
        <v>0</v>
      </c>
      <c r="F54" s="491">
        <f t="shared" si="19"/>
        <v>1.22</v>
      </c>
      <c r="G54" s="491">
        <f t="shared" si="20"/>
        <v>1.32</v>
      </c>
      <c r="H54" s="491">
        <f t="shared" si="14"/>
        <v>0</v>
      </c>
      <c r="I54" s="492">
        <f t="shared" si="21"/>
        <v>0</v>
      </c>
      <c r="J54" s="493">
        <f t="shared" si="22"/>
        <v>0</v>
      </c>
      <c r="K54" s="491">
        <f t="shared" si="15"/>
        <v>0</v>
      </c>
      <c r="L54" s="492">
        <f t="shared" si="23"/>
        <v>0</v>
      </c>
      <c r="M54" s="491">
        <f t="shared" si="16"/>
        <v>0</v>
      </c>
      <c r="N54" s="491">
        <f t="shared" si="24"/>
        <v>0</v>
      </c>
      <c r="O54" s="491">
        <f t="shared" si="25"/>
        <v>0</v>
      </c>
      <c r="P54" s="491">
        <f t="shared" si="27"/>
        <v>0</v>
      </c>
      <c r="Q54" s="615">
        <f t="shared" si="17"/>
        <v>0</v>
      </c>
      <c r="R54" s="494"/>
      <c r="S54" s="504">
        <f>'ORÇAMENTO GERAL'!$J$45</f>
        <v>333.82</v>
      </c>
      <c r="T54" s="504">
        <f>'ORÇAMENTO GERAL'!$J$46</f>
        <v>14.71</v>
      </c>
      <c r="U54" s="504">
        <f>'ORÇAMENTO GERAL'!$J$47</f>
        <v>7.69</v>
      </c>
      <c r="V54" s="504">
        <f>'ORÇAMENTO GERAL'!$J$48</f>
        <v>3.33</v>
      </c>
      <c r="W54" s="504">
        <f>'ORÇAMENTO GERAL'!$J$49</f>
        <v>7.11</v>
      </c>
      <c r="X54" s="504">
        <f>'ORÇAMENTO GERAL'!$J$50</f>
        <v>52.17</v>
      </c>
      <c r="Y54" s="504">
        <f>'ORÇAMENTO GERAL'!$J$51</f>
        <v>175</v>
      </c>
      <c r="Z54" s="504">
        <f>'ORÇAMENTO GERAL'!$J$52</f>
        <v>23.11</v>
      </c>
      <c r="AA54" s="504">
        <f>'ORÇAMENTO GERAL'!$J$53</f>
        <v>50.91</v>
      </c>
      <c r="AB54" s="504">
        <f>'ORÇAMENTO GERAL'!$J$54</f>
        <v>114.64</v>
      </c>
      <c r="AC54" s="495">
        <f t="shared" si="18"/>
        <v>0</v>
      </c>
    </row>
    <row r="55" spans="1:29" s="476" customFormat="1" ht="45" customHeight="1" hidden="1">
      <c r="A55" s="487">
        <f>DADOS!A19</f>
        <v>8</v>
      </c>
      <c r="B55" s="488">
        <f>DADOS!B19</f>
        <v>0</v>
      </c>
      <c r="C55" s="496">
        <v>1</v>
      </c>
      <c r="D55" s="492"/>
      <c r="E55" s="491">
        <f t="shared" si="26"/>
        <v>0</v>
      </c>
      <c r="F55" s="491">
        <f t="shared" si="19"/>
        <v>1.22</v>
      </c>
      <c r="G55" s="491">
        <f t="shared" si="20"/>
        <v>1.32</v>
      </c>
      <c r="H55" s="491">
        <f t="shared" si="14"/>
        <v>0</v>
      </c>
      <c r="I55" s="492">
        <f t="shared" si="21"/>
        <v>0</v>
      </c>
      <c r="J55" s="493">
        <f t="shared" si="22"/>
        <v>0</v>
      </c>
      <c r="K55" s="491">
        <f t="shared" si="15"/>
        <v>0</v>
      </c>
      <c r="L55" s="492">
        <f t="shared" si="23"/>
        <v>0</v>
      </c>
      <c r="M55" s="491">
        <f t="shared" si="16"/>
        <v>0</v>
      </c>
      <c r="N55" s="491">
        <f t="shared" si="24"/>
        <v>0</v>
      </c>
      <c r="O55" s="491">
        <f t="shared" si="25"/>
        <v>0</v>
      </c>
      <c r="P55" s="491">
        <f t="shared" si="27"/>
        <v>0</v>
      </c>
      <c r="Q55" s="615">
        <f t="shared" si="17"/>
        <v>0</v>
      </c>
      <c r="R55" s="494"/>
      <c r="S55" s="504">
        <f>'ORÇAMENTO GERAL'!$J$45</f>
        <v>333.82</v>
      </c>
      <c r="T55" s="504">
        <f>'ORÇAMENTO GERAL'!$J$46</f>
        <v>14.71</v>
      </c>
      <c r="U55" s="504">
        <f>'ORÇAMENTO GERAL'!$J$47</f>
        <v>7.69</v>
      </c>
      <c r="V55" s="504">
        <f>'ORÇAMENTO GERAL'!$J$48</f>
        <v>3.33</v>
      </c>
      <c r="W55" s="504">
        <f>'ORÇAMENTO GERAL'!$J$49</f>
        <v>7.11</v>
      </c>
      <c r="X55" s="504">
        <f>'ORÇAMENTO GERAL'!$J$50</f>
        <v>52.17</v>
      </c>
      <c r="Y55" s="504">
        <f>'ORÇAMENTO GERAL'!$J$51</f>
        <v>175</v>
      </c>
      <c r="Z55" s="504">
        <f>'ORÇAMENTO GERAL'!$J$52</f>
        <v>23.11</v>
      </c>
      <c r="AA55" s="504">
        <f>'ORÇAMENTO GERAL'!$J$53</f>
        <v>50.91</v>
      </c>
      <c r="AB55" s="504">
        <f>'ORÇAMENTO GERAL'!$J$54</f>
        <v>114.64</v>
      </c>
      <c r="AC55" s="495">
        <f t="shared" si="18"/>
        <v>0</v>
      </c>
    </row>
    <row r="56" spans="1:29" s="476" customFormat="1" ht="45" customHeight="1" hidden="1">
      <c r="A56" s="487">
        <f>DADOS!A20</f>
        <v>9</v>
      </c>
      <c r="B56" s="488">
        <f>DADOS!B20</f>
        <v>0</v>
      </c>
      <c r="C56" s="496">
        <v>1</v>
      </c>
      <c r="D56" s="492"/>
      <c r="E56" s="491">
        <f t="shared" si="26"/>
        <v>0</v>
      </c>
      <c r="F56" s="491">
        <f t="shared" si="19"/>
        <v>1.22</v>
      </c>
      <c r="G56" s="491">
        <f t="shared" si="20"/>
        <v>1.32</v>
      </c>
      <c r="H56" s="491">
        <f t="shared" si="14"/>
        <v>0</v>
      </c>
      <c r="I56" s="492">
        <f t="shared" si="21"/>
        <v>0</v>
      </c>
      <c r="J56" s="493">
        <f t="shared" si="22"/>
        <v>0</v>
      </c>
      <c r="K56" s="491">
        <f t="shared" si="15"/>
        <v>0</v>
      </c>
      <c r="L56" s="492">
        <f t="shared" si="23"/>
        <v>0</v>
      </c>
      <c r="M56" s="491">
        <f t="shared" si="16"/>
        <v>0</v>
      </c>
      <c r="N56" s="491">
        <f t="shared" si="24"/>
        <v>0</v>
      </c>
      <c r="O56" s="491">
        <f t="shared" si="25"/>
        <v>0</v>
      </c>
      <c r="P56" s="491">
        <f t="shared" si="27"/>
        <v>0</v>
      </c>
      <c r="Q56" s="615">
        <f t="shared" si="17"/>
        <v>0</v>
      </c>
      <c r="R56" s="494"/>
      <c r="S56" s="504">
        <f>'ORÇAMENTO GERAL'!$J$45</f>
        <v>333.82</v>
      </c>
      <c r="T56" s="504">
        <f>'ORÇAMENTO GERAL'!$J$46</f>
        <v>14.71</v>
      </c>
      <c r="U56" s="504">
        <f>'ORÇAMENTO GERAL'!$J$47</f>
        <v>7.69</v>
      </c>
      <c r="V56" s="504">
        <f>'ORÇAMENTO GERAL'!$J$48</f>
        <v>3.33</v>
      </c>
      <c r="W56" s="504">
        <f>'ORÇAMENTO GERAL'!$J$49</f>
        <v>7.11</v>
      </c>
      <c r="X56" s="504">
        <f>'ORÇAMENTO GERAL'!$J$50</f>
        <v>52.17</v>
      </c>
      <c r="Y56" s="504">
        <f>'ORÇAMENTO GERAL'!$J$51</f>
        <v>175</v>
      </c>
      <c r="Z56" s="504">
        <f>'ORÇAMENTO GERAL'!$J$52</f>
        <v>23.11</v>
      </c>
      <c r="AA56" s="504">
        <f>'ORÇAMENTO GERAL'!$J$53</f>
        <v>50.91</v>
      </c>
      <c r="AB56" s="504">
        <f>'ORÇAMENTO GERAL'!$J$54</f>
        <v>114.64</v>
      </c>
      <c r="AC56" s="495">
        <f t="shared" si="18"/>
        <v>0</v>
      </c>
    </row>
    <row r="57" spans="1:29" s="476" customFormat="1" ht="45" customHeight="1" hidden="1">
      <c r="A57" s="487">
        <f>DADOS!A21</f>
        <v>10</v>
      </c>
      <c r="B57" s="488">
        <f>DADOS!B21</f>
        <v>0</v>
      </c>
      <c r="C57" s="496">
        <v>1</v>
      </c>
      <c r="D57" s="492"/>
      <c r="E57" s="491">
        <f t="shared" si="26"/>
        <v>0</v>
      </c>
      <c r="F57" s="491">
        <f t="shared" si="19"/>
        <v>1.22</v>
      </c>
      <c r="G57" s="491">
        <f t="shared" si="20"/>
        <v>1.32</v>
      </c>
      <c r="H57" s="491">
        <f t="shared" si="14"/>
        <v>0</v>
      </c>
      <c r="I57" s="492">
        <f t="shared" si="21"/>
        <v>0</v>
      </c>
      <c r="J57" s="493">
        <f t="shared" si="22"/>
        <v>0</v>
      </c>
      <c r="K57" s="491">
        <f t="shared" si="15"/>
        <v>0</v>
      </c>
      <c r="L57" s="492">
        <f t="shared" si="23"/>
        <v>0</v>
      </c>
      <c r="M57" s="491">
        <f t="shared" si="16"/>
        <v>0</v>
      </c>
      <c r="N57" s="491">
        <f t="shared" si="24"/>
        <v>0</v>
      </c>
      <c r="O57" s="491">
        <f t="shared" si="25"/>
        <v>0</v>
      </c>
      <c r="P57" s="491">
        <f t="shared" si="27"/>
        <v>0</v>
      </c>
      <c r="Q57" s="615">
        <f t="shared" si="17"/>
        <v>0</v>
      </c>
      <c r="R57" s="494"/>
      <c r="S57" s="504">
        <f>'ORÇAMENTO GERAL'!$J$45</f>
        <v>333.82</v>
      </c>
      <c r="T57" s="504">
        <f>'ORÇAMENTO GERAL'!$J$46</f>
        <v>14.71</v>
      </c>
      <c r="U57" s="504">
        <f>'ORÇAMENTO GERAL'!$J$47</f>
        <v>7.69</v>
      </c>
      <c r="V57" s="504">
        <f>'ORÇAMENTO GERAL'!$J$48</f>
        <v>3.33</v>
      </c>
      <c r="W57" s="504">
        <f>'ORÇAMENTO GERAL'!$J$49</f>
        <v>7.11</v>
      </c>
      <c r="X57" s="504">
        <f>'ORÇAMENTO GERAL'!$J$50</f>
        <v>52.17</v>
      </c>
      <c r="Y57" s="504">
        <f>'ORÇAMENTO GERAL'!$J$51</f>
        <v>175</v>
      </c>
      <c r="Z57" s="504">
        <f>'ORÇAMENTO GERAL'!$J$52</f>
        <v>23.11</v>
      </c>
      <c r="AA57" s="504">
        <f>'ORÇAMENTO GERAL'!$J$53</f>
        <v>50.91</v>
      </c>
      <c r="AB57" s="504">
        <f>'ORÇAMENTO GERAL'!$J$54</f>
        <v>114.64</v>
      </c>
      <c r="AC57" s="495">
        <f t="shared" si="18"/>
        <v>0</v>
      </c>
    </row>
    <row r="58" spans="1:29" s="476" customFormat="1" ht="45" customHeight="1" hidden="1">
      <c r="A58" s="487">
        <f>DADOS!A22</f>
        <v>11</v>
      </c>
      <c r="B58" s="488">
        <f>DADOS!B22</f>
        <v>0</v>
      </c>
      <c r="C58" s="496">
        <v>1</v>
      </c>
      <c r="D58" s="492"/>
      <c r="E58" s="491">
        <f t="shared" si="26"/>
        <v>0</v>
      </c>
      <c r="F58" s="491">
        <f t="shared" si="19"/>
        <v>1.22</v>
      </c>
      <c r="G58" s="491">
        <f t="shared" si="20"/>
        <v>1.32</v>
      </c>
      <c r="H58" s="491">
        <f t="shared" si="14"/>
        <v>0</v>
      </c>
      <c r="I58" s="492">
        <f t="shared" si="21"/>
        <v>0</v>
      </c>
      <c r="J58" s="493">
        <f t="shared" si="22"/>
        <v>0</v>
      </c>
      <c r="K58" s="491">
        <f t="shared" si="15"/>
        <v>0</v>
      </c>
      <c r="L58" s="492">
        <f t="shared" si="23"/>
        <v>0</v>
      </c>
      <c r="M58" s="491">
        <f t="shared" si="16"/>
        <v>0</v>
      </c>
      <c r="N58" s="491">
        <f t="shared" si="24"/>
        <v>0</v>
      </c>
      <c r="O58" s="491">
        <f t="shared" si="25"/>
        <v>0</v>
      </c>
      <c r="P58" s="491">
        <f t="shared" si="27"/>
        <v>0</v>
      </c>
      <c r="Q58" s="615">
        <f t="shared" si="17"/>
        <v>0</v>
      </c>
      <c r="R58" s="494"/>
      <c r="S58" s="504">
        <f>'ORÇAMENTO GERAL'!$J$45</f>
        <v>333.82</v>
      </c>
      <c r="T58" s="504">
        <f>'ORÇAMENTO GERAL'!$J$46</f>
        <v>14.71</v>
      </c>
      <c r="U58" s="504">
        <f>'ORÇAMENTO GERAL'!$J$47</f>
        <v>7.69</v>
      </c>
      <c r="V58" s="504">
        <f>'ORÇAMENTO GERAL'!$J$48</f>
        <v>3.33</v>
      </c>
      <c r="W58" s="504">
        <f>'ORÇAMENTO GERAL'!$J$49</f>
        <v>7.11</v>
      </c>
      <c r="X58" s="504">
        <f>'ORÇAMENTO GERAL'!$J$50</f>
        <v>52.17</v>
      </c>
      <c r="Y58" s="504">
        <f>'ORÇAMENTO GERAL'!$J$51</f>
        <v>175</v>
      </c>
      <c r="Z58" s="504">
        <f>'ORÇAMENTO GERAL'!$J$52</f>
        <v>23.11</v>
      </c>
      <c r="AA58" s="504">
        <f>'ORÇAMENTO GERAL'!$J$53</f>
        <v>50.91</v>
      </c>
      <c r="AB58" s="504">
        <f>'ORÇAMENTO GERAL'!$J$54</f>
        <v>114.64</v>
      </c>
      <c r="AC58" s="495">
        <f t="shared" si="18"/>
        <v>0</v>
      </c>
    </row>
    <row r="59" spans="1:29" s="476" customFormat="1" ht="45" customHeight="1" hidden="1">
      <c r="A59" s="487">
        <f>DADOS!A23</f>
        <v>12</v>
      </c>
      <c r="B59" s="488">
        <f>DADOS!B23</f>
        <v>0</v>
      </c>
      <c r="C59" s="496">
        <v>1</v>
      </c>
      <c r="D59" s="492"/>
      <c r="E59" s="491">
        <f t="shared" si="26"/>
        <v>0</v>
      </c>
      <c r="F59" s="491">
        <f t="shared" si="19"/>
        <v>1.22</v>
      </c>
      <c r="G59" s="491">
        <f t="shared" si="20"/>
        <v>1.32</v>
      </c>
      <c r="H59" s="491">
        <f t="shared" si="14"/>
        <v>0</v>
      </c>
      <c r="I59" s="492">
        <f t="shared" si="21"/>
        <v>0</v>
      </c>
      <c r="J59" s="493">
        <f t="shared" si="22"/>
        <v>0</v>
      </c>
      <c r="K59" s="491">
        <f t="shared" si="15"/>
        <v>0</v>
      </c>
      <c r="L59" s="492">
        <f t="shared" si="23"/>
        <v>0</v>
      </c>
      <c r="M59" s="491">
        <f t="shared" si="16"/>
        <v>0</v>
      </c>
      <c r="N59" s="491">
        <f t="shared" si="24"/>
        <v>0</v>
      </c>
      <c r="O59" s="491">
        <f t="shared" si="25"/>
        <v>0</v>
      </c>
      <c r="P59" s="491">
        <f t="shared" si="27"/>
        <v>0</v>
      </c>
      <c r="Q59" s="615">
        <f t="shared" si="17"/>
        <v>0</v>
      </c>
      <c r="R59" s="494"/>
      <c r="S59" s="504">
        <f>'ORÇAMENTO GERAL'!$J$45</f>
        <v>333.82</v>
      </c>
      <c r="T59" s="504">
        <f>'ORÇAMENTO GERAL'!$J$46</f>
        <v>14.71</v>
      </c>
      <c r="U59" s="504">
        <f>'ORÇAMENTO GERAL'!$J$47</f>
        <v>7.69</v>
      </c>
      <c r="V59" s="504">
        <f>'ORÇAMENTO GERAL'!$J$48</f>
        <v>3.33</v>
      </c>
      <c r="W59" s="504">
        <f>'ORÇAMENTO GERAL'!$J$49</f>
        <v>7.11</v>
      </c>
      <c r="X59" s="504">
        <f>'ORÇAMENTO GERAL'!$J$50</f>
        <v>52.17</v>
      </c>
      <c r="Y59" s="504">
        <f>'ORÇAMENTO GERAL'!$J$51</f>
        <v>175</v>
      </c>
      <c r="Z59" s="504">
        <f>'ORÇAMENTO GERAL'!$J$52</f>
        <v>23.11</v>
      </c>
      <c r="AA59" s="504">
        <f>'ORÇAMENTO GERAL'!$J$53</f>
        <v>50.91</v>
      </c>
      <c r="AB59" s="504">
        <f>'ORÇAMENTO GERAL'!$J$54</f>
        <v>114.64</v>
      </c>
      <c r="AC59" s="495">
        <f t="shared" si="18"/>
        <v>0</v>
      </c>
    </row>
    <row r="60" spans="1:29" s="476" customFormat="1" ht="45" customHeight="1" hidden="1">
      <c r="A60" s="487">
        <f>DADOS!A24</f>
        <v>13</v>
      </c>
      <c r="B60" s="488">
        <f>DADOS!B24</f>
        <v>0</v>
      </c>
      <c r="C60" s="496">
        <v>1</v>
      </c>
      <c r="D60" s="492"/>
      <c r="E60" s="491">
        <f t="shared" si="26"/>
        <v>0</v>
      </c>
      <c r="F60" s="491">
        <f t="shared" si="19"/>
        <v>1.22</v>
      </c>
      <c r="G60" s="491">
        <f t="shared" si="20"/>
        <v>1.32</v>
      </c>
      <c r="H60" s="491">
        <f t="shared" si="14"/>
        <v>0</v>
      </c>
      <c r="I60" s="492">
        <f t="shared" si="21"/>
        <v>0</v>
      </c>
      <c r="J60" s="493">
        <f t="shared" si="22"/>
        <v>0</v>
      </c>
      <c r="K60" s="491">
        <f t="shared" si="15"/>
        <v>0</v>
      </c>
      <c r="L60" s="492">
        <f t="shared" si="23"/>
        <v>0</v>
      </c>
      <c r="M60" s="491">
        <f t="shared" si="16"/>
        <v>0</v>
      </c>
      <c r="N60" s="491">
        <f t="shared" si="24"/>
        <v>0</v>
      </c>
      <c r="O60" s="491">
        <f t="shared" si="25"/>
        <v>0</v>
      </c>
      <c r="P60" s="491">
        <f t="shared" si="27"/>
        <v>0</v>
      </c>
      <c r="Q60" s="615">
        <f t="shared" si="17"/>
        <v>0</v>
      </c>
      <c r="R60" s="494"/>
      <c r="S60" s="504">
        <f>'ORÇAMENTO GERAL'!$J$45</f>
        <v>333.82</v>
      </c>
      <c r="T60" s="504">
        <f>'ORÇAMENTO GERAL'!$J$46</f>
        <v>14.71</v>
      </c>
      <c r="U60" s="504">
        <f>'ORÇAMENTO GERAL'!$J$47</f>
        <v>7.69</v>
      </c>
      <c r="V60" s="504">
        <f>'ORÇAMENTO GERAL'!$J$48</f>
        <v>3.33</v>
      </c>
      <c r="W60" s="504">
        <f>'ORÇAMENTO GERAL'!$J$49</f>
        <v>7.11</v>
      </c>
      <c r="X60" s="504">
        <f>'ORÇAMENTO GERAL'!$J$50</f>
        <v>52.17</v>
      </c>
      <c r="Y60" s="504">
        <f>'ORÇAMENTO GERAL'!$J$51</f>
        <v>175</v>
      </c>
      <c r="Z60" s="504">
        <f>'ORÇAMENTO GERAL'!$J$52</f>
        <v>23.11</v>
      </c>
      <c r="AA60" s="504">
        <f>'ORÇAMENTO GERAL'!$J$53</f>
        <v>50.91</v>
      </c>
      <c r="AB60" s="504">
        <f>'ORÇAMENTO GERAL'!$J$54</f>
        <v>114.64</v>
      </c>
      <c r="AC60" s="495">
        <f t="shared" si="18"/>
        <v>0</v>
      </c>
    </row>
    <row r="61" spans="1:29" s="476" customFormat="1" ht="45" customHeight="1" hidden="1">
      <c r="A61" s="487">
        <f>DADOS!A25</f>
        <v>14</v>
      </c>
      <c r="B61" s="488">
        <f>DADOS!B25</f>
        <v>0</v>
      </c>
      <c r="C61" s="496">
        <v>1</v>
      </c>
      <c r="D61" s="492"/>
      <c r="E61" s="491">
        <f t="shared" si="26"/>
        <v>0</v>
      </c>
      <c r="F61" s="491">
        <f t="shared" si="19"/>
        <v>1.22</v>
      </c>
      <c r="G61" s="491">
        <f t="shared" si="20"/>
        <v>1.32</v>
      </c>
      <c r="H61" s="491">
        <f t="shared" si="14"/>
        <v>0</v>
      </c>
      <c r="I61" s="492">
        <f t="shared" si="21"/>
        <v>0</v>
      </c>
      <c r="J61" s="493">
        <f t="shared" si="22"/>
        <v>0</v>
      </c>
      <c r="K61" s="491">
        <f t="shared" si="15"/>
        <v>0</v>
      </c>
      <c r="L61" s="492">
        <f t="shared" si="23"/>
        <v>0</v>
      </c>
      <c r="M61" s="491">
        <f t="shared" si="16"/>
        <v>0</v>
      </c>
      <c r="N61" s="491">
        <f t="shared" si="24"/>
        <v>0</v>
      </c>
      <c r="O61" s="491">
        <f t="shared" si="25"/>
        <v>0</v>
      </c>
      <c r="P61" s="491">
        <f t="shared" si="27"/>
        <v>0</v>
      </c>
      <c r="Q61" s="615">
        <f t="shared" si="17"/>
        <v>0</v>
      </c>
      <c r="R61" s="494"/>
      <c r="S61" s="504">
        <f>'ORÇAMENTO GERAL'!$J$45</f>
        <v>333.82</v>
      </c>
      <c r="T61" s="504">
        <f>'ORÇAMENTO GERAL'!$J$46</f>
        <v>14.71</v>
      </c>
      <c r="U61" s="504">
        <f>'ORÇAMENTO GERAL'!$J$47</f>
        <v>7.69</v>
      </c>
      <c r="V61" s="504">
        <f>'ORÇAMENTO GERAL'!$J$48</f>
        <v>3.33</v>
      </c>
      <c r="W61" s="504">
        <f>'ORÇAMENTO GERAL'!$J$49</f>
        <v>7.11</v>
      </c>
      <c r="X61" s="504">
        <f>'ORÇAMENTO GERAL'!$J$50</f>
        <v>52.17</v>
      </c>
      <c r="Y61" s="504">
        <f>'ORÇAMENTO GERAL'!$J$51</f>
        <v>175</v>
      </c>
      <c r="Z61" s="504">
        <f>'ORÇAMENTO GERAL'!$J$52</f>
        <v>23.11</v>
      </c>
      <c r="AA61" s="504">
        <f>'ORÇAMENTO GERAL'!$J$53</f>
        <v>50.91</v>
      </c>
      <c r="AB61" s="504">
        <f>'ORÇAMENTO GERAL'!$J$54</f>
        <v>114.64</v>
      </c>
      <c r="AC61" s="495">
        <f t="shared" si="18"/>
        <v>0</v>
      </c>
    </row>
    <row r="62" spans="1:29" s="476" customFormat="1" ht="45" customHeight="1" hidden="1">
      <c r="A62" s="487">
        <f>DADOS!A26</f>
        <v>15</v>
      </c>
      <c r="B62" s="488">
        <f>DADOS!B26</f>
        <v>0</v>
      </c>
      <c r="C62" s="496">
        <v>1</v>
      </c>
      <c r="D62" s="492"/>
      <c r="E62" s="491">
        <f t="shared" si="26"/>
        <v>0</v>
      </c>
      <c r="F62" s="491">
        <f t="shared" si="19"/>
        <v>1.22</v>
      </c>
      <c r="G62" s="491">
        <f t="shared" si="20"/>
        <v>1.32</v>
      </c>
      <c r="H62" s="491">
        <f t="shared" si="14"/>
        <v>0</v>
      </c>
      <c r="I62" s="492">
        <f t="shared" si="21"/>
        <v>0</v>
      </c>
      <c r="J62" s="493">
        <f t="shared" si="22"/>
        <v>0</v>
      </c>
      <c r="K62" s="491">
        <f t="shared" si="15"/>
        <v>0</v>
      </c>
      <c r="L62" s="492">
        <f t="shared" si="23"/>
        <v>0</v>
      </c>
      <c r="M62" s="491">
        <f t="shared" si="16"/>
        <v>0</v>
      </c>
      <c r="N62" s="491">
        <f t="shared" si="24"/>
        <v>0</v>
      </c>
      <c r="O62" s="491">
        <f t="shared" si="25"/>
        <v>0</v>
      </c>
      <c r="P62" s="491">
        <f t="shared" si="27"/>
        <v>0</v>
      </c>
      <c r="Q62" s="615">
        <f t="shared" si="17"/>
        <v>0</v>
      </c>
      <c r="R62" s="494"/>
      <c r="S62" s="504">
        <f>'ORÇAMENTO GERAL'!$J$45</f>
        <v>333.82</v>
      </c>
      <c r="T62" s="504">
        <f>'ORÇAMENTO GERAL'!$J$46</f>
        <v>14.71</v>
      </c>
      <c r="U62" s="504">
        <f>'ORÇAMENTO GERAL'!$J$47</f>
        <v>7.69</v>
      </c>
      <c r="V62" s="504">
        <f>'ORÇAMENTO GERAL'!$J$48</f>
        <v>3.33</v>
      </c>
      <c r="W62" s="504">
        <f>'ORÇAMENTO GERAL'!$J$49</f>
        <v>7.11</v>
      </c>
      <c r="X62" s="504">
        <f>'ORÇAMENTO GERAL'!$J$50</f>
        <v>52.17</v>
      </c>
      <c r="Y62" s="504">
        <f>'ORÇAMENTO GERAL'!$J$51</f>
        <v>175</v>
      </c>
      <c r="Z62" s="504">
        <f>'ORÇAMENTO GERAL'!$J$52</f>
        <v>23.11</v>
      </c>
      <c r="AA62" s="504">
        <f>'ORÇAMENTO GERAL'!$J$53</f>
        <v>50.91</v>
      </c>
      <c r="AB62" s="504">
        <f>'ORÇAMENTO GERAL'!$J$54</f>
        <v>114.64</v>
      </c>
      <c r="AC62" s="495">
        <f t="shared" si="18"/>
        <v>0</v>
      </c>
    </row>
    <row r="63" spans="1:29" s="476" customFormat="1" ht="45" customHeight="1" hidden="1">
      <c r="A63" s="487">
        <f>DADOS!A27</f>
        <v>16</v>
      </c>
      <c r="B63" s="488">
        <f>DADOS!B27</f>
        <v>0</v>
      </c>
      <c r="C63" s="496">
        <v>1</v>
      </c>
      <c r="D63" s="492"/>
      <c r="E63" s="491">
        <f t="shared" si="26"/>
        <v>0</v>
      </c>
      <c r="F63" s="491">
        <f t="shared" si="19"/>
        <v>1.22</v>
      </c>
      <c r="G63" s="491">
        <f t="shared" si="20"/>
        <v>1.32</v>
      </c>
      <c r="H63" s="491">
        <f t="shared" si="14"/>
        <v>0</v>
      </c>
      <c r="I63" s="492">
        <f t="shared" si="21"/>
        <v>0</v>
      </c>
      <c r="J63" s="493">
        <f t="shared" si="22"/>
        <v>0</v>
      </c>
      <c r="K63" s="491">
        <f t="shared" si="15"/>
        <v>0</v>
      </c>
      <c r="L63" s="492">
        <f t="shared" si="23"/>
        <v>0</v>
      </c>
      <c r="M63" s="491">
        <f t="shared" si="16"/>
        <v>0</v>
      </c>
      <c r="N63" s="491">
        <f t="shared" si="24"/>
        <v>0</v>
      </c>
      <c r="O63" s="491">
        <f t="shared" si="25"/>
        <v>0</v>
      </c>
      <c r="P63" s="491">
        <f t="shared" si="27"/>
        <v>0</v>
      </c>
      <c r="Q63" s="615">
        <f t="shared" si="17"/>
        <v>0</v>
      </c>
      <c r="R63" s="494"/>
      <c r="S63" s="504">
        <f>'ORÇAMENTO GERAL'!$J$45</f>
        <v>333.82</v>
      </c>
      <c r="T63" s="504">
        <f>'ORÇAMENTO GERAL'!$J$46</f>
        <v>14.71</v>
      </c>
      <c r="U63" s="504">
        <f>'ORÇAMENTO GERAL'!$J$47</f>
        <v>7.69</v>
      </c>
      <c r="V63" s="504">
        <f>'ORÇAMENTO GERAL'!$J$48</f>
        <v>3.33</v>
      </c>
      <c r="W63" s="504">
        <f>'ORÇAMENTO GERAL'!$J$49</f>
        <v>7.11</v>
      </c>
      <c r="X63" s="504">
        <f>'ORÇAMENTO GERAL'!$J$50</f>
        <v>52.17</v>
      </c>
      <c r="Y63" s="504">
        <f>'ORÇAMENTO GERAL'!$J$51</f>
        <v>175</v>
      </c>
      <c r="Z63" s="504">
        <f>'ORÇAMENTO GERAL'!$J$52</f>
        <v>23.11</v>
      </c>
      <c r="AA63" s="504">
        <f>'ORÇAMENTO GERAL'!$J$53</f>
        <v>50.91</v>
      </c>
      <c r="AB63" s="504">
        <f>'ORÇAMENTO GERAL'!$J$54</f>
        <v>114.64</v>
      </c>
      <c r="AC63" s="495">
        <f t="shared" si="18"/>
        <v>0</v>
      </c>
    </row>
    <row r="64" spans="1:29" s="476" customFormat="1" ht="45" customHeight="1" hidden="1">
      <c r="A64" s="487">
        <f>DADOS!A28</f>
        <v>17</v>
      </c>
      <c r="B64" s="488">
        <f>DADOS!B28</f>
        <v>0</v>
      </c>
      <c r="C64" s="496">
        <v>1</v>
      </c>
      <c r="D64" s="492"/>
      <c r="E64" s="491">
        <f t="shared" si="26"/>
        <v>0</v>
      </c>
      <c r="F64" s="491">
        <f t="shared" si="19"/>
        <v>1.22</v>
      </c>
      <c r="G64" s="491">
        <f t="shared" si="20"/>
        <v>1.32</v>
      </c>
      <c r="H64" s="491">
        <f t="shared" si="14"/>
        <v>0</v>
      </c>
      <c r="I64" s="492">
        <f t="shared" si="21"/>
        <v>0</v>
      </c>
      <c r="J64" s="493">
        <f t="shared" si="22"/>
        <v>0</v>
      </c>
      <c r="K64" s="491">
        <f t="shared" si="15"/>
        <v>0</v>
      </c>
      <c r="L64" s="492">
        <f t="shared" si="23"/>
        <v>0</v>
      </c>
      <c r="M64" s="491">
        <f t="shared" si="16"/>
        <v>0</v>
      </c>
      <c r="N64" s="491">
        <f t="shared" si="24"/>
        <v>0</v>
      </c>
      <c r="O64" s="491">
        <f t="shared" si="25"/>
        <v>0</v>
      </c>
      <c r="P64" s="491">
        <f t="shared" si="27"/>
        <v>0</v>
      </c>
      <c r="Q64" s="615">
        <f t="shared" si="17"/>
        <v>0</v>
      </c>
      <c r="R64" s="494"/>
      <c r="S64" s="504">
        <f>'ORÇAMENTO GERAL'!$J$45</f>
        <v>333.82</v>
      </c>
      <c r="T64" s="504">
        <f>'ORÇAMENTO GERAL'!$J$46</f>
        <v>14.71</v>
      </c>
      <c r="U64" s="504">
        <f>'ORÇAMENTO GERAL'!$J$47</f>
        <v>7.69</v>
      </c>
      <c r="V64" s="504">
        <f>'ORÇAMENTO GERAL'!$J$48</f>
        <v>3.33</v>
      </c>
      <c r="W64" s="504">
        <f>'ORÇAMENTO GERAL'!$J$49</f>
        <v>7.11</v>
      </c>
      <c r="X64" s="504">
        <f>'ORÇAMENTO GERAL'!$J$50</f>
        <v>52.17</v>
      </c>
      <c r="Y64" s="504">
        <f>'ORÇAMENTO GERAL'!$J$51</f>
        <v>175</v>
      </c>
      <c r="Z64" s="504">
        <f>'ORÇAMENTO GERAL'!$J$52</f>
        <v>23.11</v>
      </c>
      <c r="AA64" s="504">
        <f>'ORÇAMENTO GERAL'!$J$53</f>
        <v>50.91</v>
      </c>
      <c r="AB64" s="504">
        <f>'ORÇAMENTO GERAL'!$J$54</f>
        <v>114.64</v>
      </c>
      <c r="AC64" s="495">
        <f t="shared" si="18"/>
        <v>0</v>
      </c>
    </row>
    <row r="65" spans="1:29" s="476" customFormat="1" ht="45" customHeight="1" hidden="1">
      <c r="A65" s="487">
        <f>DADOS!A29</f>
        <v>18</v>
      </c>
      <c r="B65" s="488">
        <f>DADOS!B29</f>
        <v>0</v>
      </c>
      <c r="C65" s="496">
        <v>1</v>
      </c>
      <c r="D65" s="492"/>
      <c r="E65" s="491">
        <f t="shared" si="26"/>
        <v>0</v>
      </c>
      <c r="F65" s="491">
        <f t="shared" si="19"/>
        <v>1.22</v>
      </c>
      <c r="G65" s="491">
        <f t="shared" si="20"/>
        <v>1.32</v>
      </c>
      <c r="H65" s="491">
        <f t="shared" si="14"/>
        <v>0</v>
      </c>
      <c r="I65" s="492">
        <f t="shared" si="21"/>
        <v>0</v>
      </c>
      <c r="J65" s="493">
        <f t="shared" si="22"/>
        <v>0</v>
      </c>
      <c r="K65" s="491">
        <f t="shared" si="15"/>
        <v>0</v>
      </c>
      <c r="L65" s="492">
        <f t="shared" si="23"/>
        <v>0</v>
      </c>
      <c r="M65" s="491">
        <f t="shared" si="16"/>
        <v>0</v>
      </c>
      <c r="N65" s="491">
        <f t="shared" si="24"/>
        <v>0</v>
      </c>
      <c r="O65" s="491">
        <f t="shared" si="25"/>
        <v>0</v>
      </c>
      <c r="P65" s="491">
        <f t="shared" si="27"/>
        <v>0</v>
      </c>
      <c r="Q65" s="615">
        <f t="shared" si="17"/>
        <v>0</v>
      </c>
      <c r="R65" s="494"/>
      <c r="S65" s="504">
        <f>'ORÇAMENTO GERAL'!$J$45</f>
        <v>333.82</v>
      </c>
      <c r="T65" s="504">
        <f>'ORÇAMENTO GERAL'!$J$46</f>
        <v>14.71</v>
      </c>
      <c r="U65" s="504">
        <f>'ORÇAMENTO GERAL'!$J$47</f>
        <v>7.69</v>
      </c>
      <c r="V65" s="504">
        <f>'ORÇAMENTO GERAL'!$J$48</f>
        <v>3.33</v>
      </c>
      <c r="W65" s="504">
        <f>'ORÇAMENTO GERAL'!$J$49</f>
        <v>7.11</v>
      </c>
      <c r="X65" s="504">
        <f>'ORÇAMENTO GERAL'!$J$50</f>
        <v>52.17</v>
      </c>
      <c r="Y65" s="504">
        <f>'ORÇAMENTO GERAL'!$J$51</f>
        <v>175</v>
      </c>
      <c r="Z65" s="504">
        <f>'ORÇAMENTO GERAL'!$J$52</f>
        <v>23.11</v>
      </c>
      <c r="AA65" s="504">
        <f>'ORÇAMENTO GERAL'!$J$53</f>
        <v>50.91</v>
      </c>
      <c r="AB65" s="504">
        <f>'ORÇAMENTO GERAL'!$J$54</f>
        <v>114.64</v>
      </c>
      <c r="AC65" s="495">
        <f t="shared" si="18"/>
        <v>0</v>
      </c>
    </row>
    <row r="66" spans="1:29" s="476" customFormat="1" ht="45" customHeight="1" hidden="1">
      <c r="A66" s="487">
        <f>DADOS!A30</f>
        <v>19</v>
      </c>
      <c r="B66" s="488">
        <f>DADOS!B30</f>
        <v>0</v>
      </c>
      <c r="C66" s="496">
        <v>1</v>
      </c>
      <c r="D66" s="492"/>
      <c r="E66" s="491">
        <f t="shared" si="26"/>
        <v>0</v>
      </c>
      <c r="F66" s="491">
        <f t="shared" si="19"/>
        <v>1.22</v>
      </c>
      <c r="G66" s="491">
        <f t="shared" si="20"/>
        <v>1.32</v>
      </c>
      <c r="H66" s="491">
        <f t="shared" si="14"/>
        <v>0</v>
      </c>
      <c r="I66" s="492">
        <f t="shared" si="21"/>
        <v>0</v>
      </c>
      <c r="J66" s="493">
        <f t="shared" si="22"/>
        <v>0</v>
      </c>
      <c r="K66" s="491">
        <f t="shared" si="15"/>
        <v>0</v>
      </c>
      <c r="L66" s="492">
        <f t="shared" si="23"/>
        <v>0</v>
      </c>
      <c r="M66" s="491">
        <f t="shared" si="16"/>
        <v>0</v>
      </c>
      <c r="N66" s="491">
        <f t="shared" si="24"/>
        <v>0</v>
      </c>
      <c r="O66" s="491">
        <f t="shared" si="25"/>
        <v>0</v>
      </c>
      <c r="P66" s="491">
        <f t="shared" si="27"/>
        <v>0</v>
      </c>
      <c r="Q66" s="615">
        <f t="shared" si="17"/>
        <v>0</v>
      </c>
      <c r="R66" s="494"/>
      <c r="S66" s="504">
        <f>'ORÇAMENTO GERAL'!$J$45</f>
        <v>333.82</v>
      </c>
      <c r="T66" s="504">
        <f>'ORÇAMENTO GERAL'!$J$46</f>
        <v>14.71</v>
      </c>
      <c r="U66" s="504">
        <f>'ORÇAMENTO GERAL'!$J$47</f>
        <v>7.69</v>
      </c>
      <c r="V66" s="504">
        <f>'ORÇAMENTO GERAL'!$J$48</f>
        <v>3.33</v>
      </c>
      <c r="W66" s="504">
        <f>'ORÇAMENTO GERAL'!$J$49</f>
        <v>7.11</v>
      </c>
      <c r="X66" s="504">
        <f>'ORÇAMENTO GERAL'!$J$50</f>
        <v>52.17</v>
      </c>
      <c r="Y66" s="504">
        <f>'ORÇAMENTO GERAL'!$J$51</f>
        <v>175</v>
      </c>
      <c r="Z66" s="504">
        <f>'ORÇAMENTO GERAL'!$J$52</f>
        <v>23.11</v>
      </c>
      <c r="AA66" s="504">
        <f>'ORÇAMENTO GERAL'!$J$53</f>
        <v>50.91</v>
      </c>
      <c r="AB66" s="504">
        <f>'ORÇAMENTO GERAL'!$J$54</f>
        <v>114.64</v>
      </c>
      <c r="AC66" s="495">
        <f t="shared" si="18"/>
        <v>0</v>
      </c>
    </row>
    <row r="67" spans="1:29" s="476" customFormat="1" ht="45" customHeight="1" hidden="1" thickBot="1">
      <c r="A67" s="487">
        <f>DADOS!A31</f>
        <v>20</v>
      </c>
      <c r="B67" s="488">
        <f>DADOS!B31</f>
        <v>0</v>
      </c>
      <c r="C67" s="496">
        <v>1</v>
      </c>
      <c r="D67" s="492"/>
      <c r="E67" s="491">
        <f t="shared" si="26"/>
        <v>0</v>
      </c>
      <c r="F67" s="491">
        <f t="shared" si="19"/>
        <v>1.22</v>
      </c>
      <c r="G67" s="491">
        <f t="shared" si="20"/>
        <v>1.32</v>
      </c>
      <c r="H67" s="491">
        <f t="shared" si="14"/>
        <v>0</v>
      </c>
      <c r="I67" s="492">
        <f t="shared" si="21"/>
        <v>0</v>
      </c>
      <c r="J67" s="493">
        <f t="shared" si="22"/>
        <v>0</v>
      </c>
      <c r="K67" s="491">
        <f t="shared" si="15"/>
        <v>0</v>
      </c>
      <c r="L67" s="492">
        <f t="shared" si="23"/>
        <v>0</v>
      </c>
      <c r="M67" s="491">
        <f t="shared" si="16"/>
        <v>0</v>
      </c>
      <c r="N67" s="491">
        <f t="shared" si="24"/>
        <v>0</v>
      </c>
      <c r="O67" s="491">
        <f t="shared" si="25"/>
        <v>0</v>
      </c>
      <c r="P67" s="491">
        <f t="shared" si="27"/>
        <v>0</v>
      </c>
      <c r="Q67" s="615">
        <f t="shared" si="17"/>
        <v>0</v>
      </c>
      <c r="R67" s="494"/>
      <c r="S67" s="504">
        <f>'ORÇAMENTO GERAL'!$J$45</f>
        <v>333.82</v>
      </c>
      <c r="T67" s="504">
        <f>'ORÇAMENTO GERAL'!$J$46</f>
        <v>14.71</v>
      </c>
      <c r="U67" s="504">
        <f>'ORÇAMENTO GERAL'!$J$47</f>
        <v>7.69</v>
      </c>
      <c r="V67" s="504">
        <f>'ORÇAMENTO GERAL'!$J$48</f>
        <v>3.33</v>
      </c>
      <c r="W67" s="504">
        <f>'ORÇAMENTO GERAL'!$J$49</f>
        <v>7.11</v>
      </c>
      <c r="X67" s="504">
        <f>'ORÇAMENTO GERAL'!$J$50</f>
        <v>52.17</v>
      </c>
      <c r="Y67" s="504">
        <f>'ORÇAMENTO GERAL'!$J$51</f>
        <v>175</v>
      </c>
      <c r="Z67" s="504">
        <f>'ORÇAMENTO GERAL'!$J$52</f>
        <v>23.11</v>
      </c>
      <c r="AA67" s="504">
        <f>'ORÇAMENTO GERAL'!$J$53</f>
        <v>50.91</v>
      </c>
      <c r="AB67" s="504">
        <f>'ORÇAMENTO GERAL'!$J$54</f>
        <v>114.64</v>
      </c>
      <c r="AC67" s="495">
        <f t="shared" si="18"/>
        <v>0</v>
      </c>
    </row>
    <row r="68" spans="1:18" s="476" customFormat="1" ht="45" customHeight="1" thickBot="1">
      <c r="A68" s="886" t="s">
        <v>23</v>
      </c>
      <c r="B68" s="887"/>
      <c r="C68" s="498"/>
      <c r="D68" s="498"/>
      <c r="E68" s="498">
        <f>SUM(E48:E67)</f>
        <v>675</v>
      </c>
      <c r="F68" s="498"/>
      <c r="G68" s="498"/>
      <c r="H68" s="498">
        <f>SUM(H48:H67)</f>
        <v>1440.59</v>
      </c>
      <c r="I68" s="498">
        <f aca="true" t="shared" si="28" ref="I68:Q68">SUM(I48:I67)</f>
        <v>190.75</v>
      </c>
      <c r="J68" s="498">
        <f t="shared" si="28"/>
        <v>2384.38</v>
      </c>
      <c r="K68" s="498">
        <f t="shared" si="28"/>
        <v>823.5</v>
      </c>
      <c r="L68" s="498">
        <f t="shared" si="28"/>
        <v>823.5</v>
      </c>
      <c r="M68" s="498">
        <f t="shared" si="28"/>
        <v>190.75</v>
      </c>
      <c r="N68" s="498">
        <f t="shared" si="28"/>
        <v>874.89</v>
      </c>
      <c r="O68" s="498">
        <f t="shared" si="28"/>
        <v>374.96</v>
      </c>
      <c r="P68" s="498">
        <f t="shared" si="28"/>
        <v>0</v>
      </c>
      <c r="Q68" s="498">
        <f t="shared" si="28"/>
        <v>675</v>
      </c>
      <c r="R68" s="499"/>
    </row>
    <row r="69" spans="1:17" s="476" customFormat="1" ht="45" customHeight="1" hidden="1">
      <c r="A69" s="619"/>
      <c r="B69" s="617"/>
      <c r="C69" s="620"/>
      <c r="D69" s="620"/>
      <c r="E69" s="620"/>
      <c r="F69" s="620"/>
      <c r="G69" s="620"/>
      <c r="H69" s="617"/>
      <c r="I69" s="617"/>
      <c r="J69" s="617"/>
      <c r="K69" s="617"/>
      <c r="L69" s="617"/>
      <c r="M69" s="617"/>
      <c r="N69" s="617"/>
      <c r="O69" s="617"/>
      <c r="P69" s="617"/>
      <c r="Q69" s="618"/>
    </row>
    <row r="70" spans="1:18" s="476" customFormat="1" ht="45" customHeight="1" hidden="1" thickBot="1">
      <c r="A70" s="881" t="s">
        <v>368</v>
      </c>
      <c r="B70" s="882"/>
      <c r="C70" s="882"/>
      <c r="D70" s="882"/>
      <c r="E70" s="882"/>
      <c r="F70" s="882"/>
      <c r="G70" s="882"/>
      <c r="H70" s="882"/>
      <c r="I70" s="882"/>
      <c r="J70" s="882"/>
      <c r="K70" s="882"/>
      <c r="L70" s="882"/>
      <c r="M70" s="882"/>
      <c r="N70" s="882"/>
      <c r="O70" s="882"/>
      <c r="P70" s="882"/>
      <c r="Q70" s="883"/>
      <c r="R70" s="475"/>
    </row>
    <row r="71" spans="1:18" s="476" customFormat="1" ht="45" customHeight="1" hidden="1">
      <c r="A71" s="888" t="s">
        <v>6</v>
      </c>
      <c r="B71" s="891" t="s">
        <v>370</v>
      </c>
      <c r="C71" s="878" t="s">
        <v>565</v>
      </c>
      <c r="D71" s="878"/>
      <c r="E71" s="878"/>
      <c r="F71" s="884" t="s">
        <v>531</v>
      </c>
      <c r="G71" s="884"/>
      <c r="H71" s="884"/>
      <c r="I71" s="884" t="s">
        <v>532</v>
      </c>
      <c r="J71" s="897" t="s">
        <v>535</v>
      </c>
      <c r="K71" s="884" t="s">
        <v>362</v>
      </c>
      <c r="L71" s="884" t="s">
        <v>364</v>
      </c>
      <c r="M71" s="871" t="s">
        <v>363</v>
      </c>
      <c r="N71" s="874" t="s">
        <v>533</v>
      </c>
      <c r="O71" s="874" t="s">
        <v>600</v>
      </c>
      <c r="P71" s="874" t="s">
        <v>534</v>
      </c>
      <c r="Q71" s="876" t="s">
        <v>365</v>
      </c>
      <c r="R71" s="475"/>
    </row>
    <row r="72" spans="1:18" s="476" customFormat="1" ht="45" customHeight="1" hidden="1">
      <c r="A72" s="889"/>
      <c r="B72" s="892"/>
      <c r="C72" s="879"/>
      <c r="D72" s="879"/>
      <c r="E72" s="879"/>
      <c r="F72" s="885"/>
      <c r="G72" s="885"/>
      <c r="H72" s="885"/>
      <c r="I72" s="885"/>
      <c r="J72" s="898"/>
      <c r="K72" s="885"/>
      <c r="L72" s="885"/>
      <c r="M72" s="872"/>
      <c r="N72" s="875"/>
      <c r="O72" s="875"/>
      <c r="P72" s="880"/>
      <c r="Q72" s="877"/>
      <c r="R72" s="475"/>
    </row>
    <row r="73" spans="1:18" s="476" customFormat="1" ht="45" customHeight="1" hidden="1">
      <c r="A73" s="889"/>
      <c r="B73" s="892"/>
      <c r="C73" s="479" t="s">
        <v>153</v>
      </c>
      <c r="D73" s="480" t="s">
        <v>377</v>
      </c>
      <c r="E73" s="479" t="s">
        <v>361</v>
      </c>
      <c r="F73" s="479" t="s">
        <v>355</v>
      </c>
      <c r="G73" s="479" t="s">
        <v>360</v>
      </c>
      <c r="H73" s="479" t="s">
        <v>23</v>
      </c>
      <c r="I73" s="885"/>
      <c r="J73" s="898"/>
      <c r="K73" s="885"/>
      <c r="L73" s="885"/>
      <c r="M73" s="873"/>
      <c r="N73" s="479" t="s">
        <v>23</v>
      </c>
      <c r="O73" s="479" t="s">
        <v>23</v>
      </c>
      <c r="P73" s="875"/>
      <c r="Q73" s="877"/>
      <c r="R73" s="475"/>
    </row>
    <row r="74" spans="1:29" s="476" customFormat="1" ht="60" customHeight="1" hidden="1">
      <c r="A74" s="889"/>
      <c r="B74" s="892"/>
      <c r="C74" s="753"/>
      <c r="D74" s="753"/>
      <c r="E74" s="753" t="s">
        <v>54</v>
      </c>
      <c r="F74" s="753" t="s">
        <v>57</v>
      </c>
      <c r="G74" s="753" t="s">
        <v>15</v>
      </c>
      <c r="H74" s="753" t="s">
        <v>773</v>
      </c>
      <c r="I74" s="753" t="s">
        <v>778</v>
      </c>
      <c r="J74" s="751" t="s">
        <v>774</v>
      </c>
      <c r="K74" s="753" t="s">
        <v>775</v>
      </c>
      <c r="L74" s="753" t="s">
        <v>776</v>
      </c>
      <c r="M74" s="753" t="s">
        <v>777</v>
      </c>
      <c r="N74" s="753" t="s">
        <v>779</v>
      </c>
      <c r="O74" s="753" t="s">
        <v>780</v>
      </c>
      <c r="P74" s="753" t="s">
        <v>781</v>
      </c>
      <c r="Q74" s="750" t="s">
        <v>782</v>
      </c>
      <c r="R74" s="475"/>
      <c r="S74" s="894" t="s">
        <v>546</v>
      </c>
      <c r="T74" s="895"/>
      <c r="U74" s="895"/>
      <c r="V74" s="895"/>
      <c r="W74" s="895"/>
      <c r="X74" s="895"/>
      <c r="Y74" s="895"/>
      <c r="Z74" s="895"/>
      <c r="AA74" s="895"/>
      <c r="AB74" s="895"/>
      <c r="AC74" s="896"/>
    </row>
    <row r="75" spans="1:29" s="476" customFormat="1" ht="60" customHeight="1" hidden="1" thickBot="1">
      <c r="A75" s="890"/>
      <c r="B75" s="893"/>
      <c r="C75" s="482" t="s">
        <v>359</v>
      </c>
      <c r="D75" s="482" t="s">
        <v>356</v>
      </c>
      <c r="E75" s="482" t="s">
        <v>356</v>
      </c>
      <c r="F75" s="482" t="s">
        <v>581</v>
      </c>
      <c r="G75" s="484" t="s">
        <v>783</v>
      </c>
      <c r="H75" s="482"/>
      <c r="I75" s="482"/>
      <c r="J75" s="483">
        <v>10</v>
      </c>
      <c r="K75" s="482"/>
      <c r="L75" s="482"/>
      <c r="M75" s="482"/>
      <c r="N75" s="482"/>
      <c r="O75" s="484"/>
      <c r="P75" s="484" t="s">
        <v>598</v>
      </c>
      <c r="Q75" s="614"/>
      <c r="R75" s="485"/>
      <c r="S75" s="480" t="s">
        <v>540</v>
      </c>
      <c r="T75" s="480" t="s">
        <v>541</v>
      </c>
      <c r="U75" s="480" t="s">
        <v>542</v>
      </c>
      <c r="V75" s="480" t="s">
        <v>543</v>
      </c>
      <c r="W75" s="480" t="s">
        <v>544</v>
      </c>
      <c r="X75" s="480" t="s">
        <v>371</v>
      </c>
      <c r="Y75" s="479" t="s">
        <v>533</v>
      </c>
      <c r="Z75" s="479" t="s">
        <v>600</v>
      </c>
      <c r="AA75" s="479" t="s">
        <v>534</v>
      </c>
      <c r="AB75" s="479" t="s">
        <v>365</v>
      </c>
      <c r="AC75" s="486" t="s">
        <v>23</v>
      </c>
    </row>
    <row r="76" spans="1:29" s="476" customFormat="1" ht="45" customHeight="1" hidden="1">
      <c r="A76" s="487">
        <f>DADOS!A12</f>
        <v>1</v>
      </c>
      <c r="B76" s="488" t="str">
        <f>DADOS!B12</f>
        <v>R. CANARINHO</v>
      </c>
      <c r="C76" s="489">
        <v>1</v>
      </c>
      <c r="D76" s="490"/>
      <c r="E76" s="489">
        <f>C76*D76</f>
        <v>0</v>
      </c>
      <c r="F76" s="491">
        <f>0.96+0.5</f>
        <v>1.46</v>
      </c>
      <c r="G76" s="491">
        <f>((0.96+0.6)+((0.96+0.6)+(E76*0.5%)))/2</f>
        <v>1.56</v>
      </c>
      <c r="H76" s="491">
        <f aca="true" t="shared" si="29" ref="H76:H95">E76*F76*G76</f>
        <v>0</v>
      </c>
      <c r="I76" s="492">
        <f>M76</f>
        <v>0</v>
      </c>
      <c r="J76" s="493">
        <f>I76*1.25*$J$19</f>
        <v>0</v>
      </c>
      <c r="K76" s="491">
        <f aca="true" t="shared" si="30" ref="K76:K95">E76*F76</f>
        <v>0</v>
      </c>
      <c r="L76" s="492">
        <f>K76</f>
        <v>0</v>
      </c>
      <c r="M76" s="491">
        <f aca="true" t="shared" si="31" ref="M76:M95">(3.14*0.4^2)*E76</f>
        <v>0</v>
      </c>
      <c r="N76" s="491">
        <f>(H76-M76)*70%</f>
        <v>0</v>
      </c>
      <c r="O76" s="491">
        <f>(H76-M76)*30%</f>
        <v>0</v>
      </c>
      <c r="P76" s="491">
        <f aca="true" t="shared" si="32" ref="P76:P95">IF(G76&gt;1.5,D76*G76*2,)</f>
        <v>0</v>
      </c>
      <c r="Q76" s="615">
        <f aca="true" t="shared" si="33" ref="Q76:Q95">E76</f>
        <v>0</v>
      </c>
      <c r="R76" s="494"/>
      <c r="S76" s="486">
        <f>'ORÇAMENTO GERAL'!$J$55</f>
        <v>536.71</v>
      </c>
      <c r="T76" s="486">
        <f>'ORÇAMENTO GERAL'!$J$56</f>
        <v>14.71</v>
      </c>
      <c r="U76" s="486">
        <f>'ORÇAMENTO GERAL'!$J$57</f>
        <v>7.69</v>
      </c>
      <c r="V76" s="486">
        <f>'ORÇAMENTO GERAL'!$J$58</f>
        <v>3.33</v>
      </c>
      <c r="W76" s="486">
        <f>'ORÇAMENTO GERAL'!$J$59</f>
        <v>7.11</v>
      </c>
      <c r="X76" s="486">
        <f>'ORÇAMENTO GERAL'!$J$60</f>
        <v>52.17</v>
      </c>
      <c r="Y76" s="486">
        <f>'ORÇAMENTO GERAL'!$J$61</f>
        <v>175</v>
      </c>
      <c r="Z76" s="486">
        <f>'ORÇAMENTO GERAL'!$J$62</f>
        <v>23.11</v>
      </c>
      <c r="AA76" s="486">
        <f>'ORÇAMENTO GERAL'!$J$63</f>
        <v>50.91</v>
      </c>
      <c r="AB76" s="486">
        <f>'ORÇAMENTO GERAL'!$J$64</f>
        <v>154.65</v>
      </c>
      <c r="AC76" s="495">
        <f aca="true" t="shared" si="34" ref="AC76:AC95">(E76*S76)+(H76*T76)+(I76*U76)+(J76*V76)+(K76*W76)+(L76*X76)+(N76*Y76)+(O76*Z76)+(P76*AA76)+(Q76*AB76)</f>
        <v>0</v>
      </c>
    </row>
    <row r="77" spans="1:29" s="476" customFormat="1" ht="45" customHeight="1" hidden="1">
      <c r="A77" s="487">
        <f>DADOS!A13</f>
        <v>2</v>
      </c>
      <c r="B77" s="488" t="str">
        <f>DADOS!B13</f>
        <v>R. SEM NOME 1</v>
      </c>
      <c r="C77" s="496">
        <v>1</v>
      </c>
      <c r="D77" s="492"/>
      <c r="E77" s="491">
        <f>C77*D77</f>
        <v>0</v>
      </c>
      <c r="F77" s="491">
        <f aca="true" t="shared" si="35" ref="F77:F95">0.96+0.5</f>
        <v>1.46</v>
      </c>
      <c r="G77" s="491">
        <f aca="true" t="shared" si="36" ref="G77:G95">((0.96+0.6)+((0.96+0.6)+(E77*0.5%)))/2</f>
        <v>1.56</v>
      </c>
      <c r="H77" s="491">
        <f t="shared" si="29"/>
        <v>0</v>
      </c>
      <c r="I77" s="492">
        <f aca="true" t="shared" si="37" ref="I77:I95">M77</f>
        <v>0</v>
      </c>
      <c r="J77" s="493">
        <f aca="true" t="shared" si="38" ref="J77:J95">I77*1.25*$J$19</f>
        <v>0</v>
      </c>
      <c r="K77" s="491">
        <f t="shared" si="30"/>
        <v>0</v>
      </c>
      <c r="L77" s="492">
        <f aca="true" t="shared" si="39" ref="L77:L95">K77</f>
        <v>0</v>
      </c>
      <c r="M77" s="491">
        <f t="shared" si="31"/>
        <v>0</v>
      </c>
      <c r="N77" s="491">
        <f aca="true" t="shared" si="40" ref="N77:N95">(H77-M77)*70%</f>
        <v>0</v>
      </c>
      <c r="O77" s="491">
        <f aca="true" t="shared" si="41" ref="O77:O95">(H77-M77)*30%</f>
        <v>0</v>
      </c>
      <c r="P77" s="491">
        <f t="shared" si="32"/>
        <v>0</v>
      </c>
      <c r="Q77" s="615">
        <f t="shared" si="33"/>
        <v>0</v>
      </c>
      <c r="R77" s="494"/>
      <c r="S77" s="486">
        <f>'ORÇAMENTO GERAL'!$J$55</f>
        <v>536.71</v>
      </c>
      <c r="T77" s="486">
        <f>'ORÇAMENTO GERAL'!$J$56</f>
        <v>14.71</v>
      </c>
      <c r="U77" s="486">
        <f>'ORÇAMENTO GERAL'!$J$57</f>
        <v>7.69</v>
      </c>
      <c r="V77" s="486">
        <f>'ORÇAMENTO GERAL'!$J$58</f>
        <v>3.33</v>
      </c>
      <c r="W77" s="486">
        <f>'ORÇAMENTO GERAL'!$J$59</f>
        <v>7.11</v>
      </c>
      <c r="X77" s="486">
        <f>'ORÇAMENTO GERAL'!$J$60</f>
        <v>52.17</v>
      </c>
      <c r="Y77" s="486">
        <f>'ORÇAMENTO GERAL'!$J$61</f>
        <v>175</v>
      </c>
      <c r="Z77" s="486">
        <f>'ORÇAMENTO GERAL'!$J$62</f>
        <v>23.11</v>
      </c>
      <c r="AA77" s="486">
        <f>'ORÇAMENTO GERAL'!$J$63</f>
        <v>50.91</v>
      </c>
      <c r="AB77" s="486">
        <f>'ORÇAMENTO GERAL'!$J$64</f>
        <v>154.65</v>
      </c>
      <c r="AC77" s="495">
        <f t="shared" si="34"/>
        <v>0</v>
      </c>
    </row>
    <row r="78" spans="1:29" s="476" customFormat="1" ht="45" customHeight="1" hidden="1">
      <c r="A78" s="487">
        <f>DADOS!A14</f>
        <v>3</v>
      </c>
      <c r="B78" s="488" t="str">
        <f>DADOS!B14</f>
        <v>EST. DO CURUÇAMBÁ</v>
      </c>
      <c r="C78" s="496">
        <v>1</v>
      </c>
      <c r="D78" s="492"/>
      <c r="E78" s="491">
        <f aca="true" t="shared" si="42" ref="E78:E95">C78*D78</f>
        <v>0</v>
      </c>
      <c r="F78" s="491">
        <f t="shared" si="35"/>
        <v>1.46</v>
      </c>
      <c r="G78" s="491">
        <f t="shared" si="36"/>
        <v>1.56</v>
      </c>
      <c r="H78" s="491">
        <f t="shared" si="29"/>
        <v>0</v>
      </c>
      <c r="I78" s="492">
        <f t="shared" si="37"/>
        <v>0</v>
      </c>
      <c r="J78" s="493">
        <f t="shared" si="38"/>
        <v>0</v>
      </c>
      <c r="K78" s="491">
        <f t="shared" si="30"/>
        <v>0</v>
      </c>
      <c r="L78" s="492">
        <f t="shared" si="39"/>
        <v>0</v>
      </c>
      <c r="M78" s="491">
        <f t="shared" si="31"/>
        <v>0</v>
      </c>
      <c r="N78" s="491">
        <f t="shared" si="40"/>
        <v>0</v>
      </c>
      <c r="O78" s="491">
        <f t="shared" si="41"/>
        <v>0</v>
      </c>
      <c r="P78" s="491">
        <f t="shared" si="32"/>
        <v>0</v>
      </c>
      <c r="Q78" s="615">
        <f t="shared" si="33"/>
        <v>0</v>
      </c>
      <c r="R78" s="494"/>
      <c r="S78" s="486">
        <f>'ORÇAMENTO GERAL'!$J$55</f>
        <v>536.71</v>
      </c>
      <c r="T78" s="486">
        <f>'ORÇAMENTO GERAL'!$J$56</f>
        <v>14.71</v>
      </c>
      <c r="U78" s="486">
        <f>'ORÇAMENTO GERAL'!$J$57</f>
        <v>7.69</v>
      </c>
      <c r="V78" s="486">
        <f>'ORÇAMENTO GERAL'!$J$58</f>
        <v>3.33</v>
      </c>
      <c r="W78" s="486">
        <f>'ORÇAMENTO GERAL'!$J$59</f>
        <v>7.11</v>
      </c>
      <c r="X78" s="486">
        <f>'ORÇAMENTO GERAL'!$J$60</f>
        <v>52.17</v>
      </c>
      <c r="Y78" s="486">
        <f>'ORÇAMENTO GERAL'!$J$61</f>
        <v>175</v>
      </c>
      <c r="Z78" s="486">
        <f>'ORÇAMENTO GERAL'!$J$62</f>
        <v>23.11</v>
      </c>
      <c r="AA78" s="486">
        <f>'ORÇAMENTO GERAL'!$J$63</f>
        <v>50.91</v>
      </c>
      <c r="AB78" s="486">
        <f>'ORÇAMENTO GERAL'!$J$64</f>
        <v>154.65</v>
      </c>
      <c r="AC78" s="495">
        <f t="shared" si="34"/>
        <v>0</v>
      </c>
    </row>
    <row r="79" spans="1:29" s="476" customFormat="1" ht="45" customHeight="1" hidden="1">
      <c r="A79" s="487">
        <f>DADOS!A15</f>
        <v>4</v>
      </c>
      <c r="B79" s="488" t="str">
        <f>DADOS!B15</f>
        <v>PASS. SOL NASCENTE</v>
      </c>
      <c r="C79" s="496">
        <v>1</v>
      </c>
      <c r="D79" s="492"/>
      <c r="E79" s="491">
        <f t="shared" si="42"/>
        <v>0</v>
      </c>
      <c r="F79" s="491">
        <f t="shared" si="35"/>
        <v>1.46</v>
      </c>
      <c r="G79" s="491">
        <f t="shared" si="36"/>
        <v>1.56</v>
      </c>
      <c r="H79" s="491">
        <f t="shared" si="29"/>
        <v>0</v>
      </c>
      <c r="I79" s="492">
        <f t="shared" si="37"/>
        <v>0</v>
      </c>
      <c r="J79" s="493">
        <f t="shared" si="38"/>
        <v>0</v>
      </c>
      <c r="K79" s="491">
        <f t="shared" si="30"/>
        <v>0</v>
      </c>
      <c r="L79" s="492">
        <f t="shared" si="39"/>
        <v>0</v>
      </c>
      <c r="M79" s="491">
        <f t="shared" si="31"/>
        <v>0</v>
      </c>
      <c r="N79" s="491">
        <f t="shared" si="40"/>
        <v>0</v>
      </c>
      <c r="O79" s="491">
        <f t="shared" si="41"/>
        <v>0</v>
      </c>
      <c r="P79" s="491">
        <f t="shared" si="32"/>
        <v>0</v>
      </c>
      <c r="Q79" s="615">
        <f t="shared" si="33"/>
        <v>0</v>
      </c>
      <c r="R79" s="494"/>
      <c r="S79" s="486">
        <f>'ORÇAMENTO GERAL'!$J$55</f>
        <v>536.71</v>
      </c>
      <c r="T79" s="486">
        <f>'ORÇAMENTO GERAL'!$J$56</f>
        <v>14.71</v>
      </c>
      <c r="U79" s="486">
        <f>'ORÇAMENTO GERAL'!$J$57</f>
        <v>7.69</v>
      </c>
      <c r="V79" s="486">
        <f>'ORÇAMENTO GERAL'!$J$58</f>
        <v>3.33</v>
      </c>
      <c r="W79" s="486">
        <f>'ORÇAMENTO GERAL'!$J$59</f>
        <v>7.11</v>
      </c>
      <c r="X79" s="486">
        <f>'ORÇAMENTO GERAL'!$J$60</f>
        <v>52.17</v>
      </c>
      <c r="Y79" s="486">
        <f>'ORÇAMENTO GERAL'!$J$61</f>
        <v>175</v>
      </c>
      <c r="Z79" s="486">
        <f>'ORÇAMENTO GERAL'!$J$62</f>
        <v>23.11</v>
      </c>
      <c r="AA79" s="486">
        <f>'ORÇAMENTO GERAL'!$J$63</f>
        <v>50.91</v>
      </c>
      <c r="AB79" s="486">
        <f>'ORÇAMENTO GERAL'!$J$64</f>
        <v>154.65</v>
      </c>
      <c r="AC79" s="495">
        <f t="shared" si="34"/>
        <v>0</v>
      </c>
    </row>
    <row r="80" spans="1:29" s="476" customFormat="1" ht="45" customHeight="1" hidden="1">
      <c r="A80" s="487">
        <f>DADOS!A16</f>
        <v>5</v>
      </c>
      <c r="B80" s="488" t="str">
        <f>DADOS!B16</f>
        <v>AL. NOVA ESPERANÇA</v>
      </c>
      <c r="C80" s="496">
        <v>1</v>
      </c>
      <c r="D80" s="492"/>
      <c r="E80" s="491">
        <f t="shared" si="42"/>
        <v>0</v>
      </c>
      <c r="F80" s="491">
        <f t="shared" si="35"/>
        <v>1.46</v>
      </c>
      <c r="G80" s="491">
        <f t="shared" si="36"/>
        <v>1.56</v>
      </c>
      <c r="H80" s="491">
        <f t="shared" si="29"/>
        <v>0</v>
      </c>
      <c r="I80" s="492">
        <f t="shared" si="37"/>
        <v>0</v>
      </c>
      <c r="J80" s="493">
        <f t="shared" si="38"/>
        <v>0</v>
      </c>
      <c r="K80" s="491">
        <f t="shared" si="30"/>
        <v>0</v>
      </c>
      <c r="L80" s="492">
        <f t="shared" si="39"/>
        <v>0</v>
      </c>
      <c r="M80" s="491">
        <f t="shared" si="31"/>
        <v>0</v>
      </c>
      <c r="N80" s="491">
        <f t="shared" si="40"/>
        <v>0</v>
      </c>
      <c r="O80" s="491">
        <f t="shared" si="41"/>
        <v>0</v>
      </c>
      <c r="P80" s="491">
        <f t="shared" si="32"/>
        <v>0</v>
      </c>
      <c r="Q80" s="615">
        <f t="shared" si="33"/>
        <v>0</v>
      </c>
      <c r="R80" s="494"/>
      <c r="S80" s="486">
        <f>'ORÇAMENTO GERAL'!$J$55</f>
        <v>536.71</v>
      </c>
      <c r="T80" s="486">
        <f>'ORÇAMENTO GERAL'!$J$56</f>
        <v>14.71</v>
      </c>
      <c r="U80" s="486">
        <f>'ORÇAMENTO GERAL'!$J$57</f>
        <v>7.69</v>
      </c>
      <c r="V80" s="486">
        <f>'ORÇAMENTO GERAL'!$J$58</f>
        <v>3.33</v>
      </c>
      <c r="W80" s="486">
        <f>'ORÇAMENTO GERAL'!$J$59</f>
        <v>7.11</v>
      </c>
      <c r="X80" s="486">
        <f>'ORÇAMENTO GERAL'!$J$60</f>
        <v>52.17</v>
      </c>
      <c r="Y80" s="486">
        <f>'ORÇAMENTO GERAL'!$J$61</f>
        <v>175</v>
      </c>
      <c r="Z80" s="486">
        <f>'ORÇAMENTO GERAL'!$J$62</f>
        <v>23.11</v>
      </c>
      <c r="AA80" s="486">
        <f>'ORÇAMENTO GERAL'!$J$63</f>
        <v>50.91</v>
      </c>
      <c r="AB80" s="486">
        <f>'ORÇAMENTO GERAL'!$J$64</f>
        <v>154.65</v>
      </c>
      <c r="AC80" s="495">
        <f t="shared" si="34"/>
        <v>0</v>
      </c>
    </row>
    <row r="81" spans="1:29" s="476" customFormat="1" ht="45" customHeight="1" hidden="1">
      <c r="A81" s="487">
        <f>DADOS!A17</f>
        <v>6</v>
      </c>
      <c r="B81" s="488">
        <f>DADOS!B17</f>
        <v>0</v>
      </c>
      <c r="C81" s="496">
        <v>1</v>
      </c>
      <c r="D81" s="492"/>
      <c r="E81" s="491">
        <f t="shared" si="42"/>
        <v>0</v>
      </c>
      <c r="F81" s="491">
        <f t="shared" si="35"/>
        <v>1.46</v>
      </c>
      <c r="G81" s="491">
        <f t="shared" si="36"/>
        <v>1.56</v>
      </c>
      <c r="H81" s="491">
        <f t="shared" si="29"/>
        <v>0</v>
      </c>
      <c r="I81" s="492">
        <f t="shared" si="37"/>
        <v>0</v>
      </c>
      <c r="J81" s="493">
        <f t="shared" si="38"/>
        <v>0</v>
      </c>
      <c r="K81" s="491">
        <f t="shared" si="30"/>
        <v>0</v>
      </c>
      <c r="L81" s="492">
        <f t="shared" si="39"/>
        <v>0</v>
      </c>
      <c r="M81" s="491">
        <f t="shared" si="31"/>
        <v>0</v>
      </c>
      <c r="N81" s="491">
        <f t="shared" si="40"/>
        <v>0</v>
      </c>
      <c r="O81" s="491">
        <f t="shared" si="41"/>
        <v>0</v>
      </c>
      <c r="P81" s="491">
        <f t="shared" si="32"/>
        <v>0</v>
      </c>
      <c r="Q81" s="615">
        <f t="shared" si="33"/>
        <v>0</v>
      </c>
      <c r="R81" s="494"/>
      <c r="S81" s="486">
        <f>'ORÇAMENTO GERAL'!$J$55</f>
        <v>536.71</v>
      </c>
      <c r="T81" s="486">
        <f>'ORÇAMENTO GERAL'!$J$56</f>
        <v>14.71</v>
      </c>
      <c r="U81" s="486">
        <f>'ORÇAMENTO GERAL'!$J$57</f>
        <v>7.69</v>
      </c>
      <c r="V81" s="486">
        <f>'ORÇAMENTO GERAL'!$J$58</f>
        <v>3.33</v>
      </c>
      <c r="W81" s="486">
        <f>'ORÇAMENTO GERAL'!$J$59</f>
        <v>7.11</v>
      </c>
      <c r="X81" s="486">
        <f>'ORÇAMENTO GERAL'!$J$60</f>
        <v>52.17</v>
      </c>
      <c r="Y81" s="486">
        <f>'ORÇAMENTO GERAL'!$J$61</f>
        <v>175</v>
      </c>
      <c r="Z81" s="486">
        <f>'ORÇAMENTO GERAL'!$J$62</f>
        <v>23.11</v>
      </c>
      <c r="AA81" s="486">
        <f>'ORÇAMENTO GERAL'!$J$63</f>
        <v>50.91</v>
      </c>
      <c r="AB81" s="486">
        <f>'ORÇAMENTO GERAL'!$J$64</f>
        <v>154.65</v>
      </c>
      <c r="AC81" s="495">
        <f t="shared" si="34"/>
        <v>0</v>
      </c>
    </row>
    <row r="82" spans="1:29" s="476" customFormat="1" ht="45" customHeight="1" hidden="1">
      <c r="A82" s="487">
        <f>DADOS!A18</f>
        <v>7</v>
      </c>
      <c r="B82" s="488">
        <f>DADOS!B18</f>
        <v>0</v>
      </c>
      <c r="C82" s="496">
        <v>1</v>
      </c>
      <c r="D82" s="492"/>
      <c r="E82" s="491">
        <f t="shared" si="42"/>
        <v>0</v>
      </c>
      <c r="F82" s="491">
        <f t="shared" si="35"/>
        <v>1.46</v>
      </c>
      <c r="G82" s="491">
        <f t="shared" si="36"/>
        <v>1.56</v>
      </c>
      <c r="H82" s="491">
        <f t="shared" si="29"/>
        <v>0</v>
      </c>
      <c r="I82" s="492">
        <f t="shared" si="37"/>
        <v>0</v>
      </c>
      <c r="J82" s="493">
        <f t="shared" si="38"/>
        <v>0</v>
      </c>
      <c r="K82" s="491">
        <f t="shared" si="30"/>
        <v>0</v>
      </c>
      <c r="L82" s="492">
        <f t="shared" si="39"/>
        <v>0</v>
      </c>
      <c r="M82" s="491">
        <f t="shared" si="31"/>
        <v>0</v>
      </c>
      <c r="N82" s="491">
        <f t="shared" si="40"/>
        <v>0</v>
      </c>
      <c r="O82" s="491">
        <f t="shared" si="41"/>
        <v>0</v>
      </c>
      <c r="P82" s="491">
        <f t="shared" si="32"/>
        <v>0</v>
      </c>
      <c r="Q82" s="615">
        <f t="shared" si="33"/>
        <v>0</v>
      </c>
      <c r="R82" s="494"/>
      <c r="S82" s="486">
        <f>'ORÇAMENTO GERAL'!$J$55</f>
        <v>536.71</v>
      </c>
      <c r="T82" s="486">
        <f>'ORÇAMENTO GERAL'!$J$56</f>
        <v>14.71</v>
      </c>
      <c r="U82" s="486">
        <f>'ORÇAMENTO GERAL'!$J$57</f>
        <v>7.69</v>
      </c>
      <c r="V82" s="486">
        <f>'ORÇAMENTO GERAL'!$J$58</f>
        <v>3.33</v>
      </c>
      <c r="W82" s="486">
        <f>'ORÇAMENTO GERAL'!$J$59</f>
        <v>7.11</v>
      </c>
      <c r="X82" s="486">
        <f>'ORÇAMENTO GERAL'!$J$60</f>
        <v>52.17</v>
      </c>
      <c r="Y82" s="486">
        <f>'ORÇAMENTO GERAL'!$J$61</f>
        <v>175</v>
      </c>
      <c r="Z82" s="486">
        <f>'ORÇAMENTO GERAL'!$J$62</f>
        <v>23.11</v>
      </c>
      <c r="AA82" s="486">
        <f>'ORÇAMENTO GERAL'!$J$63</f>
        <v>50.91</v>
      </c>
      <c r="AB82" s="486">
        <f>'ORÇAMENTO GERAL'!$J$64</f>
        <v>154.65</v>
      </c>
      <c r="AC82" s="495">
        <f t="shared" si="34"/>
        <v>0</v>
      </c>
    </row>
    <row r="83" spans="1:29" s="476" customFormat="1" ht="45" customHeight="1" hidden="1">
      <c r="A83" s="487">
        <f>DADOS!A19</f>
        <v>8</v>
      </c>
      <c r="B83" s="488">
        <f>DADOS!B19</f>
        <v>0</v>
      </c>
      <c r="C83" s="496">
        <v>1</v>
      </c>
      <c r="D83" s="492"/>
      <c r="E83" s="491">
        <f t="shared" si="42"/>
        <v>0</v>
      </c>
      <c r="F83" s="491">
        <f t="shared" si="35"/>
        <v>1.46</v>
      </c>
      <c r="G83" s="491">
        <f t="shared" si="36"/>
        <v>1.56</v>
      </c>
      <c r="H83" s="491">
        <f t="shared" si="29"/>
        <v>0</v>
      </c>
      <c r="I83" s="492">
        <f t="shared" si="37"/>
        <v>0</v>
      </c>
      <c r="J83" s="493">
        <f t="shared" si="38"/>
        <v>0</v>
      </c>
      <c r="K83" s="491">
        <f t="shared" si="30"/>
        <v>0</v>
      </c>
      <c r="L83" s="492">
        <f t="shared" si="39"/>
        <v>0</v>
      </c>
      <c r="M83" s="491">
        <f t="shared" si="31"/>
        <v>0</v>
      </c>
      <c r="N83" s="491">
        <f t="shared" si="40"/>
        <v>0</v>
      </c>
      <c r="O83" s="491">
        <f t="shared" si="41"/>
        <v>0</v>
      </c>
      <c r="P83" s="491">
        <f t="shared" si="32"/>
        <v>0</v>
      </c>
      <c r="Q83" s="615">
        <f t="shared" si="33"/>
        <v>0</v>
      </c>
      <c r="R83" s="494"/>
      <c r="S83" s="486">
        <f>'ORÇAMENTO GERAL'!$J$55</f>
        <v>536.71</v>
      </c>
      <c r="T83" s="486">
        <f>'ORÇAMENTO GERAL'!$J$56</f>
        <v>14.71</v>
      </c>
      <c r="U83" s="486">
        <f>'ORÇAMENTO GERAL'!$J$57</f>
        <v>7.69</v>
      </c>
      <c r="V83" s="486">
        <f>'ORÇAMENTO GERAL'!$J$58</f>
        <v>3.33</v>
      </c>
      <c r="W83" s="486">
        <f>'ORÇAMENTO GERAL'!$J$59</f>
        <v>7.11</v>
      </c>
      <c r="X83" s="486">
        <f>'ORÇAMENTO GERAL'!$J$60</f>
        <v>52.17</v>
      </c>
      <c r="Y83" s="486">
        <f>'ORÇAMENTO GERAL'!$J$61</f>
        <v>175</v>
      </c>
      <c r="Z83" s="486">
        <f>'ORÇAMENTO GERAL'!$J$62</f>
        <v>23.11</v>
      </c>
      <c r="AA83" s="486">
        <f>'ORÇAMENTO GERAL'!$J$63</f>
        <v>50.91</v>
      </c>
      <c r="AB83" s="486">
        <f>'ORÇAMENTO GERAL'!$J$64</f>
        <v>154.65</v>
      </c>
      <c r="AC83" s="495">
        <f t="shared" si="34"/>
        <v>0</v>
      </c>
    </row>
    <row r="84" spans="1:29" s="476" customFormat="1" ht="45" customHeight="1" hidden="1">
      <c r="A84" s="487">
        <f>DADOS!A20</f>
        <v>9</v>
      </c>
      <c r="B84" s="488">
        <f>DADOS!B20</f>
        <v>0</v>
      </c>
      <c r="C84" s="496">
        <v>1</v>
      </c>
      <c r="D84" s="492"/>
      <c r="E84" s="491">
        <f t="shared" si="42"/>
        <v>0</v>
      </c>
      <c r="F84" s="491">
        <f t="shared" si="35"/>
        <v>1.46</v>
      </c>
      <c r="G84" s="491">
        <f t="shared" si="36"/>
        <v>1.56</v>
      </c>
      <c r="H84" s="491">
        <f t="shared" si="29"/>
        <v>0</v>
      </c>
      <c r="I84" s="492">
        <f t="shared" si="37"/>
        <v>0</v>
      </c>
      <c r="J84" s="493">
        <f t="shared" si="38"/>
        <v>0</v>
      </c>
      <c r="K84" s="491">
        <f t="shared" si="30"/>
        <v>0</v>
      </c>
      <c r="L84" s="492">
        <f t="shared" si="39"/>
        <v>0</v>
      </c>
      <c r="M84" s="491">
        <f t="shared" si="31"/>
        <v>0</v>
      </c>
      <c r="N84" s="491">
        <f t="shared" si="40"/>
        <v>0</v>
      </c>
      <c r="O84" s="491">
        <f t="shared" si="41"/>
        <v>0</v>
      </c>
      <c r="P84" s="491">
        <f t="shared" si="32"/>
        <v>0</v>
      </c>
      <c r="Q84" s="615">
        <f t="shared" si="33"/>
        <v>0</v>
      </c>
      <c r="R84" s="494"/>
      <c r="S84" s="486">
        <f>'ORÇAMENTO GERAL'!$J$55</f>
        <v>536.71</v>
      </c>
      <c r="T84" s="486">
        <f>'ORÇAMENTO GERAL'!$J$56</f>
        <v>14.71</v>
      </c>
      <c r="U84" s="486">
        <f>'ORÇAMENTO GERAL'!$J$57</f>
        <v>7.69</v>
      </c>
      <c r="V84" s="486">
        <f>'ORÇAMENTO GERAL'!$J$58</f>
        <v>3.33</v>
      </c>
      <c r="W84" s="486">
        <f>'ORÇAMENTO GERAL'!$J$59</f>
        <v>7.11</v>
      </c>
      <c r="X84" s="486">
        <f>'ORÇAMENTO GERAL'!$J$60</f>
        <v>52.17</v>
      </c>
      <c r="Y84" s="486">
        <f>'ORÇAMENTO GERAL'!$J$61</f>
        <v>175</v>
      </c>
      <c r="Z84" s="486">
        <f>'ORÇAMENTO GERAL'!$J$62</f>
        <v>23.11</v>
      </c>
      <c r="AA84" s="486">
        <f>'ORÇAMENTO GERAL'!$J$63</f>
        <v>50.91</v>
      </c>
      <c r="AB84" s="486">
        <f>'ORÇAMENTO GERAL'!$J$64</f>
        <v>154.65</v>
      </c>
      <c r="AC84" s="495">
        <f t="shared" si="34"/>
        <v>0</v>
      </c>
    </row>
    <row r="85" spans="1:29" s="476" customFormat="1" ht="45" customHeight="1" hidden="1">
      <c r="A85" s="487">
        <f>DADOS!A21</f>
        <v>10</v>
      </c>
      <c r="B85" s="488">
        <f>DADOS!B21</f>
        <v>0</v>
      </c>
      <c r="C85" s="496">
        <v>1</v>
      </c>
      <c r="D85" s="492"/>
      <c r="E85" s="491">
        <f t="shared" si="42"/>
        <v>0</v>
      </c>
      <c r="F85" s="491">
        <f t="shared" si="35"/>
        <v>1.46</v>
      </c>
      <c r="G85" s="491">
        <f t="shared" si="36"/>
        <v>1.56</v>
      </c>
      <c r="H85" s="491">
        <f t="shared" si="29"/>
        <v>0</v>
      </c>
      <c r="I85" s="492">
        <f t="shared" si="37"/>
        <v>0</v>
      </c>
      <c r="J85" s="493">
        <f t="shared" si="38"/>
        <v>0</v>
      </c>
      <c r="K85" s="491">
        <f t="shared" si="30"/>
        <v>0</v>
      </c>
      <c r="L85" s="492">
        <f t="shared" si="39"/>
        <v>0</v>
      </c>
      <c r="M85" s="491">
        <f t="shared" si="31"/>
        <v>0</v>
      </c>
      <c r="N85" s="491">
        <f t="shared" si="40"/>
        <v>0</v>
      </c>
      <c r="O85" s="491">
        <f t="shared" si="41"/>
        <v>0</v>
      </c>
      <c r="P85" s="491">
        <f t="shared" si="32"/>
        <v>0</v>
      </c>
      <c r="Q85" s="615">
        <f t="shared" si="33"/>
        <v>0</v>
      </c>
      <c r="R85" s="494"/>
      <c r="S85" s="486">
        <f>'ORÇAMENTO GERAL'!$J$55</f>
        <v>536.71</v>
      </c>
      <c r="T85" s="486">
        <f>'ORÇAMENTO GERAL'!$J$56</f>
        <v>14.71</v>
      </c>
      <c r="U85" s="486">
        <f>'ORÇAMENTO GERAL'!$J$57</f>
        <v>7.69</v>
      </c>
      <c r="V85" s="486">
        <f>'ORÇAMENTO GERAL'!$J$58</f>
        <v>3.33</v>
      </c>
      <c r="W85" s="486">
        <f>'ORÇAMENTO GERAL'!$J$59</f>
        <v>7.11</v>
      </c>
      <c r="X85" s="486">
        <f>'ORÇAMENTO GERAL'!$J$60</f>
        <v>52.17</v>
      </c>
      <c r="Y85" s="486">
        <f>'ORÇAMENTO GERAL'!$J$61</f>
        <v>175</v>
      </c>
      <c r="Z85" s="486">
        <f>'ORÇAMENTO GERAL'!$J$62</f>
        <v>23.11</v>
      </c>
      <c r="AA85" s="486">
        <f>'ORÇAMENTO GERAL'!$J$63</f>
        <v>50.91</v>
      </c>
      <c r="AB85" s="486">
        <f>'ORÇAMENTO GERAL'!$J$64</f>
        <v>154.65</v>
      </c>
      <c r="AC85" s="495">
        <f t="shared" si="34"/>
        <v>0</v>
      </c>
    </row>
    <row r="86" spans="1:29" s="476" customFormat="1" ht="45" customHeight="1" hidden="1">
      <c r="A86" s="487">
        <f>DADOS!A22</f>
        <v>11</v>
      </c>
      <c r="B86" s="488">
        <f>DADOS!B22</f>
        <v>0</v>
      </c>
      <c r="C86" s="496">
        <v>1</v>
      </c>
      <c r="D86" s="492"/>
      <c r="E86" s="491">
        <f t="shared" si="42"/>
        <v>0</v>
      </c>
      <c r="F86" s="491">
        <f t="shared" si="35"/>
        <v>1.46</v>
      </c>
      <c r="G86" s="491">
        <f t="shared" si="36"/>
        <v>1.56</v>
      </c>
      <c r="H86" s="491">
        <f t="shared" si="29"/>
        <v>0</v>
      </c>
      <c r="I86" s="492">
        <f t="shared" si="37"/>
        <v>0</v>
      </c>
      <c r="J86" s="493">
        <f t="shared" si="38"/>
        <v>0</v>
      </c>
      <c r="K86" s="491">
        <f t="shared" si="30"/>
        <v>0</v>
      </c>
      <c r="L86" s="492">
        <f t="shared" si="39"/>
        <v>0</v>
      </c>
      <c r="M86" s="491">
        <f t="shared" si="31"/>
        <v>0</v>
      </c>
      <c r="N86" s="491">
        <f t="shared" si="40"/>
        <v>0</v>
      </c>
      <c r="O86" s="491">
        <f t="shared" si="41"/>
        <v>0</v>
      </c>
      <c r="P86" s="491">
        <f t="shared" si="32"/>
        <v>0</v>
      </c>
      <c r="Q86" s="615">
        <f t="shared" si="33"/>
        <v>0</v>
      </c>
      <c r="R86" s="494"/>
      <c r="S86" s="486">
        <f>'ORÇAMENTO GERAL'!$J$55</f>
        <v>536.71</v>
      </c>
      <c r="T86" s="486">
        <f>'ORÇAMENTO GERAL'!$J$56</f>
        <v>14.71</v>
      </c>
      <c r="U86" s="486">
        <f>'ORÇAMENTO GERAL'!$J$57</f>
        <v>7.69</v>
      </c>
      <c r="V86" s="486">
        <f>'ORÇAMENTO GERAL'!$J$58</f>
        <v>3.33</v>
      </c>
      <c r="W86" s="486">
        <f>'ORÇAMENTO GERAL'!$J$59</f>
        <v>7.11</v>
      </c>
      <c r="X86" s="486">
        <f>'ORÇAMENTO GERAL'!$J$60</f>
        <v>52.17</v>
      </c>
      <c r="Y86" s="486">
        <f>'ORÇAMENTO GERAL'!$J$61</f>
        <v>175</v>
      </c>
      <c r="Z86" s="486">
        <f>'ORÇAMENTO GERAL'!$J$62</f>
        <v>23.11</v>
      </c>
      <c r="AA86" s="486">
        <f>'ORÇAMENTO GERAL'!$J$63</f>
        <v>50.91</v>
      </c>
      <c r="AB86" s="486">
        <f>'ORÇAMENTO GERAL'!$J$64</f>
        <v>154.65</v>
      </c>
      <c r="AC86" s="495">
        <f t="shared" si="34"/>
        <v>0</v>
      </c>
    </row>
    <row r="87" spans="1:29" s="476" customFormat="1" ht="45" customHeight="1" hidden="1">
      <c r="A87" s="487">
        <f>DADOS!A23</f>
        <v>12</v>
      </c>
      <c r="B87" s="488">
        <f>DADOS!B23</f>
        <v>0</v>
      </c>
      <c r="C87" s="496">
        <v>1</v>
      </c>
      <c r="D87" s="492"/>
      <c r="E87" s="491">
        <f t="shared" si="42"/>
        <v>0</v>
      </c>
      <c r="F87" s="491">
        <f t="shared" si="35"/>
        <v>1.46</v>
      </c>
      <c r="G87" s="491">
        <f t="shared" si="36"/>
        <v>1.56</v>
      </c>
      <c r="H87" s="491">
        <f t="shared" si="29"/>
        <v>0</v>
      </c>
      <c r="I87" s="492">
        <f t="shared" si="37"/>
        <v>0</v>
      </c>
      <c r="J87" s="493">
        <f t="shared" si="38"/>
        <v>0</v>
      </c>
      <c r="K87" s="491">
        <f t="shared" si="30"/>
        <v>0</v>
      </c>
      <c r="L87" s="492">
        <f t="shared" si="39"/>
        <v>0</v>
      </c>
      <c r="M87" s="491">
        <f t="shared" si="31"/>
        <v>0</v>
      </c>
      <c r="N87" s="491">
        <f t="shared" si="40"/>
        <v>0</v>
      </c>
      <c r="O87" s="491">
        <f t="shared" si="41"/>
        <v>0</v>
      </c>
      <c r="P87" s="491">
        <f t="shared" si="32"/>
        <v>0</v>
      </c>
      <c r="Q87" s="615">
        <f t="shared" si="33"/>
        <v>0</v>
      </c>
      <c r="R87" s="494"/>
      <c r="S87" s="486">
        <f>'ORÇAMENTO GERAL'!$J$55</f>
        <v>536.71</v>
      </c>
      <c r="T87" s="486">
        <f>'ORÇAMENTO GERAL'!$J$56</f>
        <v>14.71</v>
      </c>
      <c r="U87" s="486">
        <f>'ORÇAMENTO GERAL'!$J$57</f>
        <v>7.69</v>
      </c>
      <c r="V87" s="486">
        <f>'ORÇAMENTO GERAL'!$J$58</f>
        <v>3.33</v>
      </c>
      <c r="W87" s="486">
        <f>'ORÇAMENTO GERAL'!$J$59</f>
        <v>7.11</v>
      </c>
      <c r="X87" s="486">
        <f>'ORÇAMENTO GERAL'!$J$60</f>
        <v>52.17</v>
      </c>
      <c r="Y87" s="486">
        <f>'ORÇAMENTO GERAL'!$J$61</f>
        <v>175</v>
      </c>
      <c r="Z87" s="486">
        <f>'ORÇAMENTO GERAL'!$J$62</f>
        <v>23.11</v>
      </c>
      <c r="AA87" s="486">
        <f>'ORÇAMENTO GERAL'!$J$63</f>
        <v>50.91</v>
      </c>
      <c r="AB87" s="486">
        <f>'ORÇAMENTO GERAL'!$J$64</f>
        <v>154.65</v>
      </c>
      <c r="AC87" s="495">
        <f t="shared" si="34"/>
        <v>0</v>
      </c>
    </row>
    <row r="88" spans="1:29" s="476" customFormat="1" ht="45" customHeight="1" hidden="1">
      <c r="A88" s="487">
        <f>DADOS!A24</f>
        <v>13</v>
      </c>
      <c r="B88" s="488">
        <f>DADOS!B24</f>
        <v>0</v>
      </c>
      <c r="C88" s="496">
        <v>1</v>
      </c>
      <c r="D88" s="492"/>
      <c r="E88" s="491">
        <f t="shared" si="42"/>
        <v>0</v>
      </c>
      <c r="F88" s="491">
        <f t="shared" si="35"/>
        <v>1.46</v>
      </c>
      <c r="G88" s="491">
        <f t="shared" si="36"/>
        <v>1.56</v>
      </c>
      <c r="H88" s="491">
        <f t="shared" si="29"/>
        <v>0</v>
      </c>
      <c r="I88" s="492">
        <f t="shared" si="37"/>
        <v>0</v>
      </c>
      <c r="J88" s="493">
        <f t="shared" si="38"/>
        <v>0</v>
      </c>
      <c r="K88" s="491">
        <f t="shared" si="30"/>
        <v>0</v>
      </c>
      <c r="L88" s="492">
        <f t="shared" si="39"/>
        <v>0</v>
      </c>
      <c r="M88" s="491">
        <f t="shared" si="31"/>
        <v>0</v>
      </c>
      <c r="N88" s="491">
        <f t="shared" si="40"/>
        <v>0</v>
      </c>
      <c r="O88" s="491">
        <f t="shared" si="41"/>
        <v>0</v>
      </c>
      <c r="P88" s="491">
        <f t="shared" si="32"/>
        <v>0</v>
      </c>
      <c r="Q88" s="615">
        <f t="shared" si="33"/>
        <v>0</v>
      </c>
      <c r="R88" s="494"/>
      <c r="S88" s="486">
        <f>'ORÇAMENTO GERAL'!$J$55</f>
        <v>536.71</v>
      </c>
      <c r="T88" s="486">
        <f>'ORÇAMENTO GERAL'!$J$56</f>
        <v>14.71</v>
      </c>
      <c r="U88" s="486">
        <f>'ORÇAMENTO GERAL'!$J$57</f>
        <v>7.69</v>
      </c>
      <c r="V88" s="486">
        <f>'ORÇAMENTO GERAL'!$J$58</f>
        <v>3.33</v>
      </c>
      <c r="W88" s="486">
        <f>'ORÇAMENTO GERAL'!$J$59</f>
        <v>7.11</v>
      </c>
      <c r="X88" s="486">
        <f>'ORÇAMENTO GERAL'!$J$60</f>
        <v>52.17</v>
      </c>
      <c r="Y88" s="486">
        <f>'ORÇAMENTO GERAL'!$J$61</f>
        <v>175</v>
      </c>
      <c r="Z88" s="486">
        <f>'ORÇAMENTO GERAL'!$J$62</f>
        <v>23.11</v>
      </c>
      <c r="AA88" s="486">
        <f>'ORÇAMENTO GERAL'!$J$63</f>
        <v>50.91</v>
      </c>
      <c r="AB88" s="486">
        <f>'ORÇAMENTO GERAL'!$J$64</f>
        <v>154.65</v>
      </c>
      <c r="AC88" s="495">
        <f t="shared" si="34"/>
        <v>0</v>
      </c>
    </row>
    <row r="89" spans="1:29" s="476" customFormat="1" ht="45" customHeight="1" hidden="1">
      <c r="A89" s="487">
        <f>DADOS!A25</f>
        <v>14</v>
      </c>
      <c r="B89" s="488">
        <f>DADOS!B25</f>
        <v>0</v>
      </c>
      <c r="C89" s="496">
        <v>1</v>
      </c>
      <c r="D89" s="492"/>
      <c r="E89" s="491">
        <f t="shared" si="42"/>
        <v>0</v>
      </c>
      <c r="F89" s="491">
        <f t="shared" si="35"/>
        <v>1.46</v>
      </c>
      <c r="G89" s="491">
        <f t="shared" si="36"/>
        <v>1.56</v>
      </c>
      <c r="H89" s="491">
        <f t="shared" si="29"/>
        <v>0</v>
      </c>
      <c r="I89" s="492">
        <f t="shared" si="37"/>
        <v>0</v>
      </c>
      <c r="J89" s="493">
        <f t="shared" si="38"/>
        <v>0</v>
      </c>
      <c r="K89" s="491">
        <f t="shared" si="30"/>
        <v>0</v>
      </c>
      <c r="L89" s="492">
        <f t="shared" si="39"/>
        <v>0</v>
      </c>
      <c r="M89" s="491">
        <f t="shared" si="31"/>
        <v>0</v>
      </c>
      <c r="N89" s="491">
        <f t="shared" si="40"/>
        <v>0</v>
      </c>
      <c r="O89" s="491">
        <f t="shared" si="41"/>
        <v>0</v>
      </c>
      <c r="P89" s="491">
        <f t="shared" si="32"/>
        <v>0</v>
      </c>
      <c r="Q89" s="615">
        <f t="shared" si="33"/>
        <v>0</v>
      </c>
      <c r="R89" s="494"/>
      <c r="S89" s="486">
        <f>'ORÇAMENTO GERAL'!$J$55</f>
        <v>536.71</v>
      </c>
      <c r="T89" s="486">
        <f>'ORÇAMENTO GERAL'!$J$56</f>
        <v>14.71</v>
      </c>
      <c r="U89" s="486">
        <f>'ORÇAMENTO GERAL'!$J$57</f>
        <v>7.69</v>
      </c>
      <c r="V89" s="486">
        <f>'ORÇAMENTO GERAL'!$J$58</f>
        <v>3.33</v>
      </c>
      <c r="W89" s="486">
        <f>'ORÇAMENTO GERAL'!$J$59</f>
        <v>7.11</v>
      </c>
      <c r="X89" s="486">
        <f>'ORÇAMENTO GERAL'!$J$60</f>
        <v>52.17</v>
      </c>
      <c r="Y89" s="486">
        <f>'ORÇAMENTO GERAL'!$J$61</f>
        <v>175</v>
      </c>
      <c r="Z89" s="486">
        <f>'ORÇAMENTO GERAL'!$J$62</f>
        <v>23.11</v>
      </c>
      <c r="AA89" s="486">
        <f>'ORÇAMENTO GERAL'!$J$63</f>
        <v>50.91</v>
      </c>
      <c r="AB89" s="486">
        <f>'ORÇAMENTO GERAL'!$J$64</f>
        <v>154.65</v>
      </c>
      <c r="AC89" s="495">
        <f t="shared" si="34"/>
        <v>0</v>
      </c>
    </row>
    <row r="90" spans="1:29" s="476" customFormat="1" ht="45" customHeight="1" hidden="1">
      <c r="A90" s="487">
        <f>DADOS!A26</f>
        <v>15</v>
      </c>
      <c r="B90" s="488">
        <f>DADOS!B26</f>
        <v>0</v>
      </c>
      <c r="C90" s="496">
        <v>1</v>
      </c>
      <c r="D90" s="492"/>
      <c r="E90" s="491">
        <f t="shared" si="42"/>
        <v>0</v>
      </c>
      <c r="F90" s="491">
        <f t="shared" si="35"/>
        <v>1.46</v>
      </c>
      <c r="G90" s="491">
        <f t="shared" si="36"/>
        <v>1.56</v>
      </c>
      <c r="H90" s="491">
        <f t="shared" si="29"/>
        <v>0</v>
      </c>
      <c r="I90" s="492">
        <f t="shared" si="37"/>
        <v>0</v>
      </c>
      <c r="J90" s="493">
        <f t="shared" si="38"/>
        <v>0</v>
      </c>
      <c r="K90" s="491">
        <f t="shared" si="30"/>
        <v>0</v>
      </c>
      <c r="L90" s="492">
        <f t="shared" si="39"/>
        <v>0</v>
      </c>
      <c r="M90" s="491">
        <f t="shared" si="31"/>
        <v>0</v>
      </c>
      <c r="N90" s="491">
        <f t="shared" si="40"/>
        <v>0</v>
      </c>
      <c r="O90" s="491">
        <f t="shared" si="41"/>
        <v>0</v>
      </c>
      <c r="P90" s="491">
        <f t="shared" si="32"/>
        <v>0</v>
      </c>
      <c r="Q90" s="615">
        <f t="shared" si="33"/>
        <v>0</v>
      </c>
      <c r="R90" s="494"/>
      <c r="S90" s="486">
        <f>'ORÇAMENTO GERAL'!$J$55</f>
        <v>536.71</v>
      </c>
      <c r="T90" s="486">
        <f>'ORÇAMENTO GERAL'!$J$56</f>
        <v>14.71</v>
      </c>
      <c r="U90" s="486">
        <f>'ORÇAMENTO GERAL'!$J$57</f>
        <v>7.69</v>
      </c>
      <c r="V90" s="486">
        <f>'ORÇAMENTO GERAL'!$J$58</f>
        <v>3.33</v>
      </c>
      <c r="W90" s="486">
        <f>'ORÇAMENTO GERAL'!$J$59</f>
        <v>7.11</v>
      </c>
      <c r="X90" s="486">
        <f>'ORÇAMENTO GERAL'!$J$60</f>
        <v>52.17</v>
      </c>
      <c r="Y90" s="486">
        <f>'ORÇAMENTO GERAL'!$J$61</f>
        <v>175</v>
      </c>
      <c r="Z90" s="486">
        <f>'ORÇAMENTO GERAL'!$J$62</f>
        <v>23.11</v>
      </c>
      <c r="AA90" s="486">
        <f>'ORÇAMENTO GERAL'!$J$63</f>
        <v>50.91</v>
      </c>
      <c r="AB90" s="486">
        <f>'ORÇAMENTO GERAL'!$J$64</f>
        <v>154.65</v>
      </c>
      <c r="AC90" s="495">
        <f t="shared" si="34"/>
        <v>0</v>
      </c>
    </row>
    <row r="91" spans="1:29" s="476" customFormat="1" ht="45" customHeight="1" hidden="1">
      <c r="A91" s="487">
        <f>DADOS!A27</f>
        <v>16</v>
      </c>
      <c r="B91" s="488">
        <f>DADOS!B27</f>
        <v>0</v>
      </c>
      <c r="C91" s="496">
        <v>1</v>
      </c>
      <c r="D91" s="492"/>
      <c r="E91" s="491">
        <f t="shared" si="42"/>
        <v>0</v>
      </c>
      <c r="F91" s="491">
        <f t="shared" si="35"/>
        <v>1.46</v>
      </c>
      <c r="G91" s="491">
        <f t="shared" si="36"/>
        <v>1.56</v>
      </c>
      <c r="H91" s="491">
        <f t="shared" si="29"/>
        <v>0</v>
      </c>
      <c r="I91" s="492">
        <f t="shared" si="37"/>
        <v>0</v>
      </c>
      <c r="J91" s="493">
        <f t="shared" si="38"/>
        <v>0</v>
      </c>
      <c r="K91" s="491">
        <f t="shared" si="30"/>
        <v>0</v>
      </c>
      <c r="L91" s="492">
        <f t="shared" si="39"/>
        <v>0</v>
      </c>
      <c r="M91" s="491">
        <f t="shared" si="31"/>
        <v>0</v>
      </c>
      <c r="N91" s="491">
        <f t="shared" si="40"/>
        <v>0</v>
      </c>
      <c r="O91" s="491">
        <f t="shared" si="41"/>
        <v>0</v>
      </c>
      <c r="P91" s="491">
        <f t="shared" si="32"/>
        <v>0</v>
      </c>
      <c r="Q91" s="615">
        <f t="shared" si="33"/>
        <v>0</v>
      </c>
      <c r="R91" s="494"/>
      <c r="S91" s="486">
        <f>'ORÇAMENTO GERAL'!$J$55</f>
        <v>536.71</v>
      </c>
      <c r="T91" s="486">
        <f>'ORÇAMENTO GERAL'!$J$56</f>
        <v>14.71</v>
      </c>
      <c r="U91" s="486">
        <f>'ORÇAMENTO GERAL'!$J$57</f>
        <v>7.69</v>
      </c>
      <c r="V91" s="486">
        <f>'ORÇAMENTO GERAL'!$J$58</f>
        <v>3.33</v>
      </c>
      <c r="W91" s="486">
        <f>'ORÇAMENTO GERAL'!$J$59</f>
        <v>7.11</v>
      </c>
      <c r="X91" s="486">
        <f>'ORÇAMENTO GERAL'!$J$60</f>
        <v>52.17</v>
      </c>
      <c r="Y91" s="486">
        <f>'ORÇAMENTO GERAL'!$J$61</f>
        <v>175</v>
      </c>
      <c r="Z91" s="486">
        <f>'ORÇAMENTO GERAL'!$J$62</f>
        <v>23.11</v>
      </c>
      <c r="AA91" s="486">
        <f>'ORÇAMENTO GERAL'!$J$63</f>
        <v>50.91</v>
      </c>
      <c r="AB91" s="486">
        <f>'ORÇAMENTO GERAL'!$J$64</f>
        <v>154.65</v>
      </c>
      <c r="AC91" s="495">
        <f t="shared" si="34"/>
        <v>0</v>
      </c>
    </row>
    <row r="92" spans="1:29" s="476" customFormat="1" ht="45" customHeight="1" hidden="1">
      <c r="A92" s="487">
        <f>DADOS!A28</f>
        <v>17</v>
      </c>
      <c r="B92" s="488">
        <f>DADOS!B28</f>
        <v>0</v>
      </c>
      <c r="C92" s="496">
        <v>1</v>
      </c>
      <c r="D92" s="492"/>
      <c r="E92" s="491">
        <f t="shared" si="42"/>
        <v>0</v>
      </c>
      <c r="F92" s="491">
        <f t="shared" si="35"/>
        <v>1.46</v>
      </c>
      <c r="G92" s="491">
        <f t="shared" si="36"/>
        <v>1.56</v>
      </c>
      <c r="H92" s="491">
        <f t="shared" si="29"/>
        <v>0</v>
      </c>
      <c r="I92" s="492">
        <f t="shared" si="37"/>
        <v>0</v>
      </c>
      <c r="J92" s="493">
        <f t="shared" si="38"/>
        <v>0</v>
      </c>
      <c r="K92" s="491">
        <f t="shared" si="30"/>
        <v>0</v>
      </c>
      <c r="L92" s="492">
        <f t="shared" si="39"/>
        <v>0</v>
      </c>
      <c r="M92" s="491">
        <f t="shared" si="31"/>
        <v>0</v>
      </c>
      <c r="N92" s="491">
        <f t="shared" si="40"/>
        <v>0</v>
      </c>
      <c r="O92" s="491">
        <f t="shared" si="41"/>
        <v>0</v>
      </c>
      <c r="P92" s="491">
        <f t="shared" si="32"/>
        <v>0</v>
      </c>
      <c r="Q92" s="615">
        <f t="shared" si="33"/>
        <v>0</v>
      </c>
      <c r="R92" s="494"/>
      <c r="S92" s="486">
        <f>'ORÇAMENTO GERAL'!$J$55</f>
        <v>536.71</v>
      </c>
      <c r="T92" s="486">
        <f>'ORÇAMENTO GERAL'!$J$56</f>
        <v>14.71</v>
      </c>
      <c r="U92" s="486">
        <f>'ORÇAMENTO GERAL'!$J$57</f>
        <v>7.69</v>
      </c>
      <c r="V92" s="486">
        <f>'ORÇAMENTO GERAL'!$J$58</f>
        <v>3.33</v>
      </c>
      <c r="W92" s="486">
        <f>'ORÇAMENTO GERAL'!$J$59</f>
        <v>7.11</v>
      </c>
      <c r="X92" s="486">
        <f>'ORÇAMENTO GERAL'!$J$60</f>
        <v>52.17</v>
      </c>
      <c r="Y92" s="486">
        <f>'ORÇAMENTO GERAL'!$J$61</f>
        <v>175</v>
      </c>
      <c r="Z92" s="486">
        <f>'ORÇAMENTO GERAL'!$J$62</f>
        <v>23.11</v>
      </c>
      <c r="AA92" s="486">
        <f>'ORÇAMENTO GERAL'!$J$63</f>
        <v>50.91</v>
      </c>
      <c r="AB92" s="486">
        <f>'ORÇAMENTO GERAL'!$J$64</f>
        <v>154.65</v>
      </c>
      <c r="AC92" s="495">
        <f t="shared" si="34"/>
        <v>0</v>
      </c>
    </row>
    <row r="93" spans="1:29" s="476" customFormat="1" ht="45" customHeight="1" hidden="1">
      <c r="A93" s="487">
        <f>DADOS!A29</f>
        <v>18</v>
      </c>
      <c r="B93" s="488">
        <f>DADOS!B29</f>
        <v>0</v>
      </c>
      <c r="C93" s="496">
        <v>1</v>
      </c>
      <c r="D93" s="492"/>
      <c r="E93" s="491">
        <f t="shared" si="42"/>
        <v>0</v>
      </c>
      <c r="F93" s="491">
        <f t="shared" si="35"/>
        <v>1.46</v>
      </c>
      <c r="G93" s="491">
        <f t="shared" si="36"/>
        <v>1.56</v>
      </c>
      <c r="H93" s="491">
        <f t="shared" si="29"/>
        <v>0</v>
      </c>
      <c r="I93" s="492">
        <f t="shared" si="37"/>
        <v>0</v>
      </c>
      <c r="J93" s="493">
        <f t="shared" si="38"/>
        <v>0</v>
      </c>
      <c r="K93" s="491">
        <f t="shared" si="30"/>
        <v>0</v>
      </c>
      <c r="L93" s="492">
        <f t="shared" si="39"/>
        <v>0</v>
      </c>
      <c r="M93" s="491">
        <f t="shared" si="31"/>
        <v>0</v>
      </c>
      <c r="N93" s="491">
        <f t="shared" si="40"/>
        <v>0</v>
      </c>
      <c r="O93" s="491">
        <f t="shared" si="41"/>
        <v>0</v>
      </c>
      <c r="P93" s="491">
        <f t="shared" si="32"/>
        <v>0</v>
      </c>
      <c r="Q93" s="615">
        <f t="shared" si="33"/>
        <v>0</v>
      </c>
      <c r="R93" s="494"/>
      <c r="S93" s="486">
        <f>'ORÇAMENTO GERAL'!$J$55</f>
        <v>536.71</v>
      </c>
      <c r="T93" s="486">
        <f>'ORÇAMENTO GERAL'!$J$56</f>
        <v>14.71</v>
      </c>
      <c r="U93" s="486">
        <f>'ORÇAMENTO GERAL'!$J$57</f>
        <v>7.69</v>
      </c>
      <c r="V93" s="486">
        <f>'ORÇAMENTO GERAL'!$J$58</f>
        <v>3.33</v>
      </c>
      <c r="W93" s="486">
        <f>'ORÇAMENTO GERAL'!$J$59</f>
        <v>7.11</v>
      </c>
      <c r="X93" s="486">
        <f>'ORÇAMENTO GERAL'!$J$60</f>
        <v>52.17</v>
      </c>
      <c r="Y93" s="486">
        <f>'ORÇAMENTO GERAL'!$J$61</f>
        <v>175</v>
      </c>
      <c r="Z93" s="486">
        <f>'ORÇAMENTO GERAL'!$J$62</f>
        <v>23.11</v>
      </c>
      <c r="AA93" s="486">
        <f>'ORÇAMENTO GERAL'!$J$63</f>
        <v>50.91</v>
      </c>
      <c r="AB93" s="486">
        <f>'ORÇAMENTO GERAL'!$J$64</f>
        <v>154.65</v>
      </c>
      <c r="AC93" s="495">
        <f t="shared" si="34"/>
        <v>0</v>
      </c>
    </row>
    <row r="94" spans="1:29" s="476" customFormat="1" ht="45" customHeight="1" hidden="1">
      <c r="A94" s="487">
        <f>DADOS!A30</f>
        <v>19</v>
      </c>
      <c r="B94" s="488">
        <f>DADOS!B30</f>
        <v>0</v>
      </c>
      <c r="C94" s="496">
        <v>1</v>
      </c>
      <c r="D94" s="492"/>
      <c r="E94" s="491">
        <f t="shared" si="42"/>
        <v>0</v>
      </c>
      <c r="F94" s="491">
        <f t="shared" si="35"/>
        <v>1.46</v>
      </c>
      <c r="G94" s="491">
        <f t="shared" si="36"/>
        <v>1.56</v>
      </c>
      <c r="H94" s="491">
        <f t="shared" si="29"/>
        <v>0</v>
      </c>
      <c r="I94" s="492">
        <f t="shared" si="37"/>
        <v>0</v>
      </c>
      <c r="J94" s="493">
        <f t="shared" si="38"/>
        <v>0</v>
      </c>
      <c r="K94" s="491">
        <f t="shared" si="30"/>
        <v>0</v>
      </c>
      <c r="L94" s="492">
        <f t="shared" si="39"/>
        <v>0</v>
      </c>
      <c r="M94" s="491">
        <f t="shared" si="31"/>
        <v>0</v>
      </c>
      <c r="N94" s="491">
        <f t="shared" si="40"/>
        <v>0</v>
      </c>
      <c r="O94" s="491">
        <f t="shared" si="41"/>
        <v>0</v>
      </c>
      <c r="P94" s="491">
        <f t="shared" si="32"/>
        <v>0</v>
      </c>
      <c r="Q94" s="615">
        <f t="shared" si="33"/>
        <v>0</v>
      </c>
      <c r="R94" s="494"/>
      <c r="S94" s="486">
        <f>'ORÇAMENTO GERAL'!$J$55</f>
        <v>536.71</v>
      </c>
      <c r="T94" s="486">
        <f>'ORÇAMENTO GERAL'!$J$56</f>
        <v>14.71</v>
      </c>
      <c r="U94" s="486">
        <f>'ORÇAMENTO GERAL'!$J$57</f>
        <v>7.69</v>
      </c>
      <c r="V94" s="486">
        <f>'ORÇAMENTO GERAL'!$J$58</f>
        <v>3.33</v>
      </c>
      <c r="W94" s="486">
        <f>'ORÇAMENTO GERAL'!$J$59</f>
        <v>7.11</v>
      </c>
      <c r="X94" s="486">
        <f>'ORÇAMENTO GERAL'!$J$60</f>
        <v>52.17</v>
      </c>
      <c r="Y94" s="486">
        <f>'ORÇAMENTO GERAL'!$J$61</f>
        <v>175</v>
      </c>
      <c r="Z94" s="486">
        <f>'ORÇAMENTO GERAL'!$J$62</f>
        <v>23.11</v>
      </c>
      <c r="AA94" s="486">
        <f>'ORÇAMENTO GERAL'!$J$63</f>
        <v>50.91</v>
      </c>
      <c r="AB94" s="486">
        <f>'ORÇAMENTO GERAL'!$J$64</f>
        <v>154.65</v>
      </c>
      <c r="AC94" s="495">
        <f t="shared" si="34"/>
        <v>0</v>
      </c>
    </row>
    <row r="95" spans="1:29" s="476" customFormat="1" ht="45" customHeight="1" hidden="1" thickBot="1">
      <c r="A95" s="487">
        <f>DADOS!A31</f>
        <v>20</v>
      </c>
      <c r="B95" s="488">
        <f>DADOS!B31</f>
        <v>0</v>
      </c>
      <c r="C95" s="496">
        <v>1</v>
      </c>
      <c r="D95" s="492"/>
      <c r="E95" s="491">
        <f t="shared" si="42"/>
        <v>0</v>
      </c>
      <c r="F95" s="491">
        <f t="shared" si="35"/>
        <v>1.46</v>
      </c>
      <c r="G95" s="491">
        <f t="shared" si="36"/>
        <v>1.56</v>
      </c>
      <c r="H95" s="491">
        <f t="shared" si="29"/>
        <v>0</v>
      </c>
      <c r="I95" s="492">
        <f t="shared" si="37"/>
        <v>0</v>
      </c>
      <c r="J95" s="493">
        <f t="shared" si="38"/>
        <v>0</v>
      </c>
      <c r="K95" s="491">
        <f t="shared" si="30"/>
        <v>0</v>
      </c>
      <c r="L95" s="492">
        <f t="shared" si="39"/>
        <v>0</v>
      </c>
      <c r="M95" s="491">
        <f t="shared" si="31"/>
        <v>0</v>
      </c>
      <c r="N95" s="491">
        <f t="shared" si="40"/>
        <v>0</v>
      </c>
      <c r="O95" s="491">
        <f t="shared" si="41"/>
        <v>0</v>
      </c>
      <c r="P95" s="491">
        <f t="shared" si="32"/>
        <v>0</v>
      </c>
      <c r="Q95" s="615">
        <f t="shared" si="33"/>
        <v>0</v>
      </c>
      <c r="R95" s="494"/>
      <c r="S95" s="486">
        <f>'ORÇAMENTO GERAL'!$J$55</f>
        <v>536.71</v>
      </c>
      <c r="T95" s="486">
        <f>'ORÇAMENTO GERAL'!$J$56</f>
        <v>14.71</v>
      </c>
      <c r="U95" s="486">
        <f>'ORÇAMENTO GERAL'!$J$57</f>
        <v>7.69</v>
      </c>
      <c r="V95" s="486">
        <f>'ORÇAMENTO GERAL'!$J$58</f>
        <v>3.33</v>
      </c>
      <c r="W95" s="486">
        <f>'ORÇAMENTO GERAL'!$J$59</f>
        <v>7.11</v>
      </c>
      <c r="X95" s="486">
        <f>'ORÇAMENTO GERAL'!$J$60</f>
        <v>52.17</v>
      </c>
      <c r="Y95" s="486">
        <f>'ORÇAMENTO GERAL'!$J$61</f>
        <v>175</v>
      </c>
      <c r="Z95" s="486">
        <f>'ORÇAMENTO GERAL'!$J$62</f>
        <v>23.11</v>
      </c>
      <c r="AA95" s="486">
        <f>'ORÇAMENTO GERAL'!$J$63</f>
        <v>50.91</v>
      </c>
      <c r="AB95" s="486">
        <f>'ORÇAMENTO GERAL'!$J$64</f>
        <v>154.65</v>
      </c>
      <c r="AC95" s="495">
        <f t="shared" si="34"/>
        <v>0</v>
      </c>
    </row>
    <row r="96" spans="1:18" s="476" customFormat="1" ht="45" customHeight="1" hidden="1" thickBot="1">
      <c r="A96" s="886" t="s">
        <v>23</v>
      </c>
      <c r="B96" s="887"/>
      <c r="C96" s="498"/>
      <c r="D96" s="498"/>
      <c r="E96" s="498">
        <f>SUM(E76:E95)</f>
        <v>0</v>
      </c>
      <c r="F96" s="498"/>
      <c r="G96" s="498"/>
      <c r="H96" s="498">
        <f>SUM(H76:H95)</f>
        <v>0</v>
      </c>
      <c r="I96" s="498">
        <f aca="true" t="shared" si="43" ref="I96:Q96">SUM(I76:I95)</f>
        <v>0</v>
      </c>
      <c r="J96" s="498">
        <f t="shared" si="43"/>
        <v>0</v>
      </c>
      <c r="K96" s="498">
        <f t="shared" si="43"/>
        <v>0</v>
      </c>
      <c r="L96" s="498">
        <f t="shared" si="43"/>
        <v>0</v>
      </c>
      <c r="M96" s="498">
        <f t="shared" si="43"/>
        <v>0</v>
      </c>
      <c r="N96" s="498">
        <f t="shared" si="43"/>
        <v>0</v>
      </c>
      <c r="O96" s="498">
        <f t="shared" si="43"/>
        <v>0</v>
      </c>
      <c r="P96" s="498">
        <f t="shared" si="43"/>
        <v>0</v>
      </c>
      <c r="Q96" s="498">
        <f t="shared" si="43"/>
        <v>0</v>
      </c>
      <c r="R96" s="499"/>
    </row>
    <row r="97" spans="1:17" s="476" customFormat="1" ht="45" customHeight="1" hidden="1" thickBot="1">
      <c r="A97" s="619"/>
      <c r="B97" s="617"/>
      <c r="C97" s="620"/>
      <c r="D97" s="620"/>
      <c r="E97" s="620"/>
      <c r="F97" s="620"/>
      <c r="G97" s="620"/>
      <c r="H97" s="617"/>
      <c r="I97" s="617"/>
      <c r="J97" s="617"/>
      <c r="K97" s="617"/>
      <c r="L97" s="617"/>
      <c r="M97" s="617"/>
      <c r="N97" s="617"/>
      <c r="O97" s="617"/>
      <c r="P97" s="617"/>
      <c r="Q97" s="618"/>
    </row>
    <row r="98" spans="1:18" s="476" customFormat="1" ht="45" customHeight="1" hidden="1" thickBot="1">
      <c r="A98" s="881" t="s">
        <v>369</v>
      </c>
      <c r="B98" s="882"/>
      <c r="C98" s="882"/>
      <c r="D98" s="882"/>
      <c r="E98" s="882"/>
      <c r="F98" s="882"/>
      <c r="G98" s="882"/>
      <c r="H98" s="882"/>
      <c r="I98" s="882"/>
      <c r="J98" s="882"/>
      <c r="K98" s="882"/>
      <c r="L98" s="882"/>
      <c r="M98" s="882"/>
      <c r="N98" s="882"/>
      <c r="O98" s="882"/>
      <c r="P98" s="882"/>
      <c r="Q98" s="883"/>
      <c r="R98" s="475"/>
    </row>
    <row r="99" spans="1:18" s="476" customFormat="1" ht="45" customHeight="1" hidden="1">
      <c r="A99" s="888" t="s">
        <v>6</v>
      </c>
      <c r="B99" s="891" t="s">
        <v>370</v>
      </c>
      <c r="C99" s="878" t="s">
        <v>564</v>
      </c>
      <c r="D99" s="878"/>
      <c r="E99" s="878"/>
      <c r="F99" s="884" t="s">
        <v>531</v>
      </c>
      <c r="G99" s="884"/>
      <c r="H99" s="884"/>
      <c r="I99" s="884" t="s">
        <v>532</v>
      </c>
      <c r="J99" s="897" t="s">
        <v>535</v>
      </c>
      <c r="K99" s="884" t="s">
        <v>362</v>
      </c>
      <c r="L99" s="884" t="s">
        <v>364</v>
      </c>
      <c r="M99" s="871" t="s">
        <v>363</v>
      </c>
      <c r="N99" s="874" t="s">
        <v>533</v>
      </c>
      <c r="O99" s="874" t="s">
        <v>600</v>
      </c>
      <c r="P99" s="874" t="s">
        <v>534</v>
      </c>
      <c r="Q99" s="876" t="s">
        <v>365</v>
      </c>
      <c r="R99" s="475"/>
    </row>
    <row r="100" spans="1:18" s="476" customFormat="1" ht="45" customHeight="1" hidden="1">
      <c r="A100" s="889"/>
      <c r="B100" s="892"/>
      <c r="C100" s="879"/>
      <c r="D100" s="879"/>
      <c r="E100" s="879"/>
      <c r="F100" s="885"/>
      <c r="G100" s="885"/>
      <c r="H100" s="885"/>
      <c r="I100" s="885"/>
      <c r="J100" s="898"/>
      <c r="K100" s="885"/>
      <c r="L100" s="885"/>
      <c r="M100" s="872"/>
      <c r="N100" s="875"/>
      <c r="O100" s="875"/>
      <c r="P100" s="880"/>
      <c r="Q100" s="877"/>
      <c r="R100" s="475"/>
    </row>
    <row r="101" spans="1:18" s="476" customFormat="1" ht="45" customHeight="1" hidden="1">
      <c r="A101" s="889"/>
      <c r="B101" s="892"/>
      <c r="C101" s="479" t="s">
        <v>153</v>
      </c>
      <c r="D101" s="480" t="s">
        <v>377</v>
      </c>
      <c r="E101" s="479" t="s">
        <v>361</v>
      </c>
      <c r="F101" s="479" t="s">
        <v>355</v>
      </c>
      <c r="G101" s="479" t="s">
        <v>360</v>
      </c>
      <c r="H101" s="479" t="s">
        <v>23</v>
      </c>
      <c r="I101" s="885"/>
      <c r="J101" s="898"/>
      <c r="K101" s="885"/>
      <c r="L101" s="885"/>
      <c r="M101" s="873"/>
      <c r="N101" s="479" t="s">
        <v>23</v>
      </c>
      <c r="O101" s="479" t="s">
        <v>23</v>
      </c>
      <c r="P101" s="875"/>
      <c r="Q101" s="877"/>
      <c r="R101" s="475"/>
    </row>
    <row r="102" spans="1:29" s="476" customFormat="1" ht="60" customHeight="1" hidden="1">
      <c r="A102" s="889"/>
      <c r="B102" s="892"/>
      <c r="C102" s="753"/>
      <c r="D102" s="753"/>
      <c r="E102" s="753" t="s">
        <v>54</v>
      </c>
      <c r="F102" s="753" t="s">
        <v>57</v>
      </c>
      <c r="G102" s="753" t="s">
        <v>15</v>
      </c>
      <c r="H102" s="753" t="s">
        <v>773</v>
      </c>
      <c r="I102" s="753" t="s">
        <v>778</v>
      </c>
      <c r="J102" s="751" t="s">
        <v>774</v>
      </c>
      <c r="K102" s="753" t="s">
        <v>775</v>
      </c>
      <c r="L102" s="753" t="s">
        <v>776</v>
      </c>
      <c r="M102" s="753" t="s">
        <v>777</v>
      </c>
      <c r="N102" s="753" t="s">
        <v>779</v>
      </c>
      <c r="O102" s="753" t="s">
        <v>780</v>
      </c>
      <c r="P102" s="753" t="s">
        <v>781</v>
      </c>
      <c r="Q102" s="750" t="s">
        <v>782</v>
      </c>
      <c r="R102" s="475"/>
      <c r="S102" s="894" t="s">
        <v>547</v>
      </c>
      <c r="T102" s="895"/>
      <c r="U102" s="895"/>
      <c r="V102" s="895"/>
      <c r="W102" s="895"/>
      <c r="X102" s="895"/>
      <c r="Y102" s="895"/>
      <c r="Z102" s="895"/>
      <c r="AA102" s="895"/>
      <c r="AB102" s="895"/>
      <c r="AC102" s="896"/>
    </row>
    <row r="103" spans="1:29" s="476" customFormat="1" ht="60" customHeight="1" hidden="1" thickBot="1">
      <c r="A103" s="890"/>
      <c r="B103" s="893"/>
      <c r="C103" s="482" t="s">
        <v>359</v>
      </c>
      <c r="D103" s="482" t="s">
        <v>356</v>
      </c>
      <c r="E103" s="482" t="s">
        <v>356</v>
      </c>
      <c r="F103" s="482" t="s">
        <v>581</v>
      </c>
      <c r="G103" s="484" t="s">
        <v>783</v>
      </c>
      <c r="H103" s="482"/>
      <c r="I103" s="482"/>
      <c r="J103" s="483">
        <v>10</v>
      </c>
      <c r="K103" s="482"/>
      <c r="L103" s="482"/>
      <c r="M103" s="482"/>
      <c r="N103" s="482"/>
      <c r="O103" s="484"/>
      <c r="P103" s="484" t="s">
        <v>598</v>
      </c>
      <c r="Q103" s="614"/>
      <c r="R103" s="485"/>
      <c r="S103" s="480" t="s">
        <v>540</v>
      </c>
      <c r="T103" s="480" t="s">
        <v>541</v>
      </c>
      <c r="U103" s="480" t="s">
        <v>542</v>
      </c>
      <c r="V103" s="480" t="s">
        <v>543</v>
      </c>
      <c r="W103" s="480" t="s">
        <v>544</v>
      </c>
      <c r="X103" s="480" t="s">
        <v>371</v>
      </c>
      <c r="Y103" s="479" t="s">
        <v>533</v>
      </c>
      <c r="Z103" s="479" t="s">
        <v>600</v>
      </c>
      <c r="AA103" s="479" t="s">
        <v>534</v>
      </c>
      <c r="AB103" s="479" t="s">
        <v>365</v>
      </c>
      <c r="AC103" s="486" t="s">
        <v>23</v>
      </c>
    </row>
    <row r="104" spans="1:29" s="476" customFormat="1" ht="45" customHeight="1" hidden="1">
      <c r="A104" s="487">
        <f>DADOS!A12</f>
        <v>1</v>
      </c>
      <c r="B104" s="506" t="str">
        <f>DADOS!B12</f>
        <v>R. CANARINHO</v>
      </c>
      <c r="C104" s="489">
        <v>1</v>
      </c>
      <c r="D104" s="490"/>
      <c r="E104" s="489">
        <f>C104*D104</f>
        <v>0</v>
      </c>
      <c r="F104" s="491">
        <f>1.2+0.5</f>
        <v>1.7</v>
      </c>
      <c r="G104" s="491">
        <f>((1.2+0.6)+((1.2+0.6)+(E104*0.5%)))/2</f>
        <v>1.8</v>
      </c>
      <c r="H104" s="491">
        <f aca="true" t="shared" si="44" ref="H104:H123">E104*F104*G104</f>
        <v>0</v>
      </c>
      <c r="I104" s="492">
        <f>M104</f>
        <v>0</v>
      </c>
      <c r="J104" s="493">
        <f>I104*1.25*$J$19</f>
        <v>0</v>
      </c>
      <c r="K104" s="491">
        <f aca="true" t="shared" si="45" ref="K104:K123">E104*F104</f>
        <v>0</v>
      </c>
      <c r="L104" s="492">
        <f>K104</f>
        <v>0</v>
      </c>
      <c r="M104" s="491">
        <f aca="true" t="shared" si="46" ref="M104:M123">(3.14*0.5^2)*E104</f>
        <v>0</v>
      </c>
      <c r="N104" s="491">
        <f>(H104-M104)*70%</f>
        <v>0</v>
      </c>
      <c r="O104" s="491">
        <f>(H104-M104)*30%</f>
        <v>0</v>
      </c>
      <c r="P104" s="491">
        <f aca="true" t="shared" si="47" ref="P104:P123">IF(G104&gt;1.5,D104*G104*2,)</f>
        <v>0</v>
      </c>
      <c r="Q104" s="615">
        <f aca="true" t="shared" si="48" ref="Q104:Q123">E104</f>
        <v>0</v>
      </c>
      <c r="R104" s="494"/>
      <c r="S104" s="495">
        <f>'ORÇAMENTO GERAL'!$J$65</f>
        <v>778.27</v>
      </c>
      <c r="T104" s="495">
        <f>'ORÇAMENTO GERAL'!$J$66</f>
        <v>14.71</v>
      </c>
      <c r="U104" s="495">
        <f>'ORÇAMENTO GERAL'!$J$67</f>
        <v>7.69</v>
      </c>
      <c r="V104" s="495">
        <f>'ORÇAMENTO GERAL'!$J$68</f>
        <v>3.33</v>
      </c>
      <c r="W104" s="495">
        <f>'ORÇAMENTO GERAL'!$J$69</f>
        <v>7.11</v>
      </c>
      <c r="X104" s="495">
        <f>'ORÇAMENTO GERAL'!$J$70</f>
        <v>52.17</v>
      </c>
      <c r="Y104" s="495">
        <f>'ORÇAMENTO GERAL'!$J$71</f>
        <v>175</v>
      </c>
      <c r="Z104" s="495">
        <f>'ORÇAMENTO GERAL'!$J$72</f>
        <v>23.11</v>
      </c>
      <c r="AA104" s="495">
        <f>'ORÇAMENTO GERAL'!$J$73</f>
        <v>50.91</v>
      </c>
      <c r="AB104" s="495">
        <f>'ORÇAMENTO GERAL'!$J$74</f>
        <v>204.45</v>
      </c>
      <c r="AC104" s="495">
        <f aca="true" t="shared" si="49" ref="AC104:AC123">(E104*S104)+(H104*T104)+(I104*U104)+(J104*V104)+(K104*W104)+(L104*X104)+(N104*Y104)+(O104*Z104)+(P104*AA104)+(Q104*AB104)</f>
        <v>0</v>
      </c>
    </row>
    <row r="105" spans="1:29" s="476" customFormat="1" ht="45" customHeight="1" hidden="1">
      <c r="A105" s="487">
        <f>DADOS!A13</f>
        <v>2</v>
      </c>
      <c r="B105" s="506" t="str">
        <f>DADOS!B13</f>
        <v>R. SEM NOME 1</v>
      </c>
      <c r="C105" s="496">
        <v>1</v>
      </c>
      <c r="D105" s="492"/>
      <c r="E105" s="491">
        <f>C105*D105</f>
        <v>0</v>
      </c>
      <c r="F105" s="491">
        <f aca="true" t="shared" si="50" ref="F105:F123">1.2+0.5</f>
        <v>1.7</v>
      </c>
      <c r="G105" s="491">
        <f aca="true" t="shared" si="51" ref="G105:G123">((1.2+0.6)+((1.2+0.6)+(E105*0.5%)))/2</f>
        <v>1.8</v>
      </c>
      <c r="H105" s="491">
        <f t="shared" si="44"/>
        <v>0</v>
      </c>
      <c r="I105" s="492">
        <f aca="true" t="shared" si="52" ref="I105:I123">M105</f>
        <v>0</v>
      </c>
      <c r="J105" s="493">
        <f aca="true" t="shared" si="53" ref="J105:J123">I105*1.25*$J$19</f>
        <v>0</v>
      </c>
      <c r="K105" s="491">
        <f t="shared" si="45"/>
        <v>0</v>
      </c>
      <c r="L105" s="492">
        <f aca="true" t="shared" si="54" ref="L105:L123">K105</f>
        <v>0</v>
      </c>
      <c r="M105" s="491">
        <f t="shared" si="46"/>
        <v>0</v>
      </c>
      <c r="N105" s="491">
        <f aca="true" t="shared" si="55" ref="N105:N123">(H105-M105)*70%</f>
        <v>0</v>
      </c>
      <c r="O105" s="491">
        <f aca="true" t="shared" si="56" ref="O105:O123">(H105-M105)*30%</f>
        <v>0</v>
      </c>
      <c r="P105" s="491">
        <f t="shared" si="47"/>
        <v>0</v>
      </c>
      <c r="Q105" s="615">
        <f t="shared" si="48"/>
        <v>0</v>
      </c>
      <c r="R105" s="494"/>
      <c r="S105" s="495">
        <f>'ORÇAMENTO GERAL'!$J$65</f>
        <v>778.27</v>
      </c>
      <c r="T105" s="495">
        <f>'ORÇAMENTO GERAL'!$J$66</f>
        <v>14.71</v>
      </c>
      <c r="U105" s="495">
        <f>'ORÇAMENTO GERAL'!$J$67</f>
        <v>7.69</v>
      </c>
      <c r="V105" s="495">
        <f>'ORÇAMENTO GERAL'!$J$68</f>
        <v>3.33</v>
      </c>
      <c r="W105" s="495">
        <f>'ORÇAMENTO GERAL'!$J$69</f>
        <v>7.11</v>
      </c>
      <c r="X105" s="495">
        <f>'ORÇAMENTO GERAL'!$J$70</f>
        <v>52.17</v>
      </c>
      <c r="Y105" s="495">
        <f>'ORÇAMENTO GERAL'!$J$71</f>
        <v>175</v>
      </c>
      <c r="Z105" s="495">
        <f>'ORÇAMENTO GERAL'!$J$72</f>
        <v>23.11</v>
      </c>
      <c r="AA105" s="495">
        <f>'ORÇAMENTO GERAL'!$J$73</f>
        <v>50.91</v>
      </c>
      <c r="AB105" s="495">
        <f>'ORÇAMENTO GERAL'!$J$74</f>
        <v>204.45</v>
      </c>
      <c r="AC105" s="495">
        <f t="shared" si="49"/>
        <v>0</v>
      </c>
    </row>
    <row r="106" spans="1:29" s="476" customFormat="1" ht="45" customHeight="1" hidden="1">
      <c r="A106" s="487">
        <f>DADOS!A14</f>
        <v>3</v>
      </c>
      <c r="B106" s="506" t="str">
        <f>DADOS!B14</f>
        <v>EST. DO CURUÇAMBÁ</v>
      </c>
      <c r="C106" s="496">
        <v>1</v>
      </c>
      <c r="D106" s="492"/>
      <c r="E106" s="491">
        <f aca="true" t="shared" si="57" ref="E106:E123">C106*D106</f>
        <v>0</v>
      </c>
      <c r="F106" s="491">
        <f t="shared" si="50"/>
        <v>1.7</v>
      </c>
      <c r="G106" s="491">
        <f t="shared" si="51"/>
        <v>1.8</v>
      </c>
      <c r="H106" s="491">
        <f t="shared" si="44"/>
        <v>0</v>
      </c>
      <c r="I106" s="492">
        <f t="shared" si="52"/>
        <v>0</v>
      </c>
      <c r="J106" s="493">
        <f t="shared" si="53"/>
        <v>0</v>
      </c>
      <c r="K106" s="491">
        <f t="shared" si="45"/>
        <v>0</v>
      </c>
      <c r="L106" s="492">
        <f t="shared" si="54"/>
        <v>0</v>
      </c>
      <c r="M106" s="491">
        <f t="shared" si="46"/>
        <v>0</v>
      </c>
      <c r="N106" s="491">
        <f t="shared" si="55"/>
        <v>0</v>
      </c>
      <c r="O106" s="491">
        <f t="shared" si="56"/>
        <v>0</v>
      </c>
      <c r="P106" s="491">
        <f t="shared" si="47"/>
        <v>0</v>
      </c>
      <c r="Q106" s="615">
        <f t="shared" si="48"/>
        <v>0</v>
      </c>
      <c r="R106" s="494"/>
      <c r="S106" s="495">
        <f>'ORÇAMENTO GERAL'!$J$65</f>
        <v>778.27</v>
      </c>
      <c r="T106" s="495">
        <f>'ORÇAMENTO GERAL'!$J$66</f>
        <v>14.71</v>
      </c>
      <c r="U106" s="495">
        <f>'ORÇAMENTO GERAL'!$J$67</f>
        <v>7.69</v>
      </c>
      <c r="V106" s="495">
        <f>'ORÇAMENTO GERAL'!$J$68</f>
        <v>3.33</v>
      </c>
      <c r="W106" s="495">
        <f>'ORÇAMENTO GERAL'!$J$69</f>
        <v>7.11</v>
      </c>
      <c r="X106" s="495">
        <f>'ORÇAMENTO GERAL'!$J$70</f>
        <v>52.17</v>
      </c>
      <c r="Y106" s="495">
        <f>'ORÇAMENTO GERAL'!$J$71</f>
        <v>175</v>
      </c>
      <c r="Z106" s="495">
        <f>'ORÇAMENTO GERAL'!$J$72</f>
        <v>23.11</v>
      </c>
      <c r="AA106" s="495">
        <f>'ORÇAMENTO GERAL'!$J$73</f>
        <v>50.91</v>
      </c>
      <c r="AB106" s="495">
        <f>'ORÇAMENTO GERAL'!$J$74</f>
        <v>204.45</v>
      </c>
      <c r="AC106" s="495">
        <f t="shared" si="49"/>
        <v>0</v>
      </c>
    </row>
    <row r="107" spans="1:29" s="476" customFormat="1" ht="45" customHeight="1" hidden="1">
      <c r="A107" s="487">
        <f>DADOS!A15</f>
        <v>4</v>
      </c>
      <c r="B107" s="506" t="str">
        <f>DADOS!B15</f>
        <v>PASS. SOL NASCENTE</v>
      </c>
      <c r="C107" s="496">
        <v>1</v>
      </c>
      <c r="D107" s="492"/>
      <c r="E107" s="491">
        <f t="shared" si="57"/>
        <v>0</v>
      </c>
      <c r="F107" s="491">
        <f t="shared" si="50"/>
        <v>1.7</v>
      </c>
      <c r="G107" s="491">
        <f t="shared" si="51"/>
        <v>1.8</v>
      </c>
      <c r="H107" s="491">
        <f t="shared" si="44"/>
        <v>0</v>
      </c>
      <c r="I107" s="492">
        <f t="shared" si="52"/>
        <v>0</v>
      </c>
      <c r="J107" s="493">
        <f t="shared" si="53"/>
        <v>0</v>
      </c>
      <c r="K107" s="491">
        <f t="shared" si="45"/>
        <v>0</v>
      </c>
      <c r="L107" s="492">
        <f t="shared" si="54"/>
        <v>0</v>
      </c>
      <c r="M107" s="491">
        <f t="shared" si="46"/>
        <v>0</v>
      </c>
      <c r="N107" s="491">
        <f t="shared" si="55"/>
        <v>0</v>
      </c>
      <c r="O107" s="491">
        <f t="shared" si="56"/>
        <v>0</v>
      </c>
      <c r="P107" s="491">
        <f t="shared" si="47"/>
        <v>0</v>
      </c>
      <c r="Q107" s="615">
        <f t="shared" si="48"/>
        <v>0</v>
      </c>
      <c r="R107" s="494"/>
      <c r="S107" s="495">
        <f>'ORÇAMENTO GERAL'!$J$65</f>
        <v>778.27</v>
      </c>
      <c r="T107" s="495">
        <f>'ORÇAMENTO GERAL'!$J$66</f>
        <v>14.71</v>
      </c>
      <c r="U107" s="495">
        <f>'ORÇAMENTO GERAL'!$J$67</f>
        <v>7.69</v>
      </c>
      <c r="V107" s="495">
        <f>'ORÇAMENTO GERAL'!$J$68</f>
        <v>3.33</v>
      </c>
      <c r="W107" s="495">
        <f>'ORÇAMENTO GERAL'!$J$69</f>
        <v>7.11</v>
      </c>
      <c r="X107" s="495">
        <f>'ORÇAMENTO GERAL'!$J$70</f>
        <v>52.17</v>
      </c>
      <c r="Y107" s="495">
        <f>'ORÇAMENTO GERAL'!$J$71</f>
        <v>175</v>
      </c>
      <c r="Z107" s="495">
        <f>'ORÇAMENTO GERAL'!$J$72</f>
        <v>23.11</v>
      </c>
      <c r="AA107" s="495">
        <f>'ORÇAMENTO GERAL'!$J$73</f>
        <v>50.91</v>
      </c>
      <c r="AB107" s="495">
        <f>'ORÇAMENTO GERAL'!$J$74</f>
        <v>204.45</v>
      </c>
      <c r="AC107" s="495">
        <f t="shared" si="49"/>
        <v>0</v>
      </c>
    </row>
    <row r="108" spans="1:29" s="476" customFormat="1" ht="45" customHeight="1" hidden="1">
      <c r="A108" s="487">
        <f>DADOS!A16</f>
        <v>5</v>
      </c>
      <c r="B108" s="506" t="str">
        <f>DADOS!B16</f>
        <v>AL. NOVA ESPERANÇA</v>
      </c>
      <c r="C108" s="496">
        <v>1</v>
      </c>
      <c r="D108" s="492"/>
      <c r="E108" s="491">
        <f t="shared" si="57"/>
        <v>0</v>
      </c>
      <c r="F108" s="491">
        <f t="shared" si="50"/>
        <v>1.7</v>
      </c>
      <c r="G108" s="491">
        <f t="shared" si="51"/>
        <v>1.8</v>
      </c>
      <c r="H108" s="491">
        <f t="shared" si="44"/>
        <v>0</v>
      </c>
      <c r="I108" s="492">
        <f t="shared" si="52"/>
        <v>0</v>
      </c>
      <c r="J108" s="493">
        <f t="shared" si="53"/>
        <v>0</v>
      </c>
      <c r="K108" s="491">
        <f t="shared" si="45"/>
        <v>0</v>
      </c>
      <c r="L108" s="492">
        <f t="shared" si="54"/>
        <v>0</v>
      </c>
      <c r="M108" s="491">
        <f t="shared" si="46"/>
        <v>0</v>
      </c>
      <c r="N108" s="491">
        <f t="shared" si="55"/>
        <v>0</v>
      </c>
      <c r="O108" s="491">
        <f t="shared" si="56"/>
        <v>0</v>
      </c>
      <c r="P108" s="491">
        <f t="shared" si="47"/>
        <v>0</v>
      </c>
      <c r="Q108" s="615">
        <f t="shared" si="48"/>
        <v>0</v>
      </c>
      <c r="R108" s="494"/>
      <c r="S108" s="495">
        <f>'ORÇAMENTO GERAL'!$J$65</f>
        <v>778.27</v>
      </c>
      <c r="T108" s="495">
        <f>'ORÇAMENTO GERAL'!$J$66</f>
        <v>14.71</v>
      </c>
      <c r="U108" s="495">
        <f>'ORÇAMENTO GERAL'!$J$67</f>
        <v>7.69</v>
      </c>
      <c r="V108" s="495">
        <f>'ORÇAMENTO GERAL'!$J$68</f>
        <v>3.33</v>
      </c>
      <c r="W108" s="495">
        <f>'ORÇAMENTO GERAL'!$J$69</f>
        <v>7.11</v>
      </c>
      <c r="X108" s="495">
        <f>'ORÇAMENTO GERAL'!$J$70</f>
        <v>52.17</v>
      </c>
      <c r="Y108" s="495">
        <f>'ORÇAMENTO GERAL'!$J$71</f>
        <v>175</v>
      </c>
      <c r="Z108" s="495">
        <f>'ORÇAMENTO GERAL'!$J$72</f>
        <v>23.11</v>
      </c>
      <c r="AA108" s="495">
        <f>'ORÇAMENTO GERAL'!$J$73</f>
        <v>50.91</v>
      </c>
      <c r="AB108" s="495">
        <f>'ORÇAMENTO GERAL'!$J$74</f>
        <v>204.45</v>
      </c>
      <c r="AC108" s="495">
        <f t="shared" si="49"/>
        <v>0</v>
      </c>
    </row>
    <row r="109" spans="1:29" s="476" customFormat="1" ht="45" customHeight="1" hidden="1">
      <c r="A109" s="487">
        <f>DADOS!A17</f>
        <v>6</v>
      </c>
      <c r="B109" s="506">
        <f>DADOS!B17</f>
        <v>0</v>
      </c>
      <c r="C109" s="496">
        <v>1</v>
      </c>
      <c r="D109" s="492"/>
      <c r="E109" s="491">
        <f t="shared" si="57"/>
        <v>0</v>
      </c>
      <c r="F109" s="491">
        <f t="shared" si="50"/>
        <v>1.7</v>
      </c>
      <c r="G109" s="491">
        <f t="shared" si="51"/>
        <v>1.8</v>
      </c>
      <c r="H109" s="491">
        <f t="shared" si="44"/>
        <v>0</v>
      </c>
      <c r="I109" s="492">
        <f t="shared" si="52"/>
        <v>0</v>
      </c>
      <c r="J109" s="493">
        <f t="shared" si="53"/>
        <v>0</v>
      </c>
      <c r="K109" s="491">
        <f t="shared" si="45"/>
        <v>0</v>
      </c>
      <c r="L109" s="492">
        <f t="shared" si="54"/>
        <v>0</v>
      </c>
      <c r="M109" s="491">
        <f t="shared" si="46"/>
        <v>0</v>
      </c>
      <c r="N109" s="491">
        <f t="shared" si="55"/>
        <v>0</v>
      </c>
      <c r="O109" s="491">
        <f t="shared" si="56"/>
        <v>0</v>
      </c>
      <c r="P109" s="491">
        <f t="shared" si="47"/>
        <v>0</v>
      </c>
      <c r="Q109" s="615">
        <f t="shared" si="48"/>
        <v>0</v>
      </c>
      <c r="R109" s="494"/>
      <c r="S109" s="495">
        <f>'ORÇAMENTO GERAL'!$J$65</f>
        <v>778.27</v>
      </c>
      <c r="T109" s="495">
        <f>'ORÇAMENTO GERAL'!$J$66</f>
        <v>14.71</v>
      </c>
      <c r="U109" s="495">
        <f>'ORÇAMENTO GERAL'!$J$67</f>
        <v>7.69</v>
      </c>
      <c r="V109" s="495">
        <f>'ORÇAMENTO GERAL'!$J$68</f>
        <v>3.33</v>
      </c>
      <c r="W109" s="495">
        <f>'ORÇAMENTO GERAL'!$J$69</f>
        <v>7.11</v>
      </c>
      <c r="X109" s="495">
        <f>'ORÇAMENTO GERAL'!$J$70</f>
        <v>52.17</v>
      </c>
      <c r="Y109" s="495">
        <f>'ORÇAMENTO GERAL'!$J$71</f>
        <v>175</v>
      </c>
      <c r="Z109" s="495">
        <f>'ORÇAMENTO GERAL'!$J$72</f>
        <v>23.11</v>
      </c>
      <c r="AA109" s="495">
        <f>'ORÇAMENTO GERAL'!$J$73</f>
        <v>50.91</v>
      </c>
      <c r="AB109" s="495">
        <f>'ORÇAMENTO GERAL'!$J$74</f>
        <v>204.45</v>
      </c>
      <c r="AC109" s="495">
        <f t="shared" si="49"/>
        <v>0</v>
      </c>
    </row>
    <row r="110" spans="1:29" s="476" customFormat="1" ht="45" customHeight="1" hidden="1">
      <c r="A110" s="487">
        <f>DADOS!A18</f>
        <v>7</v>
      </c>
      <c r="B110" s="506">
        <f>DADOS!B18</f>
        <v>0</v>
      </c>
      <c r="C110" s="496">
        <v>1</v>
      </c>
      <c r="D110" s="492"/>
      <c r="E110" s="491">
        <f t="shared" si="57"/>
        <v>0</v>
      </c>
      <c r="F110" s="491">
        <f t="shared" si="50"/>
        <v>1.7</v>
      </c>
      <c r="G110" s="491">
        <f t="shared" si="51"/>
        <v>1.8</v>
      </c>
      <c r="H110" s="491">
        <f t="shared" si="44"/>
        <v>0</v>
      </c>
      <c r="I110" s="492">
        <f t="shared" si="52"/>
        <v>0</v>
      </c>
      <c r="J110" s="493">
        <f t="shared" si="53"/>
        <v>0</v>
      </c>
      <c r="K110" s="491">
        <f t="shared" si="45"/>
        <v>0</v>
      </c>
      <c r="L110" s="492">
        <f t="shared" si="54"/>
        <v>0</v>
      </c>
      <c r="M110" s="491">
        <f t="shared" si="46"/>
        <v>0</v>
      </c>
      <c r="N110" s="491">
        <f t="shared" si="55"/>
        <v>0</v>
      </c>
      <c r="O110" s="491">
        <f t="shared" si="56"/>
        <v>0</v>
      </c>
      <c r="P110" s="491">
        <f t="shared" si="47"/>
        <v>0</v>
      </c>
      <c r="Q110" s="615">
        <f t="shared" si="48"/>
        <v>0</v>
      </c>
      <c r="R110" s="494"/>
      <c r="S110" s="495">
        <f>'ORÇAMENTO GERAL'!$J$65</f>
        <v>778.27</v>
      </c>
      <c r="T110" s="495">
        <f>'ORÇAMENTO GERAL'!$J$66</f>
        <v>14.71</v>
      </c>
      <c r="U110" s="495">
        <f>'ORÇAMENTO GERAL'!$J$67</f>
        <v>7.69</v>
      </c>
      <c r="V110" s="495">
        <f>'ORÇAMENTO GERAL'!$J$68</f>
        <v>3.33</v>
      </c>
      <c r="W110" s="495">
        <f>'ORÇAMENTO GERAL'!$J$69</f>
        <v>7.11</v>
      </c>
      <c r="X110" s="495">
        <f>'ORÇAMENTO GERAL'!$J$70</f>
        <v>52.17</v>
      </c>
      <c r="Y110" s="495">
        <f>'ORÇAMENTO GERAL'!$J$71</f>
        <v>175</v>
      </c>
      <c r="Z110" s="495">
        <f>'ORÇAMENTO GERAL'!$J$72</f>
        <v>23.11</v>
      </c>
      <c r="AA110" s="495">
        <f>'ORÇAMENTO GERAL'!$J$73</f>
        <v>50.91</v>
      </c>
      <c r="AB110" s="495">
        <f>'ORÇAMENTO GERAL'!$J$74</f>
        <v>204.45</v>
      </c>
      <c r="AC110" s="495">
        <f t="shared" si="49"/>
        <v>0</v>
      </c>
    </row>
    <row r="111" spans="1:29" s="476" customFormat="1" ht="45" customHeight="1" hidden="1">
      <c r="A111" s="487">
        <f>DADOS!A19</f>
        <v>8</v>
      </c>
      <c r="B111" s="506">
        <f>DADOS!B19</f>
        <v>0</v>
      </c>
      <c r="C111" s="496">
        <v>1</v>
      </c>
      <c r="D111" s="492"/>
      <c r="E111" s="491">
        <f t="shared" si="57"/>
        <v>0</v>
      </c>
      <c r="F111" s="491">
        <f t="shared" si="50"/>
        <v>1.7</v>
      </c>
      <c r="G111" s="491">
        <f t="shared" si="51"/>
        <v>1.8</v>
      </c>
      <c r="H111" s="491">
        <f t="shared" si="44"/>
        <v>0</v>
      </c>
      <c r="I111" s="492">
        <f t="shared" si="52"/>
        <v>0</v>
      </c>
      <c r="J111" s="493">
        <f t="shared" si="53"/>
        <v>0</v>
      </c>
      <c r="K111" s="491">
        <f t="shared" si="45"/>
        <v>0</v>
      </c>
      <c r="L111" s="492">
        <f t="shared" si="54"/>
        <v>0</v>
      </c>
      <c r="M111" s="491">
        <f t="shared" si="46"/>
        <v>0</v>
      </c>
      <c r="N111" s="491">
        <f t="shared" si="55"/>
        <v>0</v>
      </c>
      <c r="O111" s="491">
        <f t="shared" si="56"/>
        <v>0</v>
      </c>
      <c r="P111" s="491">
        <f t="shared" si="47"/>
        <v>0</v>
      </c>
      <c r="Q111" s="615">
        <f t="shared" si="48"/>
        <v>0</v>
      </c>
      <c r="R111" s="494"/>
      <c r="S111" s="495">
        <f>'ORÇAMENTO GERAL'!$J$65</f>
        <v>778.27</v>
      </c>
      <c r="T111" s="495">
        <f>'ORÇAMENTO GERAL'!$J$66</f>
        <v>14.71</v>
      </c>
      <c r="U111" s="495">
        <f>'ORÇAMENTO GERAL'!$J$67</f>
        <v>7.69</v>
      </c>
      <c r="V111" s="495">
        <f>'ORÇAMENTO GERAL'!$J$68</f>
        <v>3.33</v>
      </c>
      <c r="W111" s="495">
        <f>'ORÇAMENTO GERAL'!$J$69</f>
        <v>7.11</v>
      </c>
      <c r="X111" s="495">
        <f>'ORÇAMENTO GERAL'!$J$70</f>
        <v>52.17</v>
      </c>
      <c r="Y111" s="495">
        <f>'ORÇAMENTO GERAL'!$J$71</f>
        <v>175</v>
      </c>
      <c r="Z111" s="495">
        <f>'ORÇAMENTO GERAL'!$J$72</f>
        <v>23.11</v>
      </c>
      <c r="AA111" s="495">
        <f>'ORÇAMENTO GERAL'!$J$73</f>
        <v>50.91</v>
      </c>
      <c r="AB111" s="495">
        <f>'ORÇAMENTO GERAL'!$J$74</f>
        <v>204.45</v>
      </c>
      <c r="AC111" s="495">
        <f t="shared" si="49"/>
        <v>0</v>
      </c>
    </row>
    <row r="112" spans="1:29" s="476" customFormat="1" ht="45" customHeight="1" hidden="1">
      <c r="A112" s="487">
        <f>DADOS!A20</f>
        <v>9</v>
      </c>
      <c r="B112" s="506">
        <f>DADOS!B20</f>
        <v>0</v>
      </c>
      <c r="C112" s="496">
        <v>1</v>
      </c>
      <c r="D112" s="492"/>
      <c r="E112" s="491">
        <f t="shared" si="57"/>
        <v>0</v>
      </c>
      <c r="F112" s="491">
        <f t="shared" si="50"/>
        <v>1.7</v>
      </c>
      <c r="G112" s="491">
        <f t="shared" si="51"/>
        <v>1.8</v>
      </c>
      <c r="H112" s="491">
        <f t="shared" si="44"/>
        <v>0</v>
      </c>
      <c r="I112" s="492">
        <f t="shared" si="52"/>
        <v>0</v>
      </c>
      <c r="J112" s="493">
        <f t="shared" si="53"/>
        <v>0</v>
      </c>
      <c r="K112" s="491">
        <f t="shared" si="45"/>
        <v>0</v>
      </c>
      <c r="L112" s="492">
        <f t="shared" si="54"/>
        <v>0</v>
      </c>
      <c r="M112" s="491">
        <f t="shared" si="46"/>
        <v>0</v>
      </c>
      <c r="N112" s="491">
        <f t="shared" si="55"/>
        <v>0</v>
      </c>
      <c r="O112" s="491">
        <f t="shared" si="56"/>
        <v>0</v>
      </c>
      <c r="P112" s="491">
        <f t="shared" si="47"/>
        <v>0</v>
      </c>
      <c r="Q112" s="615">
        <f t="shared" si="48"/>
        <v>0</v>
      </c>
      <c r="R112" s="494"/>
      <c r="S112" s="495">
        <f>'ORÇAMENTO GERAL'!$J$65</f>
        <v>778.27</v>
      </c>
      <c r="T112" s="495">
        <f>'ORÇAMENTO GERAL'!$J$66</f>
        <v>14.71</v>
      </c>
      <c r="U112" s="495">
        <f>'ORÇAMENTO GERAL'!$J$67</f>
        <v>7.69</v>
      </c>
      <c r="V112" s="495">
        <f>'ORÇAMENTO GERAL'!$J$68</f>
        <v>3.33</v>
      </c>
      <c r="W112" s="495">
        <f>'ORÇAMENTO GERAL'!$J$69</f>
        <v>7.11</v>
      </c>
      <c r="X112" s="495">
        <f>'ORÇAMENTO GERAL'!$J$70</f>
        <v>52.17</v>
      </c>
      <c r="Y112" s="495">
        <f>'ORÇAMENTO GERAL'!$J$71</f>
        <v>175</v>
      </c>
      <c r="Z112" s="495">
        <f>'ORÇAMENTO GERAL'!$J$72</f>
        <v>23.11</v>
      </c>
      <c r="AA112" s="495">
        <f>'ORÇAMENTO GERAL'!$J$73</f>
        <v>50.91</v>
      </c>
      <c r="AB112" s="495">
        <f>'ORÇAMENTO GERAL'!$J$74</f>
        <v>204.45</v>
      </c>
      <c r="AC112" s="495">
        <f t="shared" si="49"/>
        <v>0</v>
      </c>
    </row>
    <row r="113" spans="1:29" s="476" customFormat="1" ht="45" customHeight="1" hidden="1">
      <c r="A113" s="487">
        <f>DADOS!A21</f>
        <v>10</v>
      </c>
      <c r="B113" s="506">
        <f>DADOS!B21</f>
        <v>0</v>
      </c>
      <c r="C113" s="496">
        <v>1</v>
      </c>
      <c r="D113" s="492"/>
      <c r="E113" s="491">
        <f t="shared" si="57"/>
        <v>0</v>
      </c>
      <c r="F113" s="491">
        <f t="shared" si="50"/>
        <v>1.7</v>
      </c>
      <c r="G113" s="491">
        <f t="shared" si="51"/>
        <v>1.8</v>
      </c>
      <c r="H113" s="491">
        <f t="shared" si="44"/>
        <v>0</v>
      </c>
      <c r="I113" s="492">
        <f t="shared" si="52"/>
        <v>0</v>
      </c>
      <c r="J113" s="493">
        <f t="shared" si="53"/>
        <v>0</v>
      </c>
      <c r="K113" s="491">
        <f t="shared" si="45"/>
        <v>0</v>
      </c>
      <c r="L113" s="492">
        <f t="shared" si="54"/>
        <v>0</v>
      </c>
      <c r="M113" s="491">
        <f t="shared" si="46"/>
        <v>0</v>
      </c>
      <c r="N113" s="491">
        <f t="shared" si="55"/>
        <v>0</v>
      </c>
      <c r="O113" s="491">
        <f t="shared" si="56"/>
        <v>0</v>
      </c>
      <c r="P113" s="491">
        <f t="shared" si="47"/>
        <v>0</v>
      </c>
      <c r="Q113" s="615">
        <f t="shared" si="48"/>
        <v>0</v>
      </c>
      <c r="R113" s="494"/>
      <c r="S113" s="495">
        <f>'ORÇAMENTO GERAL'!$J$65</f>
        <v>778.27</v>
      </c>
      <c r="T113" s="495">
        <f>'ORÇAMENTO GERAL'!$J$66</f>
        <v>14.71</v>
      </c>
      <c r="U113" s="495">
        <f>'ORÇAMENTO GERAL'!$J$67</f>
        <v>7.69</v>
      </c>
      <c r="V113" s="495">
        <f>'ORÇAMENTO GERAL'!$J$68</f>
        <v>3.33</v>
      </c>
      <c r="W113" s="495">
        <f>'ORÇAMENTO GERAL'!$J$69</f>
        <v>7.11</v>
      </c>
      <c r="X113" s="495">
        <f>'ORÇAMENTO GERAL'!$J$70</f>
        <v>52.17</v>
      </c>
      <c r="Y113" s="495">
        <f>'ORÇAMENTO GERAL'!$J$71</f>
        <v>175</v>
      </c>
      <c r="Z113" s="495">
        <f>'ORÇAMENTO GERAL'!$J$72</f>
        <v>23.11</v>
      </c>
      <c r="AA113" s="495">
        <f>'ORÇAMENTO GERAL'!$J$73</f>
        <v>50.91</v>
      </c>
      <c r="AB113" s="495">
        <f>'ORÇAMENTO GERAL'!$J$74</f>
        <v>204.45</v>
      </c>
      <c r="AC113" s="495">
        <f t="shared" si="49"/>
        <v>0</v>
      </c>
    </row>
    <row r="114" spans="1:29" s="476" customFormat="1" ht="45" customHeight="1" hidden="1">
      <c r="A114" s="487">
        <f>DADOS!A22</f>
        <v>11</v>
      </c>
      <c r="B114" s="506">
        <f>DADOS!B22</f>
        <v>0</v>
      </c>
      <c r="C114" s="496">
        <v>1</v>
      </c>
      <c r="D114" s="492"/>
      <c r="E114" s="491">
        <f t="shared" si="57"/>
        <v>0</v>
      </c>
      <c r="F114" s="491">
        <f t="shared" si="50"/>
        <v>1.7</v>
      </c>
      <c r="G114" s="491">
        <f t="shared" si="51"/>
        <v>1.8</v>
      </c>
      <c r="H114" s="491">
        <f t="shared" si="44"/>
        <v>0</v>
      </c>
      <c r="I114" s="492">
        <f t="shared" si="52"/>
        <v>0</v>
      </c>
      <c r="J114" s="493">
        <f t="shared" si="53"/>
        <v>0</v>
      </c>
      <c r="K114" s="491">
        <f t="shared" si="45"/>
        <v>0</v>
      </c>
      <c r="L114" s="492">
        <f t="shared" si="54"/>
        <v>0</v>
      </c>
      <c r="M114" s="491">
        <f t="shared" si="46"/>
        <v>0</v>
      </c>
      <c r="N114" s="491">
        <f t="shared" si="55"/>
        <v>0</v>
      </c>
      <c r="O114" s="491">
        <f t="shared" si="56"/>
        <v>0</v>
      </c>
      <c r="P114" s="491">
        <f t="shared" si="47"/>
        <v>0</v>
      </c>
      <c r="Q114" s="615">
        <f t="shared" si="48"/>
        <v>0</v>
      </c>
      <c r="R114" s="494"/>
      <c r="S114" s="495">
        <f>'ORÇAMENTO GERAL'!$J$65</f>
        <v>778.27</v>
      </c>
      <c r="T114" s="495">
        <f>'ORÇAMENTO GERAL'!$J$66</f>
        <v>14.71</v>
      </c>
      <c r="U114" s="495">
        <f>'ORÇAMENTO GERAL'!$J$67</f>
        <v>7.69</v>
      </c>
      <c r="V114" s="495">
        <f>'ORÇAMENTO GERAL'!$J$68</f>
        <v>3.33</v>
      </c>
      <c r="W114" s="495">
        <f>'ORÇAMENTO GERAL'!$J$69</f>
        <v>7.11</v>
      </c>
      <c r="X114" s="495">
        <f>'ORÇAMENTO GERAL'!$J$70</f>
        <v>52.17</v>
      </c>
      <c r="Y114" s="495">
        <f>'ORÇAMENTO GERAL'!$J$71</f>
        <v>175</v>
      </c>
      <c r="Z114" s="495">
        <f>'ORÇAMENTO GERAL'!$J$72</f>
        <v>23.11</v>
      </c>
      <c r="AA114" s="495">
        <f>'ORÇAMENTO GERAL'!$J$73</f>
        <v>50.91</v>
      </c>
      <c r="AB114" s="495">
        <f>'ORÇAMENTO GERAL'!$J$74</f>
        <v>204.45</v>
      </c>
      <c r="AC114" s="495">
        <f t="shared" si="49"/>
        <v>0</v>
      </c>
    </row>
    <row r="115" spans="1:29" s="476" customFormat="1" ht="45" customHeight="1" hidden="1">
      <c r="A115" s="487">
        <f>DADOS!A23</f>
        <v>12</v>
      </c>
      <c r="B115" s="506">
        <f>DADOS!B23</f>
        <v>0</v>
      </c>
      <c r="C115" s="496">
        <v>1</v>
      </c>
      <c r="D115" s="492"/>
      <c r="E115" s="491">
        <f t="shared" si="57"/>
        <v>0</v>
      </c>
      <c r="F115" s="491">
        <f t="shared" si="50"/>
        <v>1.7</v>
      </c>
      <c r="G115" s="491">
        <f t="shared" si="51"/>
        <v>1.8</v>
      </c>
      <c r="H115" s="491">
        <f t="shared" si="44"/>
        <v>0</v>
      </c>
      <c r="I115" s="492">
        <f t="shared" si="52"/>
        <v>0</v>
      </c>
      <c r="J115" s="493">
        <f t="shared" si="53"/>
        <v>0</v>
      </c>
      <c r="K115" s="491">
        <f t="shared" si="45"/>
        <v>0</v>
      </c>
      <c r="L115" s="492">
        <f t="shared" si="54"/>
        <v>0</v>
      </c>
      <c r="M115" s="491">
        <f t="shared" si="46"/>
        <v>0</v>
      </c>
      <c r="N115" s="491">
        <f t="shared" si="55"/>
        <v>0</v>
      </c>
      <c r="O115" s="491">
        <f t="shared" si="56"/>
        <v>0</v>
      </c>
      <c r="P115" s="491">
        <f t="shared" si="47"/>
        <v>0</v>
      </c>
      <c r="Q115" s="615">
        <f t="shared" si="48"/>
        <v>0</v>
      </c>
      <c r="R115" s="494"/>
      <c r="S115" s="495">
        <f>'ORÇAMENTO GERAL'!$J$65</f>
        <v>778.27</v>
      </c>
      <c r="T115" s="495">
        <f>'ORÇAMENTO GERAL'!$J$66</f>
        <v>14.71</v>
      </c>
      <c r="U115" s="495">
        <f>'ORÇAMENTO GERAL'!$J$67</f>
        <v>7.69</v>
      </c>
      <c r="V115" s="495">
        <f>'ORÇAMENTO GERAL'!$J$68</f>
        <v>3.33</v>
      </c>
      <c r="W115" s="495">
        <f>'ORÇAMENTO GERAL'!$J$69</f>
        <v>7.11</v>
      </c>
      <c r="X115" s="495">
        <f>'ORÇAMENTO GERAL'!$J$70</f>
        <v>52.17</v>
      </c>
      <c r="Y115" s="495">
        <f>'ORÇAMENTO GERAL'!$J$71</f>
        <v>175</v>
      </c>
      <c r="Z115" s="495">
        <f>'ORÇAMENTO GERAL'!$J$72</f>
        <v>23.11</v>
      </c>
      <c r="AA115" s="495">
        <f>'ORÇAMENTO GERAL'!$J$73</f>
        <v>50.91</v>
      </c>
      <c r="AB115" s="495">
        <f>'ORÇAMENTO GERAL'!$J$74</f>
        <v>204.45</v>
      </c>
      <c r="AC115" s="495">
        <f t="shared" si="49"/>
        <v>0</v>
      </c>
    </row>
    <row r="116" spans="1:29" s="476" customFormat="1" ht="45" customHeight="1" hidden="1">
      <c r="A116" s="487">
        <f>DADOS!A24</f>
        <v>13</v>
      </c>
      <c r="B116" s="506">
        <f>DADOS!B24</f>
        <v>0</v>
      </c>
      <c r="C116" s="496">
        <v>1</v>
      </c>
      <c r="D116" s="492"/>
      <c r="E116" s="491">
        <f t="shared" si="57"/>
        <v>0</v>
      </c>
      <c r="F116" s="491">
        <f t="shared" si="50"/>
        <v>1.7</v>
      </c>
      <c r="G116" s="491">
        <f t="shared" si="51"/>
        <v>1.8</v>
      </c>
      <c r="H116" s="491">
        <f t="shared" si="44"/>
        <v>0</v>
      </c>
      <c r="I116" s="492">
        <f t="shared" si="52"/>
        <v>0</v>
      </c>
      <c r="J116" s="493">
        <f t="shared" si="53"/>
        <v>0</v>
      </c>
      <c r="K116" s="491">
        <f t="shared" si="45"/>
        <v>0</v>
      </c>
      <c r="L116" s="492">
        <f t="shared" si="54"/>
        <v>0</v>
      </c>
      <c r="M116" s="491">
        <f t="shared" si="46"/>
        <v>0</v>
      </c>
      <c r="N116" s="491">
        <f t="shared" si="55"/>
        <v>0</v>
      </c>
      <c r="O116" s="491">
        <f t="shared" si="56"/>
        <v>0</v>
      </c>
      <c r="P116" s="491">
        <f t="shared" si="47"/>
        <v>0</v>
      </c>
      <c r="Q116" s="615">
        <f t="shared" si="48"/>
        <v>0</v>
      </c>
      <c r="R116" s="494"/>
      <c r="S116" s="495">
        <f>'ORÇAMENTO GERAL'!$J$65</f>
        <v>778.27</v>
      </c>
      <c r="T116" s="495">
        <f>'ORÇAMENTO GERAL'!$J$66</f>
        <v>14.71</v>
      </c>
      <c r="U116" s="495">
        <f>'ORÇAMENTO GERAL'!$J$67</f>
        <v>7.69</v>
      </c>
      <c r="V116" s="495">
        <f>'ORÇAMENTO GERAL'!$J$68</f>
        <v>3.33</v>
      </c>
      <c r="W116" s="495">
        <f>'ORÇAMENTO GERAL'!$J$69</f>
        <v>7.11</v>
      </c>
      <c r="X116" s="495">
        <f>'ORÇAMENTO GERAL'!$J$70</f>
        <v>52.17</v>
      </c>
      <c r="Y116" s="495">
        <f>'ORÇAMENTO GERAL'!$J$71</f>
        <v>175</v>
      </c>
      <c r="Z116" s="495">
        <f>'ORÇAMENTO GERAL'!$J$72</f>
        <v>23.11</v>
      </c>
      <c r="AA116" s="495">
        <f>'ORÇAMENTO GERAL'!$J$73</f>
        <v>50.91</v>
      </c>
      <c r="AB116" s="495">
        <f>'ORÇAMENTO GERAL'!$J$74</f>
        <v>204.45</v>
      </c>
      <c r="AC116" s="495">
        <f t="shared" si="49"/>
        <v>0</v>
      </c>
    </row>
    <row r="117" spans="1:29" s="476" customFormat="1" ht="45" customHeight="1" hidden="1">
      <c r="A117" s="487">
        <f>DADOS!A25</f>
        <v>14</v>
      </c>
      <c r="B117" s="506">
        <f>DADOS!B25</f>
        <v>0</v>
      </c>
      <c r="C117" s="496">
        <v>1</v>
      </c>
      <c r="D117" s="492"/>
      <c r="E117" s="491">
        <f t="shared" si="57"/>
        <v>0</v>
      </c>
      <c r="F117" s="491">
        <f t="shared" si="50"/>
        <v>1.7</v>
      </c>
      <c r="G117" s="491">
        <f t="shared" si="51"/>
        <v>1.8</v>
      </c>
      <c r="H117" s="491">
        <f t="shared" si="44"/>
        <v>0</v>
      </c>
      <c r="I117" s="492">
        <f t="shared" si="52"/>
        <v>0</v>
      </c>
      <c r="J117" s="493">
        <f t="shared" si="53"/>
        <v>0</v>
      </c>
      <c r="K117" s="491">
        <f t="shared" si="45"/>
        <v>0</v>
      </c>
      <c r="L117" s="492">
        <f t="shared" si="54"/>
        <v>0</v>
      </c>
      <c r="M117" s="491">
        <f t="shared" si="46"/>
        <v>0</v>
      </c>
      <c r="N117" s="491">
        <f t="shared" si="55"/>
        <v>0</v>
      </c>
      <c r="O117" s="491">
        <f t="shared" si="56"/>
        <v>0</v>
      </c>
      <c r="P117" s="491">
        <f t="shared" si="47"/>
        <v>0</v>
      </c>
      <c r="Q117" s="615">
        <f t="shared" si="48"/>
        <v>0</v>
      </c>
      <c r="R117" s="494"/>
      <c r="S117" s="495">
        <f>'ORÇAMENTO GERAL'!$J$65</f>
        <v>778.27</v>
      </c>
      <c r="T117" s="495">
        <f>'ORÇAMENTO GERAL'!$J$66</f>
        <v>14.71</v>
      </c>
      <c r="U117" s="495">
        <f>'ORÇAMENTO GERAL'!$J$67</f>
        <v>7.69</v>
      </c>
      <c r="V117" s="495">
        <f>'ORÇAMENTO GERAL'!$J$68</f>
        <v>3.33</v>
      </c>
      <c r="W117" s="495">
        <f>'ORÇAMENTO GERAL'!$J$69</f>
        <v>7.11</v>
      </c>
      <c r="X117" s="495">
        <f>'ORÇAMENTO GERAL'!$J$70</f>
        <v>52.17</v>
      </c>
      <c r="Y117" s="495">
        <f>'ORÇAMENTO GERAL'!$J$71</f>
        <v>175</v>
      </c>
      <c r="Z117" s="495">
        <f>'ORÇAMENTO GERAL'!$J$72</f>
        <v>23.11</v>
      </c>
      <c r="AA117" s="495">
        <f>'ORÇAMENTO GERAL'!$J$73</f>
        <v>50.91</v>
      </c>
      <c r="AB117" s="495">
        <f>'ORÇAMENTO GERAL'!$J$74</f>
        <v>204.45</v>
      </c>
      <c r="AC117" s="495">
        <f t="shared" si="49"/>
        <v>0</v>
      </c>
    </row>
    <row r="118" spans="1:29" s="476" customFormat="1" ht="45" customHeight="1" hidden="1">
      <c r="A118" s="487">
        <f>DADOS!A26</f>
        <v>15</v>
      </c>
      <c r="B118" s="506">
        <f>DADOS!B26</f>
        <v>0</v>
      </c>
      <c r="C118" s="496">
        <v>1</v>
      </c>
      <c r="D118" s="492"/>
      <c r="E118" s="491">
        <f t="shared" si="57"/>
        <v>0</v>
      </c>
      <c r="F118" s="491">
        <f t="shared" si="50"/>
        <v>1.7</v>
      </c>
      <c r="G118" s="491">
        <f t="shared" si="51"/>
        <v>1.8</v>
      </c>
      <c r="H118" s="491">
        <f t="shared" si="44"/>
        <v>0</v>
      </c>
      <c r="I118" s="492">
        <f t="shared" si="52"/>
        <v>0</v>
      </c>
      <c r="J118" s="493">
        <f t="shared" si="53"/>
        <v>0</v>
      </c>
      <c r="K118" s="491">
        <f t="shared" si="45"/>
        <v>0</v>
      </c>
      <c r="L118" s="492">
        <f t="shared" si="54"/>
        <v>0</v>
      </c>
      <c r="M118" s="491">
        <f t="shared" si="46"/>
        <v>0</v>
      </c>
      <c r="N118" s="491">
        <f t="shared" si="55"/>
        <v>0</v>
      </c>
      <c r="O118" s="491">
        <f t="shared" si="56"/>
        <v>0</v>
      </c>
      <c r="P118" s="491">
        <f t="shared" si="47"/>
        <v>0</v>
      </c>
      <c r="Q118" s="615">
        <f t="shared" si="48"/>
        <v>0</v>
      </c>
      <c r="R118" s="494"/>
      <c r="S118" s="495">
        <f>'ORÇAMENTO GERAL'!$J$65</f>
        <v>778.27</v>
      </c>
      <c r="T118" s="495">
        <f>'ORÇAMENTO GERAL'!$J$66</f>
        <v>14.71</v>
      </c>
      <c r="U118" s="495">
        <f>'ORÇAMENTO GERAL'!$J$67</f>
        <v>7.69</v>
      </c>
      <c r="V118" s="495">
        <f>'ORÇAMENTO GERAL'!$J$68</f>
        <v>3.33</v>
      </c>
      <c r="W118" s="495">
        <f>'ORÇAMENTO GERAL'!$J$69</f>
        <v>7.11</v>
      </c>
      <c r="X118" s="495">
        <f>'ORÇAMENTO GERAL'!$J$70</f>
        <v>52.17</v>
      </c>
      <c r="Y118" s="495">
        <f>'ORÇAMENTO GERAL'!$J$71</f>
        <v>175</v>
      </c>
      <c r="Z118" s="495">
        <f>'ORÇAMENTO GERAL'!$J$72</f>
        <v>23.11</v>
      </c>
      <c r="AA118" s="495">
        <f>'ORÇAMENTO GERAL'!$J$73</f>
        <v>50.91</v>
      </c>
      <c r="AB118" s="495">
        <f>'ORÇAMENTO GERAL'!$J$74</f>
        <v>204.45</v>
      </c>
      <c r="AC118" s="495">
        <f t="shared" si="49"/>
        <v>0</v>
      </c>
    </row>
    <row r="119" spans="1:29" s="476" customFormat="1" ht="45" customHeight="1" hidden="1">
      <c r="A119" s="487">
        <f>DADOS!A27</f>
        <v>16</v>
      </c>
      <c r="B119" s="506">
        <f>DADOS!B27</f>
        <v>0</v>
      </c>
      <c r="C119" s="496">
        <v>1</v>
      </c>
      <c r="D119" s="492"/>
      <c r="E119" s="491">
        <f t="shared" si="57"/>
        <v>0</v>
      </c>
      <c r="F119" s="491">
        <f t="shared" si="50"/>
        <v>1.7</v>
      </c>
      <c r="G119" s="491">
        <f t="shared" si="51"/>
        <v>1.8</v>
      </c>
      <c r="H119" s="491">
        <f t="shared" si="44"/>
        <v>0</v>
      </c>
      <c r="I119" s="492">
        <f t="shared" si="52"/>
        <v>0</v>
      </c>
      <c r="J119" s="493">
        <f t="shared" si="53"/>
        <v>0</v>
      </c>
      <c r="K119" s="491">
        <f t="shared" si="45"/>
        <v>0</v>
      </c>
      <c r="L119" s="492">
        <f t="shared" si="54"/>
        <v>0</v>
      </c>
      <c r="M119" s="491">
        <f t="shared" si="46"/>
        <v>0</v>
      </c>
      <c r="N119" s="491">
        <f t="shared" si="55"/>
        <v>0</v>
      </c>
      <c r="O119" s="491">
        <f t="shared" si="56"/>
        <v>0</v>
      </c>
      <c r="P119" s="491">
        <f t="shared" si="47"/>
        <v>0</v>
      </c>
      <c r="Q119" s="615">
        <f t="shared" si="48"/>
        <v>0</v>
      </c>
      <c r="R119" s="494"/>
      <c r="S119" s="495">
        <f>'ORÇAMENTO GERAL'!$J$65</f>
        <v>778.27</v>
      </c>
      <c r="T119" s="495">
        <f>'ORÇAMENTO GERAL'!$J$66</f>
        <v>14.71</v>
      </c>
      <c r="U119" s="495">
        <f>'ORÇAMENTO GERAL'!$J$67</f>
        <v>7.69</v>
      </c>
      <c r="V119" s="495">
        <f>'ORÇAMENTO GERAL'!$J$68</f>
        <v>3.33</v>
      </c>
      <c r="W119" s="495">
        <f>'ORÇAMENTO GERAL'!$J$69</f>
        <v>7.11</v>
      </c>
      <c r="X119" s="495">
        <f>'ORÇAMENTO GERAL'!$J$70</f>
        <v>52.17</v>
      </c>
      <c r="Y119" s="495">
        <f>'ORÇAMENTO GERAL'!$J$71</f>
        <v>175</v>
      </c>
      <c r="Z119" s="495">
        <f>'ORÇAMENTO GERAL'!$J$72</f>
        <v>23.11</v>
      </c>
      <c r="AA119" s="495">
        <f>'ORÇAMENTO GERAL'!$J$73</f>
        <v>50.91</v>
      </c>
      <c r="AB119" s="495">
        <f>'ORÇAMENTO GERAL'!$J$74</f>
        <v>204.45</v>
      </c>
      <c r="AC119" s="495">
        <f t="shared" si="49"/>
        <v>0</v>
      </c>
    </row>
    <row r="120" spans="1:29" s="476" customFormat="1" ht="45" customHeight="1" hidden="1">
      <c r="A120" s="487">
        <f>DADOS!A28</f>
        <v>17</v>
      </c>
      <c r="B120" s="506">
        <f>DADOS!B28</f>
        <v>0</v>
      </c>
      <c r="C120" s="496">
        <v>1</v>
      </c>
      <c r="D120" s="492"/>
      <c r="E120" s="491">
        <f t="shared" si="57"/>
        <v>0</v>
      </c>
      <c r="F120" s="491">
        <f t="shared" si="50"/>
        <v>1.7</v>
      </c>
      <c r="G120" s="491">
        <f t="shared" si="51"/>
        <v>1.8</v>
      </c>
      <c r="H120" s="491">
        <f t="shared" si="44"/>
        <v>0</v>
      </c>
      <c r="I120" s="492">
        <f t="shared" si="52"/>
        <v>0</v>
      </c>
      <c r="J120" s="493">
        <f t="shared" si="53"/>
        <v>0</v>
      </c>
      <c r="K120" s="491">
        <f t="shared" si="45"/>
        <v>0</v>
      </c>
      <c r="L120" s="492">
        <f t="shared" si="54"/>
        <v>0</v>
      </c>
      <c r="M120" s="491">
        <f t="shared" si="46"/>
        <v>0</v>
      </c>
      <c r="N120" s="491">
        <f t="shared" si="55"/>
        <v>0</v>
      </c>
      <c r="O120" s="491">
        <f t="shared" si="56"/>
        <v>0</v>
      </c>
      <c r="P120" s="491">
        <f t="shared" si="47"/>
        <v>0</v>
      </c>
      <c r="Q120" s="615">
        <f t="shared" si="48"/>
        <v>0</v>
      </c>
      <c r="R120" s="494"/>
      <c r="S120" s="495">
        <f>'ORÇAMENTO GERAL'!$J$65</f>
        <v>778.27</v>
      </c>
      <c r="T120" s="495">
        <f>'ORÇAMENTO GERAL'!$J$66</f>
        <v>14.71</v>
      </c>
      <c r="U120" s="495">
        <f>'ORÇAMENTO GERAL'!$J$67</f>
        <v>7.69</v>
      </c>
      <c r="V120" s="495">
        <f>'ORÇAMENTO GERAL'!$J$68</f>
        <v>3.33</v>
      </c>
      <c r="W120" s="495">
        <f>'ORÇAMENTO GERAL'!$J$69</f>
        <v>7.11</v>
      </c>
      <c r="X120" s="495">
        <f>'ORÇAMENTO GERAL'!$J$70</f>
        <v>52.17</v>
      </c>
      <c r="Y120" s="495">
        <f>'ORÇAMENTO GERAL'!$J$71</f>
        <v>175</v>
      </c>
      <c r="Z120" s="495">
        <f>'ORÇAMENTO GERAL'!$J$72</f>
        <v>23.11</v>
      </c>
      <c r="AA120" s="495">
        <f>'ORÇAMENTO GERAL'!$J$73</f>
        <v>50.91</v>
      </c>
      <c r="AB120" s="495">
        <f>'ORÇAMENTO GERAL'!$J$74</f>
        <v>204.45</v>
      </c>
      <c r="AC120" s="495">
        <f t="shared" si="49"/>
        <v>0</v>
      </c>
    </row>
    <row r="121" spans="1:29" s="476" customFormat="1" ht="45" customHeight="1" hidden="1">
      <c r="A121" s="487">
        <f>DADOS!A29</f>
        <v>18</v>
      </c>
      <c r="B121" s="506">
        <f>DADOS!B29</f>
        <v>0</v>
      </c>
      <c r="C121" s="496">
        <v>1</v>
      </c>
      <c r="D121" s="492"/>
      <c r="E121" s="491">
        <f t="shared" si="57"/>
        <v>0</v>
      </c>
      <c r="F121" s="491">
        <f t="shared" si="50"/>
        <v>1.7</v>
      </c>
      <c r="G121" s="491">
        <f t="shared" si="51"/>
        <v>1.8</v>
      </c>
      <c r="H121" s="491">
        <f t="shared" si="44"/>
        <v>0</v>
      </c>
      <c r="I121" s="492">
        <f t="shared" si="52"/>
        <v>0</v>
      </c>
      <c r="J121" s="493">
        <f t="shared" si="53"/>
        <v>0</v>
      </c>
      <c r="K121" s="491">
        <f t="shared" si="45"/>
        <v>0</v>
      </c>
      <c r="L121" s="492">
        <f t="shared" si="54"/>
        <v>0</v>
      </c>
      <c r="M121" s="491">
        <f t="shared" si="46"/>
        <v>0</v>
      </c>
      <c r="N121" s="491">
        <f t="shared" si="55"/>
        <v>0</v>
      </c>
      <c r="O121" s="491">
        <f t="shared" si="56"/>
        <v>0</v>
      </c>
      <c r="P121" s="491">
        <f t="shared" si="47"/>
        <v>0</v>
      </c>
      <c r="Q121" s="615">
        <f t="shared" si="48"/>
        <v>0</v>
      </c>
      <c r="R121" s="494"/>
      <c r="S121" s="495">
        <f>'ORÇAMENTO GERAL'!$J$65</f>
        <v>778.27</v>
      </c>
      <c r="T121" s="495">
        <f>'ORÇAMENTO GERAL'!$J$66</f>
        <v>14.71</v>
      </c>
      <c r="U121" s="495">
        <f>'ORÇAMENTO GERAL'!$J$67</f>
        <v>7.69</v>
      </c>
      <c r="V121" s="495">
        <f>'ORÇAMENTO GERAL'!$J$68</f>
        <v>3.33</v>
      </c>
      <c r="W121" s="495">
        <f>'ORÇAMENTO GERAL'!$J$69</f>
        <v>7.11</v>
      </c>
      <c r="X121" s="495">
        <f>'ORÇAMENTO GERAL'!$J$70</f>
        <v>52.17</v>
      </c>
      <c r="Y121" s="495">
        <f>'ORÇAMENTO GERAL'!$J$71</f>
        <v>175</v>
      </c>
      <c r="Z121" s="495">
        <f>'ORÇAMENTO GERAL'!$J$72</f>
        <v>23.11</v>
      </c>
      <c r="AA121" s="495">
        <f>'ORÇAMENTO GERAL'!$J$73</f>
        <v>50.91</v>
      </c>
      <c r="AB121" s="495">
        <f>'ORÇAMENTO GERAL'!$J$74</f>
        <v>204.45</v>
      </c>
      <c r="AC121" s="495">
        <f t="shared" si="49"/>
        <v>0</v>
      </c>
    </row>
    <row r="122" spans="1:29" s="476" customFormat="1" ht="45" customHeight="1" hidden="1">
      <c r="A122" s="487">
        <f>DADOS!A30</f>
        <v>19</v>
      </c>
      <c r="B122" s="506">
        <f>DADOS!B30</f>
        <v>0</v>
      </c>
      <c r="C122" s="496">
        <v>1</v>
      </c>
      <c r="D122" s="492"/>
      <c r="E122" s="491">
        <f t="shared" si="57"/>
        <v>0</v>
      </c>
      <c r="F122" s="491">
        <f t="shared" si="50"/>
        <v>1.7</v>
      </c>
      <c r="G122" s="491">
        <f t="shared" si="51"/>
        <v>1.8</v>
      </c>
      <c r="H122" s="491">
        <f t="shared" si="44"/>
        <v>0</v>
      </c>
      <c r="I122" s="492">
        <f t="shared" si="52"/>
        <v>0</v>
      </c>
      <c r="J122" s="493">
        <f t="shared" si="53"/>
        <v>0</v>
      </c>
      <c r="K122" s="491">
        <f t="shared" si="45"/>
        <v>0</v>
      </c>
      <c r="L122" s="492">
        <f t="shared" si="54"/>
        <v>0</v>
      </c>
      <c r="M122" s="491">
        <f t="shared" si="46"/>
        <v>0</v>
      </c>
      <c r="N122" s="491">
        <f t="shared" si="55"/>
        <v>0</v>
      </c>
      <c r="O122" s="491">
        <f t="shared" si="56"/>
        <v>0</v>
      </c>
      <c r="P122" s="491">
        <f t="shared" si="47"/>
        <v>0</v>
      </c>
      <c r="Q122" s="615">
        <f t="shared" si="48"/>
        <v>0</v>
      </c>
      <c r="R122" s="494"/>
      <c r="S122" s="495">
        <f>'ORÇAMENTO GERAL'!$J$65</f>
        <v>778.27</v>
      </c>
      <c r="T122" s="495">
        <f>'ORÇAMENTO GERAL'!$J$66</f>
        <v>14.71</v>
      </c>
      <c r="U122" s="495">
        <f>'ORÇAMENTO GERAL'!$J$67</f>
        <v>7.69</v>
      </c>
      <c r="V122" s="495">
        <f>'ORÇAMENTO GERAL'!$J$68</f>
        <v>3.33</v>
      </c>
      <c r="W122" s="495">
        <f>'ORÇAMENTO GERAL'!$J$69</f>
        <v>7.11</v>
      </c>
      <c r="X122" s="495">
        <f>'ORÇAMENTO GERAL'!$J$70</f>
        <v>52.17</v>
      </c>
      <c r="Y122" s="495">
        <f>'ORÇAMENTO GERAL'!$J$71</f>
        <v>175</v>
      </c>
      <c r="Z122" s="495">
        <f>'ORÇAMENTO GERAL'!$J$72</f>
        <v>23.11</v>
      </c>
      <c r="AA122" s="495">
        <f>'ORÇAMENTO GERAL'!$J$73</f>
        <v>50.91</v>
      </c>
      <c r="AB122" s="495">
        <f>'ORÇAMENTO GERAL'!$J$74</f>
        <v>204.45</v>
      </c>
      <c r="AC122" s="495">
        <f t="shared" si="49"/>
        <v>0</v>
      </c>
    </row>
    <row r="123" spans="1:29" s="476" customFormat="1" ht="45" customHeight="1" hidden="1" thickBot="1">
      <c r="A123" s="487">
        <f>DADOS!A31</f>
        <v>20</v>
      </c>
      <c r="B123" s="506">
        <f>DADOS!B31</f>
        <v>0</v>
      </c>
      <c r="C123" s="496">
        <v>1</v>
      </c>
      <c r="D123" s="492"/>
      <c r="E123" s="491">
        <f t="shared" si="57"/>
        <v>0</v>
      </c>
      <c r="F123" s="491">
        <f t="shared" si="50"/>
        <v>1.7</v>
      </c>
      <c r="G123" s="491">
        <f t="shared" si="51"/>
        <v>1.8</v>
      </c>
      <c r="H123" s="491">
        <f t="shared" si="44"/>
        <v>0</v>
      </c>
      <c r="I123" s="492">
        <f t="shared" si="52"/>
        <v>0</v>
      </c>
      <c r="J123" s="493">
        <f t="shared" si="53"/>
        <v>0</v>
      </c>
      <c r="K123" s="491">
        <f t="shared" si="45"/>
        <v>0</v>
      </c>
      <c r="L123" s="492">
        <f t="shared" si="54"/>
        <v>0</v>
      </c>
      <c r="M123" s="491">
        <f t="shared" si="46"/>
        <v>0</v>
      </c>
      <c r="N123" s="491">
        <f t="shared" si="55"/>
        <v>0</v>
      </c>
      <c r="O123" s="491">
        <f t="shared" si="56"/>
        <v>0</v>
      </c>
      <c r="P123" s="491">
        <f t="shared" si="47"/>
        <v>0</v>
      </c>
      <c r="Q123" s="615">
        <f t="shared" si="48"/>
        <v>0</v>
      </c>
      <c r="R123" s="494"/>
      <c r="S123" s="495">
        <f>'ORÇAMENTO GERAL'!$J$65</f>
        <v>778.27</v>
      </c>
      <c r="T123" s="495">
        <f>'ORÇAMENTO GERAL'!$J$66</f>
        <v>14.71</v>
      </c>
      <c r="U123" s="495">
        <f>'ORÇAMENTO GERAL'!$J$67</f>
        <v>7.69</v>
      </c>
      <c r="V123" s="495">
        <f>'ORÇAMENTO GERAL'!$J$68</f>
        <v>3.33</v>
      </c>
      <c r="W123" s="495">
        <f>'ORÇAMENTO GERAL'!$J$69</f>
        <v>7.11</v>
      </c>
      <c r="X123" s="495">
        <f>'ORÇAMENTO GERAL'!$J$70</f>
        <v>52.17</v>
      </c>
      <c r="Y123" s="495">
        <f>'ORÇAMENTO GERAL'!$J$71</f>
        <v>175</v>
      </c>
      <c r="Z123" s="495">
        <f>'ORÇAMENTO GERAL'!$J$72</f>
        <v>23.11</v>
      </c>
      <c r="AA123" s="495">
        <f>'ORÇAMENTO GERAL'!$J$73</f>
        <v>50.91</v>
      </c>
      <c r="AB123" s="495">
        <f>'ORÇAMENTO GERAL'!$J$74</f>
        <v>204.45</v>
      </c>
      <c r="AC123" s="495">
        <f t="shared" si="49"/>
        <v>0</v>
      </c>
    </row>
    <row r="124" spans="1:18" s="476" customFormat="1" ht="45" customHeight="1" hidden="1" thickBot="1">
      <c r="A124" s="886" t="s">
        <v>23</v>
      </c>
      <c r="B124" s="887"/>
      <c r="C124" s="498"/>
      <c r="D124" s="498"/>
      <c r="E124" s="498">
        <f>SUM(E104:E123)</f>
        <v>0</v>
      </c>
      <c r="F124" s="498"/>
      <c r="G124" s="498"/>
      <c r="H124" s="498">
        <f>SUM(H104:H123)</f>
        <v>0</v>
      </c>
      <c r="I124" s="498">
        <f aca="true" t="shared" si="58" ref="I124:Q124">SUM(I104:I123)</f>
        <v>0</v>
      </c>
      <c r="J124" s="498">
        <f t="shared" si="58"/>
        <v>0</v>
      </c>
      <c r="K124" s="498">
        <f t="shared" si="58"/>
        <v>0</v>
      </c>
      <c r="L124" s="498">
        <f t="shared" si="58"/>
        <v>0</v>
      </c>
      <c r="M124" s="498">
        <f t="shared" si="58"/>
        <v>0</v>
      </c>
      <c r="N124" s="498">
        <f t="shared" si="58"/>
        <v>0</v>
      </c>
      <c r="O124" s="498">
        <f t="shared" si="58"/>
        <v>0</v>
      </c>
      <c r="P124" s="498">
        <f t="shared" si="58"/>
        <v>0</v>
      </c>
      <c r="Q124" s="498">
        <f t="shared" si="58"/>
        <v>0</v>
      </c>
      <c r="R124" s="499"/>
    </row>
    <row r="125" spans="1:17" s="476" customFormat="1" ht="45" customHeight="1" hidden="1" thickBot="1">
      <c r="A125" s="619"/>
      <c r="B125" s="617"/>
      <c r="C125" s="620"/>
      <c r="D125" s="620"/>
      <c r="E125" s="620"/>
      <c r="F125" s="620"/>
      <c r="G125" s="620"/>
      <c r="H125" s="617"/>
      <c r="I125" s="617"/>
      <c r="J125" s="617"/>
      <c r="K125" s="617"/>
      <c r="L125" s="617"/>
      <c r="M125" s="617"/>
      <c r="N125" s="617"/>
      <c r="O125" s="617"/>
      <c r="P125" s="617"/>
      <c r="Q125" s="618"/>
    </row>
    <row r="126" spans="1:18" s="476" customFormat="1" ht="45" customHeight="1" hidden="1" thickBot="1">
      <c r="A126" s="881" t="s">
        <v>489</v>
      </c>
      <c r="B126" s="882"/>
      <c r="C126" s="882"/>
      <c r="D126" s="882"/>
      <c r="E126" s="882"/>
      <c r="F126" s="882"/>
      <c r="G126" s="882"/>
      <c r="H126" s="882"/>
      <c r="I126" s="882"/>
      <c r="J126" s="882"/>
      <c r="K126" s="882"/>
      <c r="L126" s="882"/>
      <c r="M126" s="882"/>
      <c r="N126" s="882"/>
      <c r="O126" s="882"/>
      <c r="P126" s="882"/>
      <c r="Q126" s="883"/>
      <c r="R126" s="475"/>
    </row>
    <row r="127" spans="1:18" s="476" customFormat="1" ht="45" customHeight="1" hidden="1">
      <c r="A127" s="888" t="s">
        <v>6</v>
      </c>
      <c r="B127" s="891" t="s">
        <v>370</v>
      </c>
      <c r="C127" s="878" t="s">
        <v>563</v>
      </c>
      <c r="D127" s="878"/>
      <c r="E127" s="878"/>
      <c r="F127" s="884" t="s">
        <v>531</v>
      </c>
      <c r="G127" s="884"/>
      <c r="H127" s="884"/>
      <c r="I127" s="884" t="s">
        <v>532</v>
      </c>
      <c r="J127" s="897" t="s">
        <v>535</v>
      </c>
      <c r="K127" s="884" t="s">
        <v>362</v>
      </c>
      <c r="L127" s="884" t="s">
        <v>364</v>
      </c>
      <c r="M127" s="871" t="s">
        <v>363</v>
      </c>
      <c r="N127" s="874" t="s">
        <v>533</v>
      </c>
      <c r="O127" s="874" t="s">
        <v>600</v>
      </c>
      <c r="P127" s="874" t="s">
        <v>534</v>
      </c>
      <c r="Q127" s="876" t="s">
        <v>365</v>
      </c>
      <c r="R127" s="475"/>
    </row>
    <row r="128" spans="1:18" s="476" customFormat="1" ht="45" customHeight="1" hidden="1">
      <c r="A128" s="889"/>
      <c r="B128" s="892"/>
      <c r="C128" s="879"/>
      <c r="D128" s="879"/>
      <c r="E128" s="879"/>
      <c r="F128" s="885"/>
      <c r="G128" s="885"/>
      <c r="H128" s="885"/>
      <c r="I128" s="885"/>
      <c r="J128" s="898"/>
      <c r="K128" s="885"/>
      <c r="L128" s="885"/>
      <c r="M128" s="872"/>
      <c r="N128" s="875"/>
      <c r="O128" s="875"/>
      <c r="P128" s="880"/>
      <c r="Q128" s="877"/>
      <c r="R128" s="475"/>
    </row>
    <row r="129" spans="1:18" s="476" customFormat="1" ht="45" customHeight="1" hidden="1">
      <c r="A129" s="889"/>
      <c r="B129" s="892"/>
      <c r="C129" s="479" t="s">
        <v>153</v>
      </c>
      <c r="D129" s="480" t="s">
        <v>377</v>
      </c>
      <c r="E129" s="479" t="s">
        <v>361</v>
      </c>
      <c r="F129" s="479" t="s">
        <v>355</v>
      </c>
      <c r="G129" s="479" t="s">
        <v>360</v>
      </c>
      <c r="H129" s="479" t="s">
        <v>23</v>
      </c>
      <c r="I129" s="885"/>
      <c r="J129" s="898"/>
      <c r="K129" s="885"/>
      <c r="L129" s="885"/>
      <c r="M129" s="873"/>
      <c r="N129" s="479" t="s">
        <v>23</v>
      </c>
      <c r="O129" s="479" t="s">
        <v>23</v>
      </c>
      <c r="P129" s="875"/>
      <c r="Q129" s="877"/>
      <c r="R129" s="475"/>
    </row>
    <row r="130" spans="1:29" s="476" customFormat="1" ht="61.5" customHeight="1" hidden="1">
      <c r="A130" s="889"/>
      <c r="B130" s="892"/>
      <c r="C130" s="753"/>
      <c r="D130" s="753"/>
      <c r="E130" s="753" t="s">
        <v>54</v>
      </c>
      <c r="F130" s="753" t="s">
        <v>57</v>
      </c>
      <c r="G130" s="753" t="s">
        <v>15</v>
      </c>
      <c r="H130" s="753" t="s">
        <v>773</v>
      </c>
      <c r="I130" s="753" t="s">
        <v>778</v>
      </c>
      <c r="J130" s="751" t="s">
        <v>774</v>
      </c>
      <c r="K130" s="753" t="s">
        <v>775</v>
      </c>
      <c r="L130" s="753" t="s">
        <v>776</v>
      </c>
      <c r="M130" s="753" t="s">
        <v>777</v>
      </c>
      <c r="N130" s="753" t="s">
        <v>779</v>
      </c>
      <c r="O130" s="753" t="s">
        <v>780</v>
      </c>
      <c r="P130" s="753" t="s">
        <v>781</v>
      </c>
      <c r="Q130" s="750" t="s">
        <v>782</v>
      </c>
      <c r="R130" s="475"/>
      <c r="S130" s="894" t="s">
        <v>548</v>
      </c>
      <c r="T130" s="895"/>
      <c r="U130" s="895"/>
      <c r="V130" s="895"/>
      <c r="W130" s="895"/>
      <c r="X130" s="895"/>
      <c r="Y130" s="895"/>
      <c r="Z130" s="895"/>
      <c r="AA130" s="895"/>
      <c r="AB130" s="895"/>
      <c r="AC130" s="896"/>
    </row>
    <row r="131" spans="1:29" s="476" customFormat="1" ht="61.5" customHeight="1" hidden="1" thickBot="1">
      <c r="A131" s="890"/>
      <c r="B131" s="893"/>
      <c r="C131" s="482" t="s">
        <v>359</v>
      </c>
      <c r="D131" s="482" t="s">
        <v>356</v>
      </c>
      <c r="E131" s="482" t="s">
        <v>356</v>
      </c>
      <c r="F131" s="482" t="s">
        <v>581</v>
      </c>
      <c r="G131" s="484" t="s">
        <v>783</v>
      </c>
      <c r="H131" s="482"/>
      <c r="I131" s="482"/>
      <c r="J131" s="483">
        <v>10</v>
      </c>
      <c r="K131" s="482"/>
      <c r="L131" s="482"/>
      <c r="M131" s="482"/>
      <c r="N131" s="482"/>
      <c r="O131" s="484"/>
      <c r="P131" s="484" t="s">
        <v>598</v>
      </c>
      <c r="Q131" s="614"/>
      <c r="R131" s="485"/>
      <c r="S131" s="480" t="s">
        <v>540</v>
      </c>
      <c r="T131" s="480" t="s">
        <v>541</v>
      </c>
      <c r="U131" s="480" t="s">
        <v>542</v>
      </c>
      <c r="V131" s="480" t="s">
        <v>543</v>
      </c>
      <c r="W131" s="480" t="s">
        <v>544</v>
      </c>
      <c r="X131" s="480" t="s">
        <v>371</v>
      </c>
      <c r="Y131" s="479" t="s">
        <v>533</v>
      </c>
      <c r="Z131" s="479" t="s">
        <v>600</v>
      </c>
      <c r="AA131" s="479" t="s">
        <v>534</v>
      </c>
      <c r="AB131" s="479" t="s">
        <v>365</v>
      </c>
      <c r="AC131" s="486" t="s">
        <v>23</v>
      </c>
    </row>
    <row r="132" spans="1:29" s="476" customFormat="1" ht="45" customHeight="1" hidden="1">
      <c r="A132" s="487">
        <f>DADOS!A12</f>
        <v>1</v>
      </c>
      <c r="B132" s="506" t="str">
        <f>DADOS!B12</f>
        <v>R. CANARINHO</v>
      </c>
      <c r="C132" s="489">
        <v>1</v>
      </c>
      <c r="D132" s="490"/>
      <c r="E132" s="489">
        <f>C132*D132</f>
        <v>0</v>
      </c>
      <c r="F132" s="491">
        <f>1.44+0.5</f>
        <v>1.94</v>
      </c>
      <c r="G132" s="491">
        <f>((1.44+0.6)+((1.44+0.6)+(E132*0.5%)))/2</f>
        <v>2.04</v>
      </c>
      <c r="H132" s="491">
        <f aca="true" t="shared" si="59" ref="H132:H151">E132*F132*G132</f>
        <v>0</v>
      </c>
      <c r="I132" s="492">
        <f>M132</f>
        <v>0</v>
      </c>
      <c r="J132" s="493">
        <f>I132*1.25*$J$19</f>
        <v>0</v>
      </c>
      <c r="K132" s="491">
        <f aca="true" t="shared" si="60" ref="K132:K151">E132*F132</f>
        <v>0</v>
      </c>
      <c r="L132" s="492">
        <f>K132</f>
        <v>0</v>
      </c>
      <c r="M132" s="491">
        <f aca="true" t="shared" si="61" ref="M132:M151">(3.14*0.6^2)*E132</f>
        <v>0</v>
      </c>
      <c r="N132" s="491">
        <f>(H132-M132)*70%</f>
        <v>0</v>
      </c>
      <c r="O132" s="491">
        <f>(H132-M132)*30%</f>
        <v>0</v>
      </c>
      <c r="P132" s="491">
        <f aca="true" t="shared" si="62" ref="P132:P151">IF(G132&gt;1.5,D132*G132*2,)</f>
        <v>0</v>
      </c>
      <c r="Q132" s="615">
        <f aca="true" t="shared" si="63" ref="Q132:Q151">E132</f>
        <v>0</v>
      </c>
      <c r="R132" s="494"/>
      <c r="S132" s="495">
        <f>'ORÇAMENTO GERAL'!$J$75</f>
        <v>1267.84</v>
      </c>
      <c r="T132" s="495">
        <f>'ORÇAMENTO GERAL'!$J$76</f>
        <v>14.71</v>
      </c>
      <c r="U132" s="495">
        <f>'ORÇAMENTO GERAL'!$J$77</f>
        <v>7.69</v>
      </c>
      <c r="V132" s="495">
        <f>'ORÇAMENTO GERAL'!$J$78</f>
        <v>3.33</v>
      </c>
      <c r="W132" s="495">
        <f>'ORÇAMENTO GERAL'!$J$79</f>
        <v>7.11</v>
      </c>
      <c r="X132" s="495">
        <f>'ORÇAMENTO GERAL'!$J$80</f>
        <v>52.17</v>
      </c>
      <c r="Y132" s="495">
        <f>'ORÇAMENTO GERAL'!$J$81</f>
        <v>175</v>
      </c>
      <c r="Z132" s="495">
        <f>'ORÇAMENTO GERAL'!$J$82</f>
        <v>23.11</v>
      </c>
      <c r="AA132" s="495">
        <f>'ORÇAMENTO GERAL'!$J$83</f>
        <v>50.91</v>
      </c>
      <c r="AB132" s="495">
        <f>'ORÇAMENTO GERAL'!$J$84</f>
        <v>253.59</v>
      </c>
      <c r="AC132" s="495">
        <f aca="true" t="shared" si="64" ref="AC132:AC151">(E132*S132)+(H132*T132)+(I132*U132)+(J132*V132)+(K132*W132)+(L132*X132)+(N132*Y132)+(O132*Z132)+(P132*AA132)+(Q132*AB132)</f>
        <v>0</v>
      </c>
    </row>
    <row r="133" spans="1:29" s="476" customFormat="1" ht="45" customHeight="1" hidden="1">
      <c r="A133" s="487">
        <f>DADOS!A13</f>
        <v>2</v>
      </c>
      <c r="B133" s="506" t="str">
        <f>DADOS!B13</f>
        <v>R. SEM NOME 1</v>
      </c>
      <c r="C133" s="496">
        <v>1</v>
      </c>
      <c r="D133" s="492"/>
      <c r="E133" s="491">
        <f>C133*D133</f>
        <v>0</v>
      </c>
      <c r="F133" s="491">
        <f aca="true" t="shared" si="65" ref="F133:F151">1.44+0.5</f>
        <v>1.94</v>
      </c>
      <c r="G133" s="491">
        <f aca="true" t="shared" si="66" ref="G133:G151">((1.44+0.6)+((1.44+0.6)+(E133*0.5%)))/2</f>
        <v>2.04</v>
      </c>
      <c r="H133" s="491">
        <f t="shared" si="59"/>
        <v>0</v>
      </c>
      <c r="I133" s="492">
        <f aca="true" t="shared" si="67" ref="I133:I151">M133</f>
        <v>0</v>
      </c>
      <c r="J133" s="493">
        <f aca="true" t="shared" si="68" ref="J133:J151">I133*1.25*$J$19</f>
        <v>0</v>
      </c>
      <c r="K133" s="491">
        <f t="shared" si="60"/>
        <v>0</v>
      </c>
      <c r="L133" s="492">
        <f aca="true" t="shared" si="69" ref="L133:L151">K133</f>
        <v>0</v>
      </c>
      <c r="M133" s="491">
        <f t="shared" si="61"/>
        <v>0</v>
      </c>
      <c r="N133" s="491">
        <f aca="true" t="shared" si="70" ref="N133:N151">(H133-M133)*70%</f>
        <v>0</v>
      </c>
      <c r="O133" s="491">
        <f aca="true" t="shared" si="71" ref="O133:O151">(H133-M133)*30%</f>
        <v>0</v>
      </c>
      <c r="P133" s="491">
        <f t="shared" si="62"/>
        <v>0</v>
      </c>
      <c r="Q133" s="615">
        <f t="shared" si="63"/>
        <v>0</v>
      </c>
      <c r="R133" s="494"/>
      <c r="S133" s="495">
        <f>'ORÇAMENTO GERAL'!$J$75</f>
        <v>1267.84</v>
      </c>
      <c r="T133" s="495">
        <f>'ORÇAMENTO GERAL'!$J$76</f>
        <v>14.71</v>
      </c>
      <c r="U133" s="495">
        <f>'ORÇAMENTO GERAL'!$J$77</f>
        <v>7.69</v>
      </c>
      <c r="V133" s="495">
        <f>'ORÇAMENTO GERAL'!$J$78</f>
        <v>3.33</v>
      </c>
      <c r="W133" s="495">
        <f>'ORÇAMENTO GERAL'!$J$79</f>
        <v>7.11</v>
      </c>
      <c r="X133" s="495">
        <f>'ORÇAMENTO GERAL'!$J$80</f>
        <v>52.17</v>
      </c>
      <c r="Y133" s="495">
        <f>'ORÇAMENTO GERAL'!$J$81</f>
        <v>175</v>
      </c>
      <c r="Z133" s="495">
        <f>'ORÇAMENTO GERAL'!$J$82</f>
        <v>23.11</v>
      </c>
      <c r="AA133" s="495">
        <f>'ORÇAMENTO GERAL'!$J$83</f>
        <v>50.91</v>
      </c>
      <c r="AB133" s="495">
        <f>'ORÇAMENTO GERAL'!$J$84</f>
        <v>253.59</v>
      </c>
      <c r="AC133" s="495">
        <f t="shared" si="64"/>
        <v>0</v>
      </c>
    </row>
    <row r="134" spans="1:29" s="476" customFormat="1" ht="45" customHeight="1" hidden="1">
      <c r="A134" s="487">
        <f>DADOS!A14</f>
        <v>3</v>
      </c>
      <c r="B134" s="506" t="str">
        <f>DADOS!B14</f>
        <v>EST. DO CURUÇAMBÁ</v>
      </c>
      <c r="C134" s="496">
        <v>1</v>
      </c>
      <c r="D134" s="492"/>
      <c r="E134" s="491">
        <f aca="true" t="shared" si="72" ref="E134:E151">C134*D134</f>
        <v>0</v>
      </c>
      <c r="F134" s="491">
        <f t="shared" si="65"/>
        <v>1.94</v>
      </c>
      <c r="G134" s="491">
        <f t="shared" si="66"/>
        <v>2.04</v>
      </c>
      <c r="H134" s="491">
        <f t="shared" si="59"/>
        <v>0</v>
      </c>
      <c r="I134" s="492">
        <f t="shared" si="67"/>
        <v>0</v>
      </c>
      <c r="J134" s="493">
        <f t="shared" si="68"/>
        <v>0</v>
      </c>
      <c r="K134" s="491">
        <f t="shared" si="60"/>
        <v>0</v>
      </c>
      <c r="L134" s="492">
        <f t="shared" si="69"/>
        <v>0</v>
      </c>
      <c r="M134" s="491">
        <f t="shared" si="61"/>
        <v>0</v>
      </c>
      <c r="N134" s="491">
        <f t="shared" si="70"/>
        <v>0</v>
      </c>
      <c r="O134" s="491">
        <f t="shared" si="71"/>
        <v>0</v>
      </c>
      <c r="P134" s="491">
        <f t="shared" si="62"/>
        <v>0</v>
      </c>
      <c r="Q134" s="615">
        <f t="shared" si="63"/>
        <v>0</v>
      </c>
      <c r="R134" s="494"/>
      <c r="S134" s="495">
        <f>'ORÇAMENTO GERAL'!$J$75</f>
        <v>1267.84</v>
      </c>
      <c r="T134" s="495">
        <f>'ORÇAMENTO GERAL'!$J$76</f>
        <v>14.71</v>
      </c>
      <c r="U134" s="495">
        <f>'ORÇAMENTO GERAL'!$J$77</f>
        <v>7.69</v>
      </c>
      <c r="V134" s="495">
        <f>'ORÇAMENTO GERAL'!$J$78</f>
        <v>3.33</v>
      </c>
      <c r="W134" s="495">
        <f>'ORÇAMENTO GERAL'!$J$79</f>
        <v>7.11</v>
      </c>
      <c r="X134" s="495">
        <f>'ORÇAMENTO GERAL'!$J$80</f>
        <v>52.17</v>
      </c>
      <c r="Y134" s="495">
        <f>'ORÇAMENTO GERAL'!$J$81</f>
        <v>175</v>
      </c>
      <c r="Z134" s="495">
        <f>'ORÇAMENTO GERAL'!$J$82</f>
        <v>23.11</v>
      </c>
      <c r="AA134" s="495">
        <f>'ORÇAMENTO GERAL'!$J$83</f>
        <v>50.91</v>
      </c>
      <c r="AB134" s="495">
        <f>'ORÇAMENTO GERAL'!$J$84</f>
        <v>253.59</v>
      </c>
      <c r="AC134" s="495">
        <f t="shared" si="64"/>
        <v>0</v>
      </c>
    </row>
    <row r="135" spans="1:29" s="476" customFormat="1" ht="45" customHeight="1" hidden="1">
      <c r="A135" s="487">
        <f>DADOS!A15</f>
        <v>4</v>
      </c>
      <c r="B135" s="506" t="str">
        <f>DADOS!B15</f>
        <v>PASS. SOL NASCENTE</v>
      </c>
      <c r="C135" s="496">
        <v>1</v>
      </c>
      <c r="D135" s="492"/>
      <c r="E135" s="491">
        <f t="shared" si="72"/>
        <v>0</v>
      </c>
      <c r="F135" s="491">
        <f t="shared" si="65"/>
        <v>1.94</v>
      </c>
      <c r="G135" s="491">
        <f t="shared" si="66"/>
        <v>2.04</v>
      </c>
      <c r="H135" s="491">
        <f t="shared" si="59"/>
        <v>0</v>
      </c>
      <c r="I135" s="492">
        <f t="shared" si="67"/>
        <v>0</v>
      </c>
      <c r="J135" s="493">
        <f t="shared" si="68"/>
        <v>0</v>
      </c>
      <c r="K135" s="491">
        <f t="shared" si="60"/>
        <v>0</v>
      </c>
      <c r="L135" s="492">
        <f t="shared" si="69"/>
        <v>0</v>
      </c>
      <c r="M135" s="491">
        <f t="shared" si="61"/>
        <v>0</v>
      </c>
      <c r="N135" s="491">
        <f t="shared" si="70"/>
        <v>0</v>
      </c>
      <c r="O135" s="491">
        <f t="shared" si="71"/>
        <v>0</v>
      </c>
      <c r="P135" s="491">
        <f t="shared" si="62"/>
        <v>0</v>
      </c>
      <c r="Q135" s="615">
        <f t="shared" si="63"/>
        <v>0</v>
      </c>
      <c r="R135" s="494"/>
      <c r="S135" s="495">
        <f>'ORÇAMENTO GERAL'!$J$75</f>
        <v>1267.84</v>
      </c>
      <c r="T135" s="495">
        <f>'ORÇAMENTO GERAL'!$J$76</f>
        <v>14.71</v>
      </c>
      <c r="U135" s="495">
        <f>'ORÇAMENTO GERAL'!$J$77</f>
        <v>7.69</v>
      </c>
      <c r="V135" s="495">
        <f>'ORÇAMENTO GERAL'!$J$78</f>
        <v>3.33</v>
      </c>
      <c r="W135" s="495">
        <f>'ORÇAMENTO GERAL'!$J$79</f>
        <v>7.11</v>
      </c>
      <c r="X135" s="495">
        <f>'ORÇAMENTO GERAL'!$J$80</f>
        <v>52.17</v>
      </c>
      <c r="Y135" s="495">
        <f>'ORÇAMENTO GERAL'!$J$81</f>
        <v>175</v>
      </c>
      <c r="Z135" s="495">
        <f>'ORÇAMENTO GERAL'!$J$82</f>
        <v>23.11</v>
      </c>
      <c r="AA135" s="495">
        <f>'ORÇAMENTO GERAL'!$J$83</f>
        <v>50.91</v>
      </c>
      <c r="AB135" s="495">
        <f>'ORÇAMENTO GERAL'!$J$84</f>
        <v>253.59</v>
      </c>
      <c r="AC135" s="495">
        <f t="shared" si="64"/>
        <v>0</v>
      </c>
    </row>
    <row r="136" spans="1:29" s="476" customFormat="1" ht="45" customHeight="1" hidden="1">
      <c r="A136" s="487">
        <f>DADOS!A16</f>
        <v>5</v>
      </c>
      <c r="B136" s="506" t="str">
        <f>DADOS!B16</f>
        <v>AL. NOVA ESPERANÇA</v>
      </c>
      <c r="C136" s="496">
        <v>1</v>
      </c>
      <c r="D136" s="492"/>
      <c r="E136" s="491">
        <f t="shared" si="72"/>
        <v>0</v>
      </c>
      <c r="F136" s="491">
        <f t="shared" si="65"/>
        <v>1.94</v>
      </c>
      <c r="G136" s="491">
        <f t="shared" si="66"/>
        <v>2.04</v>
      </c>
      <c r="H136" s="491">
        <f t="shared" si="59"/>
        <v>0</v>
      </c>
      <c r="I136" s="492">
        <f t="shared" si="67"/>
        <v>0</v>
      </c>
      <c r="J136" s="493">
        <f t="shared" si="68"/>
        <v>0</v>
      </c>
      <c r="K136" s="491">
        <f t="shared" si="60"/>
        <v>0</v>
      </c>
      <c r="L136" s="492">
        <f t="shared" si="69"/>
        <v>0</v>
      </c>
      <c r="M136" s="491">
        <f t="shared" si="61"/>
        <v>0</v>
      </c>
      <c r="N136" s="491">
        <f t="shared" si="70"/>
        <v>0</v>
      </c>
      <c r="O136" s="491">
        <f t="shared" si="71"/>
        <v>0</v>
      </c>
      <c r="P136" s="491">
        <f t="shared" si="62"/>
        <v>0</v>
      </c>
      <c r="Q136" s="615">
        <f t="shared" si="63"/>
        <v>0</v>
      </c>
      <c r="R136" s="494"/>
      <c r="S136" s="495">
        <f>'ORÇAMENTO GERAL'!$J$75</f>
        <v>1267.84</v>
      </c>
      <c r="T136" s="495">
        <f>'ORÇAMENTO GERAL'!$J$76</f>
        <v>14.71</v>
      </c>
      <c r="U136" s="495">
        <f>'ORÇAMENTO GERAL'!$J$77</f>
        <v>7.69</v>
      </c>
      <c r="V136" s="495">
        <f>'ORÇAMENTO GERAL'!$J$78</f>
        <v>3.33</v>
      </c>
      <c r="W136" s="495">
        <f>'ORÇAMENTO GERAL'!$J$79</f>
        <v>7.11</v>
      </c>
      <c r="X136" s="495">
        <f>'ORÇAMENTO GERAL'!$J$80</f>
        <v>52.17</v>
      </c>
      <c r="Y136" s="495">
        <f>'ORÇAMENTO GERAL'!$J$81</f>
        <v>175</v>
      </c>
      <c r="Z136" s="495">
        <f>'ORÇAMENTO GERAL'!$J$82</f>
        <v>23.11</v>
      </c>
      <c r="AA136" s="495">
        <f>'ORÇAMENTO GERAL'!$J$83</f>
        <v>50.91</v>
      </c>
      <c r="AB136" s="495">
        <f>'ORÇAMENTO GERAL'!$J$84</f>
        <v>253.59</v>
      </c>
      <c r="AC136" s="495">
        <f t="shared" si="64"/>
        <v>0</v>
      </c>
    </row>
    <row r="137" spans="1:29" s="476" customFormat="1" ht="45" customHeight="1" hidden="1">
      <c r="A137" s="487">
        <f>DADOS!A17</f>
        <v>6</v>
      </c>
      <c r="B137" s="506">
        <f>DADOS!B17</f>
        <v>0</v>
      </c>
      <c r="C137" s="496">
        <v>1</v>
      </c>
      <c r="D137" s="492"/>
      <c r="E137" s="491">
        <f t="shared" si="72"/>
        <v>0</v>
      </c>
      <c r="F137" s="491">
        <f t="shared" si="65"/>
        <v>1.94</v>
      </c>
      <c r="G137" s="491">
        <f t="shared" si="66"/>
        <v>2.04</v>
      </c>
      <c r="H137" s="491">
        <f t="shared" si="59"/>
        <v>0</v>
      </c>
      <c r="I137" s="492">
        <f t="shared" si="67"/>
        <v>0</v>
      </c>
      <c r="J137" s="493">
        <f t="shared" si="68"/>
        <v>0</v>
      </c>
      <c r="K137" s="491">
        <f t="shared" si="60"/>
        <v>0</v>
      </c>
      <c r="L137" s="492">
        <f t="shared" si="69"/>
        <v>0</v>
      </c>
      <c r="M137" s="491">
        <f t="shared" si="61"/>
        <v>0</v>
      </c>
      <c r="N137" s="491">
        <f t="shared" si="70"/>
        <v>0</v>
      </c>
      <c r="O137" s="491">
        <f t="shared" si="71"/>
        <v>0</v>
      </c>
      <c r="P137" s="491">
        <f t="shared" si="62"/>
        <v>0</v>
      </c>
      <c r="Q137" s="615">
        <f t="shared" si="63"/>
        <v>0</v>
      </c>
      <c r="R137" s="494"/>
      <c r="S137" s="495">
        <f>'ORÇAMENTO GERAL'!$J$75</f>
        <v>1267.84</v>
      </c>
      <c r="T137" s="495">
        <f>'ORÇAMENTO GERAL'!$J$76</f>
        <v>14.71</v>
      </c>
      <c r="U137" s="495">
        <f>'ORÇAMENTO GERAL'!$J$77</f>
        <v>7.69</v>
      </c>
      <c r="V137" s="495">
        <f>'ORÇAMENTO GERAL'!$J$78</f>
        <v>3.33</v>
      </c>
      <c r="W137" s="495">
        <f>'ORÇAMENTO GERAL'!$J$79</f>
        <v>7.11</v>
      </c>
      <c r="X137" s="495">
        <f>'ORÇAMENTO GERAL'!$J$80</f>
        <v>52.17</v>
      </c>
      <c r="Y137" s="495">
        <f>'ORÇAMENTO GERAL'!$J$81</f>
        <v>175</v>
      </c>
      <c r="Z137" s="495">
        <f>'ORÇAMENTO GERAL'!$J$82</f>
        <v>23.11</v>
      </c>
      <c r="AA137" s="495">
        <f>'ORÇAMENTO GERAL'!$J$83</f>
        <v>50.91</v>
      </c>
      <c r="AB137" s="495">
        <f>'ORÇAMENTO GERAL'!$J$84</f>
        <v>253.59</v>
      </c>
      <c r="AC137" s="495">
        <f t="shared" si="64"/>
        <v>0</v>
      </c>
    </row>
    <row r="138" spans="1:29" s="476" customFormat="1" ht="45" customHeight="1" hidden="1">
      <c r="A138" s="487">
        <f>DADOS!A18</f>
        <v>7</v>
      </c>
      <c r="B138" s="506">
        <f>DADOS!B18</f>
        <v>0</v>
      </c>
      <c r="C138" s="496">
        <v>1</v>
      </c>
      <c r="D138" s="492"/>
      <c r="E138" s="491">
        <f t="shared" si="72"/>
        <v>0</v>
      </c>
      <c r="F138" s="491">
        <f t="shared" si="65"/>
        <v>1.94</v>
      </c>
      <c r="G138" s="491">
        <f t="shared" si="66"/>
        <v>2.04</v>
      </c>
      <c r="H138" s="491">
        <f t="shared" si="59"/>
        <v>0</v>
      </c>
      <c r="I138" s="492">
        <f t="shared" si="67"/>
        <v>0</v>
      </c>
      <c r="J138" s="493">
        <f t="shared" si="68"/>
        <v>0</v>
      </c>
      <c r="K138" s="491">
        <f t="shared" si="60"/>
        <v>0</v>
      </c>
      <c r="L138" s="492">
        <f t="shared" si="69"/>
        <v>0</v>
      </c>
      <c r="M138" s="491">
        <f t="shared" si="61"/>
        <v>0</v>
      </c>
      <c r="N138" s="491">
        <f t="shared" si="70"/>
        <v>0</v>
      </c>
      <c r="O138" s="491">
        <f t="shared" si="71"/>
        <v>0</v>
      </c>
      <c r="P138" s="491">
        <f t="shared" si="62"/>
        <v>0</v>
      </c>
      <c r="Q138" s="615">
        <f t="shared" si="63"/>
        <v>0</v>
      </c>
      <c r="R138" s="494"/>
      <c r="S138" s="495">
        <f>'ORÇAMENTO GERAL'!$J$75</f>
        <v>1267.84</v>
      </c>
      <c r="T138" s="495">
        <f>'ORÇAMENTO GERAL'!$J$76</f>
        <v>14.71</v>
      </c>
      <c r="U138" s="495">
        <f>'ORÇAMENTO GERAL'!$J$77</f>
        <v>7.69</v>
      </c>
      <c r="V138" s="495">
        <f>'ORÇAMENTO GERAL'!$J$78</f>
        <v>3.33</v>
      </c>
      <c r="W138" s="495">
        <f>'ORÇAMENTO GERAL'!$J$79</f>
        <v>7.11</v>
      </c>
      <c r="X138" s="495">
        <f>'ORÇAMENTO GERAL'!$J$80</f>
        <v>52.17</v>
      </c>
      <c r="Y138" s="495">
        <f>'ORÇAMENTO GERAL'!$J$81</f>
        <v>175</v>
      </c>
      <c r="Z138" s="495">
        <f>'ORÇAMENTO GERAL'!$J$82</f>
        <v>23.11</v>
      </c>
      <c r="AA138" s="495">
        <f>'ORÇAMENTO GERAL'!$J$83</f>
        <v>50.91</v>
      </c>
      <c r="AB138" s="495">
        <f>'ORÇAMENTO GERAL'!$J$84</f>
        <v>253.59</v>
      </c>
      <c r="AC138" s="495">
        <f t="shared" si="64"/>
        <v>0</v>
      </c>
    </row>
    <row r="139" spans="1:29" s="476" customFormat="1" ht="45" customHeight="1" hidden="1">
      <c r="A139" s="487">
        <f>DADOS!A19</f>
        <v>8</v>
      </c>
      <c r="B139" s="506">
        <f>DADOS!B19</f>
        <v>0</v>
      </c>
      <c r="C139" s="496">
        <v>1</v>
      </c>
      <c r="D139" s="492"/>
      <c r="E139" s="491">
        <f t="shared" si="72"/>
        <v>0</v>
      </c>
      <c r="F139" s="491">
        <f t="shared" si="65"/>
        <v>1.94</v>
      </c>
      <c r="G139" s="491">
        <f t="shared" si="66"/>
        <v>2.04</v>
      </c>
      <c r="H139" s="491">
        <f t="shared" si="59"/>
        <v>0</v>
      </c>
      <c r="I139" s="492">
        <f t="shared" si="67"/>
        <v>0</v>
      </c>
      <c r="J139" s="493">
        <f t="shared" si="68"/>
        <v>0</v>
      </c>
      <c r="K139" s="491">
        <f t="shared" si="60"/>
        <v>0</v>
      </c>
      <c r="L139" s="492">
        <f t="shared" si="69"/>
        <v>0</v>
      </c>
      <c r="M139" s="491">
        <f t="shared" si="61"/>
        <v>0</v>
      </c>
      <c r="N139" s="491">
        <f t="shared" si="70"/>
        <v>0</v>
      </c>
      <c r="O139" s="491">
        <f t="shared" si="71"/>
        <v>0</v>
      </c>
      <c r="P139" s="491">
        <f t="shared" si="62"/>
        <v>0</v>
      </c>
      <c r="Q139" s="615">
        <f t="shared" si="63"/>
        <v>0</v>
      </c>
      <c r="R139" s="494"/>
      <c r="S139" s="495">
        <f>'ORÇAMENTO GERAL'!$J$75</f>
        <v>1267.84</v>
      </c>
      <c r="T139" s="495">
        <f>'ORÇAMENTO GERAL'!$J$76</f>
        <v>14.71</v>
      </c>
      <c r="U139" s="495">
        <f>'ORÇAMENTO GERAL'!$J$77</f>
        <v>7.69</v>
      </c>
      <c r="V139" s="495">
        <f>'ORÇAMENTO GERAL'!$J$78</f>
        <v>3.33</v>
      </c>
      <c r="W139" s="495">
        <f>'ORÇAMENTO GERAL'!$J$79</f>
        <v>7.11</v>
      </c>
      <c r="X139" s="495">
        <f>'ORÇAMENTO GERAL'!$J$80</f>
        <v>52.17</v>
      </c>
      <c r="Y139" s="495">
        <f>'ORÇAMENTO GERAL'!$J$81</f>
        <v>175</v>
      </c>
      <c r="Z139" s="495">
        <f>'ORÇAMENTO GERAL'!$J$82</f>
        <v>23.11</v>
      </c>
      <c r="AA139" s="495">
        <f>'ORÇAMENTO GERAL'!$J$83</f>
        <v>50.91</v>
      </c>
      <c r="AB139" s="495">
        <f>'ORÇAMENTO GERAL'!$J$84</f>
        <v>253.59</v>
      </c>
      <c r="AC139" s="495">
        <f t="shared" si="64"/>
        <v>0</v>
      </c>
    </row>
    <row r="140" spans="1:29" s="476" customFormat="1" ht="45" customHeight="1" hidden="1">
      <c r="A140" s="487">
        <f>DADOS!A20</f>
        <v>9</v>
      </c>
      <c r="B140" s="506">
        <f>DADOS!B20</f>
        <v>0</v>
      </c>
      <c r="C140" s="496">
        <v>1</v>
      </c>
      <c r="D140" s="492"/>
      <c r="E140" s="491">
        <f t="shared" si="72"/>
        <v>0</v>
      </c>
      <c r="F140" s="491">
        <f t="shared" si="65"/>
        <v>1.94</v>
      </c>
      <c r="G140" s="491">
        <f t="shared" si="66"/>
        <v>2.04</v>
      </c>
      <c r="H140" s="491">
        <f t="shared" si="59"/>
        <v>0</v>
      </c>
      <c r="I140" s="492">
        <f t="shared" si="67"/>
        <v>0</v>
      </c>
      <c r="J140" s="493">
        <f t="shared" si="68"/>
        <v>0</v>
      </c>
      <c r="K140" s="491">
        <f t="shared" si="60"/>
        <v>0</v>
      </c>
      <c r="L140" s="492">
        <f t="shared" si="69"/>
        <v>0</v>
      </c>
      <c r="M140" s="491">
        <f t="shared" si="61"/>
        <v>0</v>
      </c>
      <c r="N140" s="491">
        <f t="shared" si="70"/>
        <v>0</v>
      </c>
      <c r="O140" s="491">
        <f t="shared" si="71"/>
        <v>0</v>
      </c>
      <c r="P140" s="491">
        <f t="shared" si="62"/>
        <v>0</v>
      </c>
      <c r="Q140" s="615">
        <f t="shared" si="63"/>
        <v>0</v>
      </c>
      <c r="R140" s="494"/>
      <c r="S140" s="495">
        <f>'ORÇAMENTO GERAL'!$J$75</f>
        <v>1267.84</v>
      </c>
      <c r="T140" s="495">
        <f>'ORÇAMENTO GERAL'!$J$76</f>
        <v>14.71</v>
      </c>
      <c r="U140" s="495">
        <f>'ORÇAMENTO GERAL'!$J$77</f>
        <v>7.69</v>
      </c>
      <c r="V140" s="495">
        <f>'ORÇAMENTO GERAL'!$J$78</f>
        <v>3.33</v>
      </c>
      <c r="W140" s="495">
        <f>'ORÇAMENTO GERAL'!$J$79</f>
        <v>7.11</v>
      </c>
      <c r="X140" s="495">
        <f>'ORÇAMENTO GERAL'!$J$80</f>
        <v>52.17</v>
      </c>
      <c r="Y140" s="495">
        <f>'ORÇAMENTO GERAL'!$J$81</f>
        <v>175</v>
      </c>
      <c r="Z140" s="495">
        <f>'ORÇAMENTO GERAL'!$J$82</f>
        <v>23.11</v>
      </c>
      <c r="AA140" s="495">
        <f>'ORÇAMENTO GERAL'!$J$83</f>
        <v>50.91</v>
      </c>
      <c r="AB140" s="495">
        <f>'ORÇAMENTO GERAL'!$J$84</f>
        <v>253.59</v>
      </c>
      <c r="AC140" s="495">
        <f t="shared" si="64"/>
        <v>0</v>
      </c>
    </row>
    <row r="141" spans="1:29" s="476" customFormat="1" ht="45" customHeight="1" hidden="1">
      <c r="A141" s="487">
        <f>DADOS!A21</f>
        <v>10</v>
      </c>
      <c r="B141" s="506">
        <f>DADOS!B21</f>
        <v>0</v>
      </c>
      <c r="C141" s="496">
        <v>1</v>
      </c>
      <c r="D141" s="492"/>
      <c r="E141" s="491">
        <f t="shared" si="72"/>
        <v>0</v>
      </c>
      <c r="F141" s="491">
        <f t="shared" si="65"/>
        <v>1.94</v>
      </c>
      <c r="G141" s="491">
        <f t="shared" si="66"/>
        <v>2.04</v>
      </c>
      <c r="H141" s="491">
        <f t="shared" si="59"/>
        <v>0</v>
      </c>
      <c r="I141" s="492">
        <f t="shared" si="67"/>
        <v>0</v>
      </c>
      <c r="J141" s="493">
        <f t="shared" si="68"/>
        <v>0</v>
      </c>
      <c r="K141" s="491">
        <f t="shared" si="60"/>
        <v>0</v>
      </c>
      <c r="L141" s="492">
        <f t="shared" si="69"/>
        <v>0</v>
      </c>
      <c r="M141" s="491">
        <f t="shared" si="61"/>
        <v>0</v>
      </c>
      <c r="N141" s="491">
        <f t="shared" si="70"/>
        <v>0</v>
      </c>
      <c r="O141" s="491">
        <f t="shared" si="71"/>
        <v>0</v>
      </c>
      <c r="P141" s="491">
        <f t="shared" si="62"/>
        <v>0</v>
      </c>
      <c r="Q141" s="615">
        <f t="shared" si="63"/>
        <v>0</v>
      </c>
      <c r="R141" s="494"/>
      <c r="S141" s="495">
        <f>'ORÇAMENTO GERAL'!$J$75</f>
        <v>1267.84</v>
      </c>
      <c r="T141" s="495">
        <f>'ORÇAMENTO GERAL'!$J$76</f>
        <v>14.71</v>
      </c>
      <c r="U141" s="495">
        <f>'ORÇAMENTO GERAL'!$J$77</f>
        <v>7.69</v>
      </c>
      <c r="V141" s="495">
        <f>'ORÇAMENTO GERAL'!$J$78</f>
        <v>3.33</v>
      </c>
      <c r="W141" s="495">
        <f>'ORÇAMENTO GERAL'!$J$79</f>
        <v>7.11</v>
      </c>
      <c r="X141" s="495">
        <f>'ORÇAMENTO GERAL'!$J$80</f>
        <v>52.17</v>
      </c>
      <c r="Y141" s="495">
        <f>'ORÇAMENTO GERAL'!$J$81</f>
        <v>175</v>
      </c>
      <c r="Z141" s="495">
        <f>'ORÇAMENTO GERAL'!$J$82</f>
        <v>23.11</v>
      </c>
      <c r="AA141" s="495">
        <f>'ORÇAMENTO GERAL'!$J$83</f>
        <v>50.91</v>
      </c>
      <c r="AB141" s="495">
        <f>'ORÇAMENTO GERAL'!$J$84</f>
        <v>253.59</v>
      </c>
      <c r="AC141" s="495">
        <f t="shared" si="64"/>
        <v>0</v>
      </c>
    </row>
    <row r="142" spans="1:29" s="476" customFormat="1" ht="45" customHeight="1" hidden="1">
      <c r="A142" s="487">
        <f>DADOS!A22</f>
        <v>11</v>
      </c>
      <c r="B142" s="506">
        <f>DADOS!B22</f>
        <v>0</v>
      </c>
      <c r="C142" s="496">
        <v>1</v>
      </c>
      <c r="D142" s="492"/>
      <c r="E142" s="491">
        <f t="shared" si="72"/>
        <v>0</v>
      </c>
      <c r="F142" s="491">
        <f t="shared" si="65"/>
        <v>1.94</v>
      </c>
      <c r="G142" s="491">
        <f t="shared" si="66"/>
        <v>2.04</v>
      </c>
      <c r="H142" s="491">
        <f t="shared" si="59"/>
        <v>0</v>
      </c>
      <c r="I142" s="492">
        <f t="shared" si="67"/>
        <v>0</v>
      </c>
      <c r="J142" s="493">
        <f t="shared" si="68"/>
        <v>0</v>
      </c>
      <c r="K142" s="491">
        <f t="shared" si="60"/>
        <v>0</v>
      </c>
      <c r="L142" s="492">
        <f t="shared" si="69"/>
        <v>0</v>
      </c>
      <c r="M142" s="491">
        <f t="shared" si="61"/>
        <v>0</v>
      </c>
      <c r="N142" s="491">
        <f t="shared" si="70"/>
        <v>0</v>
      </c>
      <c r="O142" s="491">
        <f t="shared" si="71"/>
        <v>0</v>
      </c>
      <c r="P142" s="491">
        <f t="shared" si="62"/>
        <v>0</v>
      </c>
      <c r="Q142" s="615">
        <f t="shared" si="63"/>
        <v>0</v>
      </c>
      <c r="R142" s="494"/>
      <c r="S142" s="495">
        <f>'ORÇAMENTO GERAL'!$J$75</f>
        <v>1267.84</v>
      </c>
      <c r="T142" s="495">
        <f>'ORÇAMENTO GERAL'!$J$76</f>
        <v>14.71</v>
      </c>
      <c r="U142" s="495">
        <f>'ORÇAMENTO GERAL'!$J$77</f>
        <v>7.69</v>
      </c>
      <c r="V142" s="495">
        <f>'ORÇAMENTO GERAL'!$J$78</f>
        <v>3.33</v>
      </c>
      <c r="W142" s="495">
        <f>'ORÇAMENTO GERAL'!$J$79</f>
        <v>7.11</v>
      </c>
      <c r="X142" s="495">
        <f>'ORÇAMENTO GERAL'!$J$80</f>
        <v>52.17</v>
      </c>
      <c r="Y142" s="495">
        <f>'ORÇAMENTO GERAL'!$J$81</f>
        <v>175</v>
      </c>
      <c r="Z142" s="495">
        <f>'ORÇAMENTO GERAL'!$J$82</f>
        <v>23.11</v>
      </c>
      <c r="AA142" s="495">
        <f>'ORÇAMENTO GERAL'!$J$83</f>
        <v>50.91</v>
      </c>
      <c r="AB142" s="495">
        <f>'ORÇAMENTO GERAL'!$J$84</f>
        <v>253.59</v>
      </c>
      <c r="AC142" s="495">
        <f t="shared" si="64"/>
        <v>0</v>
      </c>
    </row>
    <row r="143" spans="1:29" s="476" customFormat="1" ht="45" customHeight="1" hidden="1">
      <c r="A143" s="487">
        <f>DADOS!A23</f>
        <v>12</v>
      </c>
      <c r="B143" s="506">
        <f>DADOS!B23</f>
        <v>0</v>
      </c>
      <c r="C143" s="496">
        <v>1</v>
      </c>
      <c r="D143" s="492"/>
      <c r="E143" s="491">
        <f t="shared" si="72"/>
        <v>0</v>
      </c>
      <c r="F143" s="491">
        <f t="shared" si="65"/>
        <v>1.94</v>
      </c>
      <c r="G143" s="491">
        <f t="shared" si="66"/>
        <v>2.04</v>
      </c>
      <c r="H143" s="491">
        <f t="shared" si="59"/>
        <v>0</v>
      </c>
      <c r="I143" s="492">
        <f t="shared" si="67"/>
        <v>0</v>
      </c>
      <c r="J143" s="493">
        <f t="shared" si="68"/>
        <v>0</v>
      </c>
      <c r="K143" s="491">
        <f t="shared" si="60"/>
        <v>0</v>
      </c>
      <c r="L143" s="492">
        <f t="shared" si="69"/>
        <v>0</v>
      </c>
      <c r="M143" s="491">
        <f t="shared" si="61"/>
        <v>0</v>
      </c>
      <c r="N143" s="491">
        <f t="shared" si="70"/>
        <v>0</v>
      </c>
      <c r="O143" s="491">
        <f t="shared" si="71"/>
        <v>0</v>
      </c>
      <c r="P143" s="491">
        <f t="shared" si="62"/>
        <v>0</v>
      </c>
      <c r="Q143" s="615">
        <f t="shared" si="63"/>
        <v>0</v>
      </c>
      <c r="R143" s="494"/>
      <c r="S143" s="495">
        <f>'ORÇAMENTO GERAL'!$J$75</f>
        <v>1267.84</v>
      </c>
      <c r="T143" s="495">
        <f>'ORÇAMENTO GERAL'!$J$76</f>
        <v>14.71</v>
      </c>
      <c r="U143" s="495">
        <f>'ORÇAMENTO GERAL'!$J$77</f>
        <v>7.69</v>
      </c>
      <c r="V143" s="495">
        <f>'ORÇAMENTO GERAL'!$J$78</f>
        <v>3.33</v>
      </c>
      <c r="W143" s="495">
        <f>'ORÇAMENTO GERAL'!$J$79</f>
        <v>7.11</v>
      </c>
      <c r="X143" s="495">
        <f>'ORÇAMENTO GERAL'!$J$80</f>
        <v>52.17</v>
      </c>
      <c r="Y143" s="495">
        <f>'ORÇAMENTO GERAL'!$J$81</f>
        <v>175</v>
      </c>
      <c r="Z143" s="495">
        <f>'ORÇAMENTO GERAL'!$J$82</f>
        <v>23.11</v>
      </c>
      <c r="AA143" s="495">
        <f>'ORÇAMENTO GERAL'!$J$83</f>
        <v>50.91</v>
      </c>
      <c r="AB143" s="495">
        <f>'ORÇAMENTO GERAL'!$J$84</f>
        <v>253.59</v>
      </c>
      <c r="AC143" s="495">
        <f t="shared" si="64"/>
        <v>0</v>
      </c>
    </row>
    <row r="144" spans="1:29" s="476" customFormat="1" ht="45" customHeight="1" hidden="1">
      <c r="A144" s="487">
        <f>DADOS!A24</f>
        <v>13</v>
      </c>
      <c r="B144" s="506">
        <f>DADOS!B24</f>
        <v>0</v>
      </c>
      <c r="C144" s="496">
        <v>1</v>
      </c>
      <c r="D144" s="492"/>
      <c r="E144" s="491">
        <f t="shared" si="72"/>
        <v>0</v>
      </c>
      <c r="F144" s="491">
        <f t="shared" si="65"/>
        <v>1.94</v>
      </c>
      <c r="G144" s="491">
        <f t="shared" si="66"/>
        <v>2.04</v>
      </c>
      <c r="H144" s="491">
        <f t="shared" si="59"/>
        <v>0</v>
      </c>
      <c r="I144" s="492">
        <f t="shared" si="67"/>
        <v>0</v>
      </c>
      <c r="J144" s="493">
        <f t="shared" si="68"/>
        <v>0</v>
      </c>
      <c r="K144" s="491">
        <f t="shared" si="60"/>
        <v>0</v>
      </c>
      <c r="L144" s="492">
        <f t="shared" si="69"/>
        <v>0</v>
      </c>
      <c r="M144" s="491">
        <f t="shared" si="61"/>
        <v>0</v>
      </c>
      <c r="N144" s="491">
        <f t="shared" si="70"/>
        <v>0</v>
      </c>
      <c r="O144" s="491">
        <f t="shared" si="71"/>
        <v>0</v>
      </c>
      <c r="P144" s="491">
        <f t="shared" si="62"/>
        <v>0</v>
      </c>
      <c r="Q144" s="615">
        <f t="shared" si="63"/>
        <v>0</v>
      </c>
      <c r="R144" s="494"/>
      <c r="S144" s="495">
        <f>'ORÇAMENTO GERAL'!$J$75</f>
        <v>1267.84</v>
      </c>
      <c r="T144" s="495">
        <f>'ORÇAMENTO GERAL'!$J$76</f>
        <v>14.71</v>
      </c>
      <c r="U144" s="495">
        <f>'ORÇAMENTO GERAL'!$J$77</f>
        <v>7.69</v>
      </c>
      <c r="V144" s="495">
        <f>'ORÇAMENTO GERAL'!$J$78</f>
        <v>3.33</v>
      </c>
      <c r="W144" s="495">
        <f>'ORÇAMENTO GERAL'!$J$79</f>
        <v>7.11</v>
      </c>
      <c r="X144" s="495">
        <f>'ORÇAMENTO GERAL'!$J$80</f>
        <v>52.17</v>
      </c>
      <c r="Y144" s="495">
        <f>'ORÇAMENTO GERAL'!$J$81</f>
        <v>175</v>
      </c>
      <c r="Z144" s="495">
        <f>'ORÇAMENTO GERAL'!$J$82</f>
        <v>23.11</v>
      </c>
      <c r="AA144" s="495">
        <f>'ORÇAMENTO GERAL'!$J$83</f>
        <v>50.91</v>
      </c>
      <c r="AB144" s="495">
        <f>'ORÇAMENTO GERAL'!$J$84</f>
        <v>253.59</v>
      </c>
      <c r="AC144" s="495">
        <f t="shared" si="64"/>
        <v>0</v>
      </c>
    </row>
    <row r="145" spans="1:29" s="476" customFormat="1" ht="45" customHeight="1" hidden="1">
      <c r="A145" s="487">
        <f>DADOS!A25</f>
        <v>14</v>
      </c>
      <c r="B145" s="506">
        <f>DADOS!B25</f>
        <v>0</v>
      </c>
      <c r="C145" s="496">
        <v>1</v>
      </c>
      <c r="D145" s="492"/>
      <c r="E145" s="491">
        <f t="shared" si="72"/>
        <v>0</v>
      </c>
      <c r="F145" s="491">
        <f t="shared" si="65"/>
        <v>1.94</v>
      </c>
      <c r="G145" s="491">
        <f t="shared" si="66"/>
        <v>2.04</v>
      </c>
      <c r="H145" s="491">
        <f t="shared" si="59"/>
        <v>0</v>
      </c>
      <c r="I145" s="492">
        <f t="shared" si="67"/>
        <v>0</v>
      </c>
      <c r="J145" s="493">
        <f t="shared" si="68"/>
        <v>0</v>
      </c>
      <c r="K145" s="491">
        <f t="shared" si="60"/>
        <v>0</v>
      </c>
      <c r="L145" s="492">
        <f t="shared" si="69"/>
        <v>0</v>
      </c>
      <c r="M145" s="491">
        <f t="shared" si="61"/>
        <v>0</v>
      </c>
      <c r="N145" s="491">
        <f t="shared" si="70"/>
        <v>0</v>
      </c>
      <c r="O145" s="491">
        <f t="shared" si="71"/>
        <v>0</v>
      </c>
      <c r="P145" s="491">
        <f t="shared" si="62"/>
        <v>0</v>
      </c>
      <c r="Q145" s="615">
        <f t="shared" si="63"/>
        <v>0</v>
      </c>
      <c r="R145" s="494"/>
      <c r="S145" s="495">
        <f>'ORÇAMENTO GERAL'!$J$75</f>
        <v>1267.84</v>
      </c>
      <c r="T145" s="495">
        <f>'ORÇAMENTO GERAL'!$J$76</f>
        <v>14.71</v>
      </c>
      <c r="U145" s="495">
        <f>'ORÇAMENTO GERAL'!$J$77</f>
        <v>7.69</v>
      </c>
      <c r="V145" s="495">
        <f>'ORÇAMENTO GERAL'!$J$78</f>
        <v>3.33</v>
      </c>
      <c r="W145" s="495">
        <f>'ORÇAMENTO GERAL'!$J$79</f>
        <v>7.11</v>
      </c>
      <c r="X145" s="495">
        <f>'ORÇAMENTO GERAL'!$J$80</f>
        <v>52.17</v>
      </c>
      <c r="Y145" s="495">
        <f>'ORÇAMENTO GERAL'!$J$81</f>
        <v>175</v>
      </c>
      <c r="Z145" s="495">
        <f>'ORÇAMENTO GERAL'!$J$82</f>
        <v>23.11</v>
      </c>
      <c r="AA145" s="495">
        <f>'ORÇAMENTO GERAL'!$J$83</f>
        <v>50.91</v>
      </c>
      <c r="AB145" s="495">
        <f>'ORÇAMENTO GERAL'!$J$84</f>
        <v>253.59</v>
      </c>
      <c r="AC145" s="495">
        <f t="shared" si="64"/>
        <v>0</v>
      </c>
    </row>
    <row r="146" spans="1:29" s="476" customFormat="1" ht="45" customHeight="1" hidden="1">
      <c r="A146" s="487">
        <f>DADOS!A26</f>
        <v>15</v>
      </c>
      <c r="B146" s="506">
        <f>DADOS!B26</f>
        <v>0</v>
      </c>
      <c r="C146" s="496">
        <v>1</v>
      </c>
      <c r="D146" s="492"/>
      <c r="E146" s="491">
        <f t="shared" si="72"/>
        <v>0</v>
      </c>
      <c r="F146" s="491">
        <f t="shared" si="65"/>
        <v>1.94</v>
      </c>
      <c r="G146" s="491">
        <f t="shared" si="66"/>
        <v>2.04</v>
      </c>
      <c r="H146" s="491">
        <f t="shared" si="59"/>
        <v>0</v>
      </c>
      <c r="I146" s="492">
        <f t="shared" si="67"/>
        <v>0</v>
      </c>
      <c r="J146" s="493">
        <f t="shared" si="68"/>
        <v>0</v>
      </c>
      <c r="K146" s="491">
        <f t="shared" si="60"/>
        <v>0</v>
      </c>
      <c r="L146" s="492">
        <f t="shared" si="69"/>
        <v>0</v>
      </c>
      <c r="M146" s="491">
        <f t="shared" si="61"/>
        <v>0</v>
      </c>
      <c r="N146" s="491">
        <f t="shared" si="70"/>
        <v>0</v>
      </c>
      <c r="O146" s="491">
        <f t="shared" si="71"/>
        <v>0</v>
      </c>
      <c r="P146" s="491">
        <f t="shared" si="62"/>
        <v>0</v>
      </c>
      <c r="Q146" s="615">
        <f t="shared" si="63"/>
        <v>0</v>
      </c>
      <c r="R146" s="494"/>
      <c r="S146" s="495">
        <f>'ORÇAMENTO GERAL'!$J$75</f>
        <v>1267.84</v>
      </c>
      <c r="T146" s="495">
        <f>'ORÇAMENTO GERAL'!$J$76</f>
        <v>14.71</v>
      </c>
      <c r="U146" s="495">
        <f>'ORÇAMENTO GERAL'!$J$77</f>
        <v>7.69</v>
      </c>
      <c r="V146" s="495">
        <f>'ORÇAMENTO GERAL'!$J$78</f>
        <v>3.33</v>
      </c>
      <c r="W146" s="495">
        <f>'ORÇAMENTO GERAL'!$J$79</f>
        <v>7.11</v>
      </c>
      <c r="X146" s="495">
        <f>'ORÇAMENTO GERAL'!$J$80</f>
        <v>52.17</v>
      </c>
      <c r="Y146" s="495">
        <f>'ORÇAMENTO GERAL'!$J$81</f>
        <v>175</v>
      </c>
      <c r="Z146" s="495">
        <f>'ORÇAMENTO GERAL'!$J$82</f>
        <v>23.11</v>
      </c>
      <c r="AA146" s="495">
        <f>'ORÇAMENTO GERAL'!$J$83</f>
        <v>50.91</v>
      </c>
      <c r="AB146" s="495">
        <f>'ORÇAMENTO GERAL'!$J$84</f>
        <v>253.59</v>
      </c>
      <c r="AC146" s="495">
        <f t="shared" si="64"/>
        <v>0</v>
      </c>
    </row>
    <row r="147" spans="1:29" s="476" customFormat="1" ht="45" customHeight="1" hidden="1">
      <c r="A147" s="487">
        <f>DADOS!A27</f>
        <v>16</v>
      </c>
      <c r="B147" s="506">
        <f>DADOS!B27</f>
        <v>0</v>
      </c>
      <c r="C147" s="496">
        <v>1</v>
      </c>
      <c r="D147" s="492"/>
      <c r="E147" s="491">
        <f t="shared" si="72"/>
        <v>0</v>
      </c>
      <c r="F147" s="491">
        <f t="shared" si="65"/>
        <v>1.94</v>
      </c>
      <c r="G147" s="491">
        <f t="shared" si="66"/>
        <v>2.04</v>
      </c>
      <c r="H147" s="491">
        <f t="shared" si="59"/>
        <v>0</v>
      </c>
      <c r="I147" s="492">
        <f t="shared" si="67"/>
        <v>0</v>
      </c>
      <c r="J147" s="493">
        <f t="shared" si="68"/>
        <v>0</v>
      </c>
      <c r="K147" s="491">
        <f t="shared" si="60"/>
        <v>0</v>
      </c>
      <c r="L147" s="492">
        <f t="shared" si="69"/>
        <v>0</v>
      </c>
      <c r="M147" s="491">
        <f t="shared" si="61"/>
        <v>0</v>
      </c>
      <c r="N147" s="491">
        <f t="shared" si="70"/>
        <v>0</v>
      </c>
      <c r="O147" s="491">
        <f t="shared" si="71"/>
        <v>0</v>
      </c>
      <c r="P147" s="491">
        <f t="shared" si="62"/>
        <v>0</v>
      </c>
      <c r="Q147" s="615">
        <f t="shared" si="63"/>
        <v>0</v>
      </c>
      <c r="R147" s="494"/>
      <c r="S147" s="495">
        <f>'ORÇAMENTO GERAL'!$J$75</f>
        <v>1267.84</v>
      </c>
      <c r="T147" s="495">
        <f>'ORÇAMENTO GERAL'!$J$76</f>
        <v>14.71</v>
      </c>
      <c r="U147" s="495">
        <f>'ORÇAMENTO GERAL'!$J$77</f>
        <v>7.69</v>
      </c>
      <c r="V147" s="495">
        <f>'ORÇAMENTO GERAL'!$J$78</f>
        <v>3.33</v>
      </c>
      <c r="W147" s="495">
        <f>'ORÇAMENTO GERAL'!$J$79</f>
        <v>7.11</v>
      </c>
      <c r="X147" s="495">
        <f>'ORÇAMENTO GERAL'!$J$80</f>
        <v>52.17</v>
      </c>
      <c r="Y147" s="495">
        <f>'ORÇAMENTO GERAL'!$J$81</f>
        <v>175</v>
      </c>
      <c r="Z147" s="495">
        <f>'ORÇAMENTO GERAL'!$J$82</f>
        <v>23.11</v>
      </c>
      <c r="AA147" s="495">
        <f>'ORÇAMENTO GERAL'!$J$83</f>
        <v>50.91</v>
      </c>
      <c r="AB147" s="495">
        <f>'ORÇAMENTO GERAL'!$J$84</f>
        <v>253.59</v>
      </c>
      <c r="AC147" s="495">
        <f t="shared" si="64"/>
        <v>0</v>
      </c>
    </row>
    <row r="148" spans="1:29" s="476" customFormat="1" ht="45" customHeight="1" hidden="1">
      <c r="A148" s="487">
        <f>DADOS!A28</f>
        <v>17</v>
      </c>
      <c r="B148" s="506">
        <f>DADOS!B28</f>
        <v>0</v>
      </c>
      <c r="C148" s="496">
        <v>1</v>
      </c>
      <c r="D148" s="492"/>
      <c r="E148" s="491">
        <f t="shared" si="72"/>
        <v>0</v>
      </c>
      <c r="F148" s="491">
        <f t="shared" si="65"/>
        <v>1.94</v>
      </c>
      <c r="G148" s="491">
        <f t="shared" si="66"/>
        <v>2.04</v>
      </c>
      <c r="H148" s="491">
        <f t="shared" si="59"/>
        <v>0</v>
      </c>
      <c r="I148" s="492">
        <f t="shared" si="67"/>
        <v>0</v>
      </c>
      <c r="J148" s="493">
        <f t="shared" si="68"/>
        <v>0</v>
      </c>
      <c r="K148" s="491">
        <f t="shared" si="60"/>
        <v>0</v>
      </c>
      <c r="L148" s="492">
        <f t="shared" si="69"/>
        <v>0</v>
      </c>
      <c r="M148" s="491">
        <f t="shared" si="61"/>
        <v>0</v>
      </c>
      <c r="N148" s="491">
        <f t="shared" si="70"/>
        <v>0</v>
      </c>
      <c r="O148" s="491">
        <f t="shared" si="71"/>
        <v>0</v>
      </c>
      <c r="P148" s="491">
        <f t="shared" si="62"/>
        <v>0</v>
      </c>
      <c r="Q148" s="615">
        <f t="shared" si="63"/>
        <v>0</v>
      </c>
      <c r="R148" s="494"/>
      <c r="S148" s="495">
        <f>'ORÇAMENTO GERAL'!$J$75</f>
        <v>1267.84</v>
      </c>
      <c r="T148" s="495">
        <f>'ORÇAMENTO GERAL'!$J$76</f>
        <v>14.71</v>
      </c>
      <c r="U148" s="495">
        <f>'ORÇAMENTO GERAL'!$J$77</f>
        <v>7.69</v>
      </c>
      <c r="V148" s="495">
        <f>'ORÇAMENTO GERAL'!$J$78</f>
        <v>3.33</v>
      </c>
      <c r="W148" s="495">
        <f>'ORÇAMENTO GERAL'!$J$79</f>
        <v>7.11</v>
      </c>
      <c r="X148" s="495">
        <f>'ORÇAMENTO GERAL'!$J$80</f>
        <v>52.17</v>
      </c>
      <c r="Y148" s="495">
        <f>'ORÇAMENTO GERAL'!$J$81</f>
        <v>175</v>
      </c>
      <c r="Z148" s="495">
        <f>'ORÇAMENTO GERAL'!$J$82</f>
        <v>23.11</v>
      </c>
      <c r="AA148" s="495">
        <f>'ORÇAMENTO GERAL'!$J$83</f>
        <v>50.91</v>
      </c>
      <c r="AB148" s="495">
        <f>'ORÇAMENTO GERAL'!$J$84</f>
        <v>253.59</v>
      </c>
      <c r="AC148" s="495">
        <f t="shared" si="64"/>
        <v>0</v>
      </c>
    </row>
    <row r="149" spans="1:29" s="476" customFormat="1" ht="45" customHeight="1" hidden="1">
      <c r="A149" s="487">
        <f>DADOS!A29</f>
        <v>18</v>
      </c>
      <c r="B149" s="506">
        <f>DADOS!B29</f>
        <v>0</v>
      </c>
      <c r="C149" s="496">
        <v>1</v>
      </c>
      <c r="D149" s="492"/>
      <c r="E149" s="491">
        <f t="shared" si="72"/>
        <v>0</v>
      </c>
      <c r="F149" s="491">
        <f t="shared" si="65"/>
        <v>1.94</v>
      </c>
      <c r="G149" s="491">
        <f t="shared" si="66"/>
        <v>2.04</v>
      </c>
      <c r="H149" s="491">
        <f t="shared" si="59"/>
        <v>0</v>
      </c>
      <c r="I149" s="492">
        <f t="shared" si="67"/>
        <v>0</v>
      </c>
      <c r="J149" s="493">
        <f t="shared" si="68"/>
        <v>0</v>
      </c>
      <c r="K149" s="491">
        <f t="shared" si="60"/>
        <v>0</v>
      </c>
      <c r="L149" s="492">
        <f t="shared" si="69"/>
        <v>0</v>
      </c>
      <c r="M149" s="491">
        <f t="shared" si="61"/>
        <v>0</v>
      </c>
      <c r="N149" s="491">
        <f t="shared" si="70"/>
        <v>0</v>
      </c>
      <c r="O149" s="491">
        <f t="shared" si="71"/>
        <v>0</v>
      </c>
      <c r="P149" s="491">
        <f t="shared" si="62"/>
        <v>0</v>
      </c>
      <c r="Q149" s="615">
        <f t="shared" si="63"/>
        <v>0</v>
      </c>
      <c r="R149" s="494"/>
      <c r="S149" s="495">
        <f>'ORÇAMENTO GERAL'!$J$75</f>
        <v>1267.84</v>
      </c>
      <c r="T149" s="495">
        <f>'ORÇAMENTO GERAL'!$J$76</f>
        <v>14.71</v>
      </c>
      <c r="U149" s="495">
        <f>'ORÇAMENTO GERAL'!$J$77</f>
        <v>7.69</v>
      </c>
      <c r="V149" s="495">
        <f>'ORÇAMENTO GERAL'!$J$78</f>
        <v>3.33</v>
      </c>
      <c r="W149" s="495">
        <f>'ORÇAMENTO GERAL'!$J$79</f>
        <v>7.11</v>
      </c>
      <c r="X149" s="495">
        <f>'ORÇAMENTO GERAL'!$J$80</f>
        <v>52.17</v>
      </c>
      <c r="Y149" s="495">
        <f>'ORÇAMENTO GERAL'!$J$81</f>
        <v>175</v>
      </c>
      <c r="Z149" s="495">
        <f>'ORÇAMENTO GERAL'!$J$82</f>
        <v>23.11</v>
      </c>
      <c r="AA149" s="495">
        <f>'ORÇAMENTO GERAL'!$J$83</f>
        <v>50.91</v>
      </c>
      <c r="AB149" s="495">
        <f>'ORÇAMENTO GERAL'!$J$84</f>
        <v>253.59</v>
      </c>
      <c r="AC149" s="495">
        <f t="shared" si="64"/>
        <v>0</v>
      </c>
    </row>
    <row r="150" spans="1:29" s="476" customFormat="1" ht="45" customHeight="1" hidden="1">
      <c r="A150" s="487">
        <f>DADOS!A30</f>
        <v>19</v>
      </c>
      <c r="B150" s="506">
        <f>DADOS!B30</f>
        <v>0</v>
      </c>
      <c r="C150" s="496">
        <v>1</v>
      </c>
      <c r="D150" s="492"/>
      <c r="E150" s="491">
        <f t="shared" si="72"/>
        <v>0</v>
      </c>
      <c r="F150" s="491">
        <f t="shared" si="65"/>
        <v>1.94</v>
      </c>
      <c r="G150" s="491">
        <f t="shared" si="66"/>
        <v>2.04</v>
      </c>
      <c r="H150" s="491">
        <f t="shared" si="59"/>
        <v>0</v>
      </c>
      <c r="I150" s="492">
        <f t="shared" si="67"/>
        <v>0</v>
      </c>
      <c r="J150" s="493">
        <f t="shared" si="68"/>
        <v>0</v>
      </c>
      <c r="K150" s="491">
        <f t="shared" si="60"/>
        <v>0</v>
      </c>
      <c r="L150" s="492">
        <f t="shared" si="69"/>
        <v>0</v>
      </c>
      <c r="M150" s="491">
        <f t="shared" si="61"/>
        <v>0</v>
      </c>
      <c r="N150" s="491">
        <f t="shared" si="70"/>
        <v>0</v>
      </c>
      <c r="O150" s="491">
        <f t="shared" si="71"/>
        <v>0</v>
      </c>
      <c r="P150" s="491">
        <f t="shared" si="62"/>
        <v>0</v>
      </c>
      <c r="Q150" s="615">
        <f t="shared" si="63"/>
        <v>0</v>
      </c>
      <c r="R150" s="494"/>
      <c r="S150" s="495">
        <f>'ORÇAMENTO GERAL'!$J$75</f>
        <v>1267.84</v>
      </c>
      <c r="T150" s="495">
        <f>'ORÇAMENTO GERAL'!$J$76</f>
        <v>14.71</v>
      </c>
      <c r="U150" s="495">
        <f>'ORÇAMENTO GERAL'!$J$77</f>
        <v>7.69</v>
      </c>
      <c r="V150" s="495">
        <f>'ORÇAMENTO GERAL'!$J$78</f>
        <v>3.33</v>
      </c>
      <c r="W150" s="495">
        <f>'ORÇAMENTO GERAL'!$J$79</f>
        <v>7.11</v>
      </c>
      <c r="X150" s="495">
        <f>'ORÇAMENTO GERAL'!$J$80</f>
        <v>52.17</v>
      </c>
      <c r="Y150" s="495">
        <f>'ORÇAMENTO GERAL'!$J$81</f>
        <v>175</v>
      </c>
      <c r="Z150" s="495">
        <f>'ORÇAMENTO GERAL'!$J$82</f>
        <v>23.11</v>
      </c>
      <c r="AA150" s="495">
        <f>'ORÇAMENTO GERAL'!$J$83</f>
        <v>50.91</v>
      </c>
      <c r="AB150" s="495">
        <f>'ORÇAMENTO GERAL'!$J$84</f>
        <v>253.59</v>
      </c>
      <c r="AC150" s="495">
        <f t="shared" si="64"/>
        <v>0</v>
      </c>
    </row>
    <row r="151" spans="1:29" s="476" customFormat="1" ht="45" customHeight="1" hidden="1" thickBot="1">
      <c r="A151" s="487">
        <f>DADOS!A31</f>
        <v>20</v>
      </c>
      <c r="B151" s="506">
        <f>DADOS!B31</f>
        <v>0</v>
      </c>
      <c r="C151" s="496">
        <v>1</v>
      </c>
      <c r="D151" s="492"/>
      <c r="E151" s="491">
        <f t="shared" si="72"/>
        <v>0</v>
      </c>
      <c r="F151" s="491">
        <f t="shared" si="65"/>
        <v>1.94</v>
      </c>
      <c r="G151" s="491">
        <f t="shared" si="66"/>
        <v>2.04</v>
      </c>
      <c r="H151" s="491">
        <f t="shared" si="59"/>
        <v>0</v>
      </c>
      <c r="I151" s="492">
        <f t="shared" si="67"/>
        <v>0</v>
      </c>
      <c r="J151" s="493">
        <f t="shared" si="68"/>
        <v>0</v>
      </c>
      <c r="K151" s="491">
        <f t="shared" si="60"/>
        <v>0</v>
      </c>
      <c r="L151" s="492">
        <f t="shared" si="69"/>
        <v>0</v>
      </c>
      <c r="M151" s="491">
        <f t="shared" si="61"/>
        <v>0</v>
      </c>
      <c r="N151" s="491">
        <f t="shared" si="70"/>
        <v>0</v>
      </c>
      <c r="O151" s="491">
        <f t="shared" si="71"/>
        <v>0</v>
      </c>
      <c r="P151" s="491">
        <f t="shared" si="62"/>
        <v>0</v>
      </c>
      <c r="Q151" s="615">
        <f t="shared" si="63"/>
        <v>0</v>
      </c>
      <c r="R151" s="494"/>
      <c r="S151" s="495">
        <f>'ORÇAMENTO GERAL'!$J$75</f>
        <v>1267.84</v>
      </c>
      <c r="T151" s="495">
        <f>'ORÇAMENTO GERAL'!$J$76</f>
        <v>14.71</v>
      </c>
      <c r="U151" s="495">
        <f>'ORÇAMENTO GERAL'!$J$77</f>
        <v>7.69</v>
      </c>
      <c r="V151" s="495">
        <f>'ORÇAMENTO GERAL'!$J$78</f>
        <v>3.33</v>
      </c>
      <c r="W151" s="495">
        <f>'ORÇAMENTO GERAL'!$J$79</f>
        <v>7.11</v>
      </c>
      <c r="X151" s="495">
        <f>'ORÇAMENTO GERAL'!$J$80</f>
        <v>52.17</v>
      </c>
      <c r="Y151" s="495">
        <f>'ORÇAMENTO GERAL'!$J$81</f>
        <v>175</v>
      </c>
      <c r="Z151" s="495">
        <f>'ORÇAMENTO GERAL'!$J$82</f>
        <v>23.11</v>
      </c>
      <c r="AA151" s="495">
        <f>'ORÇAMENTO GERAL'!$J$83</f>
        <v>50.91</v>
      </c>
      <c r="AB151" s="495">
        <f>'ORÇAMENTO GERAL'!$J$84</f>
        <v>253.59</v>
      </c>
      <c r="AC151" s="495">
        <f t="shared" si="64"/>
        <v>0</v>
      </c>
    </row>
    <row r="152" spans="1:18" s="476" customFormat="1" ht="45" customHeight="1" hidden="1" thickBot="1">
      <c r="A152" s="886" t="s">
        <v>23</v>
      </c>
      <c r="B152" s="887"/>
      <c r="C152" s="498"/>
      <c r="D152" s="498"/>
      <c r="E152" s="498">
        <f>SUM(E132:E151)</f>
        <v>0</v>
      </c>
      <c r="F152" s="498"/>
      <c r="G152" s="498"/>
      <c r="H152" s="498">
        <f>SUM(H132:H151)</f>
        <v>0</v>
      </c>
      <c r="I152" s="498">
        <f aca="true" t="shared" si="73" ref="I152:Q152">SUM(I132:I151)</f>
        <v>0</v>
      </c>
      <c r="J152" s="498">
        <f t="shared" si="73"/>
        <v>0</v>
      </c>
      <c r="K152" s="498">
        <f t="shared" si="73"/>
        <v>0</v>
      </c>
      <c r="L152" s="498">
        <f t="shared" si="73"/>
        <v>0</v>
      </c>
      <c r="M152" s="498">
        <f t="shared" si="73"/>
        <v>0</v>
      </c>
      <c r="N152" s="498">
        <f t="shared" si="73"/>
        <v>0</v>
      </c>
      <c r="O152" s="498">
        <f t="shared" si="73"/>
        <v>0</v>
      </c>
      <c r="P152" s="498">
        <f t="shared" si="73"/>
        <v>0</v>
      </c>
      <c r="Q152" s="498">
        <f t="shared" si="73"/>
        <v>0</v>
      </c>
      <c r="R152" s="499"/>
    </row>
    <row r="153" spans="1:17" s="476" customFormat="1" ht="45" customHeight="1" hidden="1" thickBot="1">
      <c r="A153" s="619"/>
      <c r="B153" s="617"/>
      <c r="C153" s="620"/>
      <c r="D153" s="620"/>
      <c r="E153" s="620"/>
      <c r="F153" s="620"/>
      <c r="G153" s="620"/>
      <c r="H153" s="617"/>
      <c r="I153" s="617"/>
      <c r="J153" s="617"/>
      <c r="K153" s="617"/>
      <c r="L153" s="617"/>
      <c r="M153" s="617"/>
      <c r="N153" s="617"/>
      <c r="O153" s="617"/>
      <c r="P153" s="617"/>
      <c r="Q153" s="618"/>
    </row>
    <row r="154" spans="1:18" s="476" customFormat="1" ht="45" customHeight="1" hidden="1" thickBot="1">
      <c r="A154" s="881" t="s">
        <v>490</v>
      </c>
      <c r="B154" s="882"/>
      <c r="C154" s="882"/>
      <c r="D154" s="882"/>
      <c r="E154" s="882"/>
      <c r="F154" s="882"/>
      <c r="G154" s="882"/>
      <c r="H154" s="882"/>
      <c r="I154" s="882"/>
      <c r="J154" s="882"/>
      <c r="K154" s="882"/>
      <c r="L154" s="882"/>
      <c r="M154" s="882"/>
      <c r="N154" s="882"/>
      <c r="O154" s="882"/>
      <c r="P154" s="882"/>
      <c r="Q154" s="883"/>
      <c r="R154" s="475"/>
    </row>
    <row r="155" spans="1:18" s="476" customFormat="1" ht="45" customHeight="1" hidden="1">
      <c r="A155" s="888" t="s">
        <v>6</v>
      </c>
      <c r="B155" s="891" t="s">
        <v>370</v>
      </c>
      <c r="C155" s="878" t="s">
        <v>562</v>
      </c>
      <c r="D155" s="878"/>
      <c r="E155" s="878"/>
      <c r="F155" s="884" t="s">
        <v>531</v>
      </c>
      <c r="G155" s="884"/>
      <c r="H155" s="884"/>
      <c r="I155" s="884" t="s">
        <v>532</v>
      </c>
      <c r="J155" s="897" t="s">
        <v>535</v>
      </c>
      <c r="K155" s="884" t="s">
        <v>362</v>
      </c>
      <c r="L155" s="884" t="s">
        <v>364</v>
      </c>
      <c r="M155" s="871" t="s">
        <v>363</v>
      </c>
      <c r="N155" s="874" t="s">
        <v>533</v>
      </c>
      <c r="O155" s="874" t="s">
        <v>600</v>
      </c>
      <c r="P155" s="874" t="s">
        <v>534</v>
      </c>
      <c r="Q155" s="876" t="s">
        <v>365</v>
      </c>
      <c r="R155" s="475"/>
    </row>
    <row r="156" spans="1:18" s="476" customFormat="1" ht="45" customHeight="1" hidden="1">
      <c r="A156" s="889"/>
      <c r="B156" s="892"/>
      <c r="C156" s="879"/>
      <c r="D156" s="879"/>
      <c r="E156" s="879"/>
      <c r="F156" s="885"/>
      <c r="G156" s="885"/>
      <c r="H156" s="885"/>
      <c r="I156" s="885"/>
      <c r="J156" s="898"/>
      <c r="K156" s="885"/>
      <c r="L156" s="885"/>
      <c r="M156" s="872"/>
      <c r="N156" s="875"/>
      <c r="O156" s="875"/>
      <c r="P156" s="880"/>
      <c r="Q156" s="877"/>
      <c r="R156" s="475"/>
    </row>
    <row r="157" spans="1:18" s="476" customFormat="1" ht="45" customHeight="1" hidden="1">
      <c r="A157" s="889"/>
      <c r="B157" s="892"/>
      <c r="C157" s="479" t="s">
        <v>153</v>
      </c>
      <c r="D157" s="480" t="s">
        <v>377</v>
      </c>
      <c r="E157" s="479" t="s">
        <v>361</v>
      </c>
      <c r="F157" s="479" t="s">
        <v>355</v>
      </c>
      <c r="G157" s="479" t="s">
        <v>360</v>
      </c>
      <c r="H157" s="479" t="s">
        <v>23</v>
      </c>
      <c r="I157" s="885"/>
      <c r="J157" s="898"/>
      <c r="K157" s="885"/>
      <c r="L157" s="885"/>
      <c r="M157" s="873"/>
      <c r="N157" s="479" t="s">
        <v>23</v>
      </c>
      <c r="O157" s="479" t="s">
        <v>23</v>
      </c>
      <c r="P157" s="875"/>
      <c r="Q157" s="877"/>
      <c r="R157" s="475"/>
    </row>
    <row r="158" spans="1:29" s="476" customFormat="1" ht="61.5" customHeight="1" hidden="1">
      <c r="A158" s="889"/>
      <c r="B158" s="892"/>
      <c r="C158" s="753"/>
      <c r="D158" s="753"/>
      <c r="E158" s="753" t="s">
        <v>54</v>
      </c>
      <c r="F158" s="753" t="s">
        <v>57</v>
      </c>
      <c r="G158" s="753" t="s">
        <v>15</v>
      </c>
      <c r="H158" s="753" t="s">
        <v>773</v>
      </c>
      <c r="I158" s="753" t="s">
        <v>778</v>
      </c>
      <c r="J158" s="751" t="s">
        <v>774</v>
      </c>
      <c r="K158" s="753" t="s">
        <v>775</v>
      </c>
      <c r="L158" s="753" t="s">
        <v>776</v>
      </c>
      <c r="M158" s="753" t="s">
        <v>777</v>
      </c>
      <c r="N158" s="753" t="s">
        <v>779</v>
      </c>
      <c r="O158" s="753" t="s">
        <v>780</v>
      </c>
      <c r="P158" s="753" t="s">
        <v>781</v>
      </c>
      <c r="Q158" s="750" t="s">
        <v>782</v>
      </c>
      <c r="R158" s="475"/>
      <c r="S158" s="894" t="s">
        <v>549</v>
      </c>
      <c r="T158" s="895"/>
      <c r="U158" s="895"/>
      <c r="V158" s="895"/>
      <c r="W158" s="895"/>
      <c r="X158" s="895"/>
      <c r="Y158" s="895"/>
      <c r="Z158" s="895"/>
      <c r="AA158" s="895"/>
      <c r="AB158" s="895"/>
      <c r="AC158" s="896"/>
    </row>
    <row r="159" spans="1:29" s="476" customFormat="1" ht="61.5" customHeight="1" hidden="1" thickBot="1">
      <c r="A159" s="890"/>
      <c r="B159" s="893"/>
      <c r="C159" s="482" t="s">
        <v>359</v>
      </c>
      <c r="D159" s="482" t="s">
        <v>356</v>
      </c>
      <c r="E159" s="482" t="s">
        <v>356</v>
      </c>
      <c r="F159" s="482" t="s">
        <v>581</v>
      </c>
      <c r="G159" s="484" t="s">
        <v>783</v>
      </c>
      <c r="H159" s="482"/>
      <c r="I159" s="482"/>
      <c r="J159" s="483">
        <v>10</v>
      </c>
      <c r="K159" s="482"/>
      <c r="L159" s="482"/>
      <c r="M159" s="482"/>
      <c r="N159" s="482"/>
      <c r="O159" s="484"/>
      <c r="P159" s="484" t="s">
        <v>598</v>
      </c>
      <c r="Q159" s="614"/>
      <c r="R159" s="485"/>
      <c r="S159" s="480" t="s">
        <v>540</v>
      </c>
      <c r="T159" s="480" t="s">
        <v>541</v>
      </c>
      <c r="U159" s="480" t="s">
        <v>542</v>
      </c>
      <c r="V159" s="480" t="s">
        <v>543</v>
      </c>
      <c r="W159" s="480" t="s">
        <v>544</v>
      </c>
      <c r="X159" s="480" t="s">
        <v>371</v>
      </c>
      <c r="Y159" s="479" t="s">
        <v>533</v>
      </c>
      <c r="Z159" s="479" t="s">
        <v>600</v>
      </c>
      <c r="AA159" s="479" t="s">
        <v>534</v>
      </c>
      <c r="AB159" s="479" t="s">
        <v>365</v>
      </c>
      <c r="AC159" s="486" t="s">
        <v>23</v>
      </c>
    </row>
    <row r="160" spans="1:29" s="476" customFormat="1" ht="45" customHeight="1" hidden="1">
      <c r="A160" s="487">
        <f>DADOS!A12</f>
        <v>1</v>
      </c>
      <c r="B160" s="506" t="str">
        <f>DADOS!B12</f>
        <v>R. CANARINHO</v>
      </c>
      <c r="C160" s="491">
        <v>1</v>
      </c>
      <c r="D160" s="490"/>
      <c r="E160" s="491">
        <f>C160*D160</f>
        <v>0</v>
      </c>
      <c r="F160" s="491">
        <f>1.78+0.5</f>
        <v>2.28</v>
      </c>
      <c r="G160" s="491">
        <f>((1.78+0.6)+((1.78+0.6)+(E160*0.5%)))/2</f>
        <v>2.38</v>
      </c>
      <c r="H160" s="491">
        <f aca="true" t="shared" si="74" ref="H160:H179">E160*F160*G160</f>
        <v>0</v>
      </c>
      <c r="I160" s="492">
        <f>M160</f>
        <v>0</v>
      </c>
      <c r="J160" s="493">
        <f>I160*1.25*$J$19</f>
        <v>0</v>
      </c>
      <c r="K160" s="491">
        <f aca="true" t="shared" si="75" ref="K160:K179">E160*F160</f>
        <v>0</v>
      </c>
      <c r="L160" s="492">
        <f>K160</f>
        <v>0</v>
      </c>
      <c r="M160" s="491">
        <f aca="true" t="shared" si="76" ref="M160:M179">(3.14*0.75^2)*E160</f>
        <v>0</v>
      </c>
      <c r="N160" s="491">
        <f>(H160-M160)*70%</f>
        <v>0</v>
      </c>
      <c r="O160" s="491">
        <f>(H160-M160)*30%</f>
        <v>0</v>
      </c>
      <c r="P160" s="491">
        <f aca="true" t="shared" si="77" ref="P160:P179">IF(G160&gt;1.5,D160*G160*2,)</f>
        <v>0</v>
      </c>
      <c r="Q160" s="615">
        <f aca="true" t="shared" si="78" ref="Q160:Q179">E160</f>
        <v>0</v>
      </c>
      <c r="R160" s="494"/>
      <c r="S160" s="495">
        <f>'ORÇAMENTO GERAL'!$J$85</f>
        <v>1925.45</v>
      </c>
      <c r="T160" s="495">
        <f>'ORÇAMENTO GERAL'!$J$86</f>
        <v>14.71</v>
      </c>
      <c r="U160" s="495">
        <f>'ORÇAMENTO GERAL'!$J$87</f>
        <v>7.69</v>
      </c>
      <c r="V160" s="495">
        <f>'ORÇAMENTO GERAL'!$J$88</f>
        <v>3.33</v>
      </c>
      <c r="W160" s="495">
        <f>'ORÇAMENTO GERAL'!$J$89</f>
        <v>7.11</v>
      </c>
      <c r="X160" s="495">
        <f>'ORÇAMENTO GERAL'!$J$90</f>
        <v>52.17</v>
      </c>
      <c r="Y160" s="495">
        <f>'ORÇAMENTO GERAL'!$J$91</f>
        <v>175</v>
      </c>
      <c r="Z160" s="495">
        <f>'ORÇAMENTO GERAL'!$J$92</f>
        <v>23.11</v>
      </c>
      <c r="AA160" s="495">
        <f>'ORÇAMENTO GERAL'!$J$93</f>
        <v>50.91</v>
      </c>
      <c r="AB160" s="495">
        <f>'ORÇAMENTO GERAL'!$J$94</f>
        <v>337.14</v>
      </c>
      <c r="AC160" s="495">
        <f aca="true" t="shared" si="79" ref="AC160:AC179">(E160*S160)+(H160*T160)+(I160*U160)+(J160*V160)+(K160*W160)+(L160*X160)+(N160*Y160)+(O160*Z160)+(P160*AA160)+(Q160*AB160)</f>
        <v>0</v>
      </c>
    </row>
    <row r="161" spans="1:29" s="476" customFormat="1" ht="45" customHeight="1" hidden="1">
      <c r="A161" s="487">
        <f>DADOS!A13</f>
        <v>2</v>
      </c>
      <c r="B161" s="506" t="str">
        <f>DADOS!B13</f>
        <v>R. SEM NOME 1</v>
      </c>
      <c r="C161" s="496">
        <v>1</v>
      </c>
      <c r="D161" s="492"/>
      <c r="E161" s="491">
        <f>C161*D161</f>
        <v>0</v>
      </c>
      <c r="F161" s="491">
        <f aca="true" t="shared" si="80" ref="F161:F179">1.78+0.5</f>
        <v>2.28</v>
      </c>
      <c r="G161" s="491">
        <f aca="true" t="shared" si="81" ref="G161:G179">((1.78+0.6)+((1.78+0.6)+(E161*0.5%)))/2</f>
        <v>2.38</v>
      </c>
      <c r="H161" s="491">
        <f t="shared" si="74"/>
        <v>0</v>
      </c>
      <c r="I161" s="492">
        <f aca="true" t="shared" si="82" ref="I161:I179">M161</f>
        <v>0</v>
      </c>
      <c r="J161" s="493">
        <f aca="true" t="shared" si="83" ref="J161:J179">I161*1.25*$J$19</f>
        <v>0</v>
      </c>
      <c r="K161" s="491">
        <f t="shared" si="75"/>
        <v>0</v>
      </c>
      <c r="L161" s="492">
        <f aca="true" t="shared" si="84" ref="L161:L179">K161</f>
        <v>0</v>
      </c>
      <c r="M161" s="491">
        <f t="shared" si="76"/>
        <v>0</v>
      </c>
      <c r="N161" s="491">
        <f aca="true" t="shared" si="85" ref="N161:N179">(H161-M161)*70%</f>
        <v>0</v>
      </c>
      <c r="O161" s="491">
        <f aca="true" t="shared" si="86" ref="O161:O179">(H161-M161)*30%</f>
        <v>0</v>
      </c>
      <c r="P161" s="491">
        <f t="shared" si="77"/>
        <v>0</v>
      </c>
      <c r="Q161" s="615">
        <f t="shared" si="78"/>
        <v>0</v>
      </c>
      <c r="R161" s="494"/>
      <c r="S161" s="495">
        <f>'ORÇAMENTO GERAL'!$J$85</f>
        <v>1925.45</v>
      </c>
      <c r="T161" s="495">
        <f>'ORÇAMENTO GERAL'!$J$86</f>
        <v>14.71</v>
      </c>
      <c r="U161" s="495">
        <f>'ORÇAMENTO GERAL'!$J$87</f>
        <v>7.69</v>
      </c>
      <c r="V161" s="495">
        <f>'ORÇAMENTO GERAL'!$J$88</f>
        <v>3.33</v>
      </c>
      <c r="W161" s="495">
        <f>'ORÇAMENTO GERAL'!$J$89</f>
        <v>7.11</v>
      </c>
      <c r="X161" s="495">
        <f>'ORÇAMENTO GERAL'!$J$90</f>
        <v>52.17</v>
      </c>
      <c r="Y161" s="495">
        <f>'ORÇAMENTO GERAL'!$J$91</f>
        <v>175</v>
      </c>
      <c r="Z161" s="495">
        <f>'ORÇAMENTO GERAL'!$J$92</f>
        <v>23.11</v>
      </c>
      <c r="AA161" s="495">
        <f>'ORÇAMENTO GERAL'!$J$93</f>
        <v>50.91</v>
      </c>
      <c r="AB161" s="495">
        <f>'ORÇAMENTO GERAL'!$J$94</f>
        <v>337.14</v>
      </c>
      <c r="AC161" s="495">
        <f t="shared" si="79"/>
        <v>0</v>
      </c>
    </row>
    <row r="162" spans="1:29" s="476" customFormat="1" ht="45" customHeight="1" hidden="1">
      <c r="A162" s="487">
        <f>DADOS!A14</f>
        <v>3</v>
      </c>
      <c r="B162" s="506" t="str">
        <f>DADOS!B14</f>
        <v>EST. DO CURUÇAMBÁ</v>
      </c>
      <c r="C162" s="496">
        <v>1</v>
      </c>
      <c r="D162" s="492"/>
      <c r="E162" s="491">
        <f aca="true" t="shared" si="87" ref="E162:E179">C162*D162</f>
        <v>0</v>
      </c>
      <c r="F162" s="491">
        <f t="shared" si="80"/>
        <v>2.28</v>
      </c>
      <c r="G162" s="491">
        <f t="shared" si="81"/>
        <v>2.38</v>
      </c>
      <c r="H162" s="491">
        <f t="shared" si="74"/>
        <v>0</v>
      </c>
      <c r="I162" s="492">
        <f t="shared" si="82"/>
        <v>0</v>
      </c>
      <c r="J162" s="493">
        <f t="shared" si="83"/>
        <v>0</v>
      </c>
      <c r="K162" s="491">
        <f t="shared" si="75"/>
        <v>0</v>
      </c>
      <c r="L162" s="492">
        <f t="shared" si="84"/>
        <v>0</v>
      </c>
      <c r="M162" s="491">
        <f t="shared" si="76"/>
        <v>0</v>
      </c>
      <c r="N162" s="491">
        <f t="shared" si="85"/>
        <v>0</v>
      </c>
      <c r="O162" s="491">
        <f t="shared" si="86"/>
        <v>0</v>
      </c>
      <c r="P162" s="491">
        <f t="shared" si="77"/>
        <v>0</v>
      </c>
      <c r="Q162" s="615">
        <f t="shared" si="78"/>
        <v>0</v>
      </c>
      <c r="R162" s="494"/>
      <c r="S162" s="495">
        <f>'ORÇAMENTO GERAL'!$J$85</f>
        <v>1925.45</v>
      </c>
      <c r="T162" s="495">
        <f>'ORÇAMENTO GERAL'!$J$86</f>
        <v>14.71</v>
      </c>
      <c r="U162" s="495">
        <f>'ORÇAMENTO GERAL'!$J$87</f>
        <v>7.69</v>
      </c>
      <c r="V162" s="495">
        <f>'ORÇAMENTO GERAL'!$J$88</f>
        <v>3.33</v>
      </c>
      <c r="W162" s="495">
        <f>'ORÇAMENTO GERAL'!$J$89</f>
        <v>7.11</v>
      </c>
      <c r="X162" s="495">
        <f>'ORÇAMENTO GERAL'!$J$90</f>
        <v>52.17</v>
      </c>
      <c r="Y162" s="495">
        <f>'ORÇAMENTO GERAL'!$J$91</f>
        <v>175</v>
      </c>
      <c r="Z162" s="495">
        <f>'ORÇAMENTO GERAL'!$J$92</f>
        <v>23.11</v>
      </c>
      <c r="AA162" s="495">
        <f>'ORÇAMENTO GERAL'!$J$93</f>
        <v>50.91</v>
      </c>
      <c r="AB162" s="495">
        <f>'ORÇAMENTO GERAL'!$J$94</f>
        <v>337.14</v>
      </c>
      <c r="AC162" s="495">
        <f t="shared" si="79"/>
        <v>0</v>
      </c>
    </row>
    <row r="163" spans="1:29" s="476" customFormat="1" ht="45" customHeight="1" hidden="1">
      <c r="A163" s="487">
        <f>DADOS!A15</f>
        <v>4</v>
      </c>
      <c r="B163" s="506" t="str">
        <f>DADOS!B15</f>
        <v>PASS. SOL NASCENTE</v>
      </c>
      <c r="C163" s="496">
        <v>1</v>
      </c>
      <c r="D163" s="492"/>
      <c r="E163" s="491">
        <f t="shared" si="87"/>
        <v>0</v>
      </c>
      <c r="F163" s="491">
        <f t="shared" si="80"/>
        <v>2.28</v>
      </c>
      <c r="G163" s="491">
        <f t="shared" si="81"/>
        <v>2.38</v>
      </c>
      <c r="H163" s="491">
        <f t="shared" si="74"/>
        <v>0</v>
      </c>
      <c r="I163" s="492">
        <f t="shared" si="82"/>
        <v>0</v>
      </c>
      <c r="J163" s="493">
        <f t="shared" si="83"/>
        <v>0</v>
      </c>
      <c r="K163" s="491">
        <f t="shared" si="75"/>
        <v>0</v>
      </c>
      <c r="L163" s="492">
        <f t="shared" si="84"/>
        <v>0</v>
      </c>
      <c r="M163" s="491">
        <f t="shared" si="76"/>
        <v>0</v>
      </c>
      <c r="N163" s="491">
        <f t="shared" si="85"/>
        <v>0</v>
      </c>
      <c r="O163" s="491">
        <f t="shared" si="86"/>
        <v>0</v>
      </c>
      <c r="P163" s="491">
        <f t="shared" si="77"/>
        <v>0</v>
      </c>
      <c r="Q163" s="615">
        <f t="shared" si="78"/>
        <v>0</v>
      </c>
      <c r="R163" s="494"/>
      <c r="S163" s="495">
        <f>'ORÇAMENTO GERAL'!$J$85</f>
        <v>1925.45</v>
      </c>
      <c r="T163" s="495">
        <f>'ORÇAMENTO GERAL'!$J$86</f>
        <v>14.71</v>
      </c>
      <c r="U163" s="495">
        <f>'ORÇAMENTO GERAL'!$J$87</f>
        <v>7.69</v>
      </c>
      <c r="V163" s="495">
        <f>'ORÇAMENTO GERAL'!$J$88</f>
        <v>3.33</v>
      </c>
      <c r="W163" s="495">
        <f>'ORÇAMENTO GERAL'!$J$89</f>
        <v>7.11</v>
      </c>
      <c r="X163" s="495">
        <f>'ORÇAMENTO GERAL'!$J$90</f>
        <v>52.17</v>
      </c>
      <c r="Y163" s="495">
        <f>'ORÇAMENTO GERAL'!$J$91</f>
        <v>175</v>
      </c>
      <c r="Z163" s="495">
        <f>'ORÇAMENTO GERAL'!$J$92</f>
        <v>23.11</v>
      </c>
      <c r="AA163" s="495">
        <f>'ORÇAMENTO GERAL'!$J$93</f>
        <v>50.91</v>
      </c>
      <c r="AB163" s="495">
        <f>'ORÇAMENTO GERAL'!$J$94</f>
        <v>337.14</v>
      </c>
      <c r="AC163" s="495">
        <f t="shared" si="79"/>
        <v>0</v>
      </c>
    </row>
    <row r="164" spans="1:29" s="476" customFormat="1" ht="45" customHeight="1" hidden="1">
      <c r="A164" s="487">
        <f>DADOS!A16</f>
        <v>5</v>
      </c>
      <c r="B164" s="506" t="str">
        <f>DADOS!B16</f>
        <v>AL. NOVA ESPERANÇA</v>
      </c>
      <c r="C164" s="496">
        <v>1</v>
      </c>
      <c r="D164" s="492"/>
      <c r="E164" s="491">
        <f t="shared" si="87"/>
        <v>0</v>
      </c>
      <c r="F164" s="491">
        <f t="shared" si="80"/>
        <v>2.28</v>
      </c>
      <c r="G164" s="491">
        <f t="shared" si="81"/>
        <v>2.38</v>
      </c>
      <c r="H164" s="491">
        <f t="shared" si="74"/>
        <v>0</v>
      </c>
      <c r="I164" s="492">
        <f t="shared" si="82"/>
        <v>0</v>
      </c>
      <c r="J164" s="493">
        <f t="shared" si="83"/>
        <v>0</v>
      </c>
      <c r="K164" s="491">
        <f t="shared" si="75"/>
        <v>0</v>
      </c>
      <c r="L164" s="492">
        <f t="shared" si="84"/>
        <v>0</v>
      </c>
      <c r="M164" s="491">
        <f t="shared" si="76"/>
        <v>0</v>
      </c>
      <c r="N164" s="491">
        <f t="shared" si="85"/>
        <v>0</v>
      </c>
      <c r="O164" s="491">
        <f t="shared" si="86"/>
        <v>0</v>
      </c>
      <c r="P164" s="491">
        <f t="shared" si="77"/>
        <v>0</v>
      </c>
      <c r="Q164" s="615">
        <f t="shared" si="78"/>
        <v>0</v>
      </c>
      <c r="R164" s="494"/>
      <c r="S164" s="495">
        <f>'ORÇAMENTO GERAL'!$J$85</f>
        <v>1925.45</v>
      </c>
      <c r="T164" s="495">
        <f>'ORÇAMENTO GERAL'!$J$86</f>
        <v>14.71</v>
      </c>
      <c r="U164" s="495">
        <f>'ORÇAMENTO GERAL'!$J$87</f>
        <v>7.69</v>
      </c>
      <c r="V164" s="495">
        <f>'ORÇAMENTO GERAL'!$J$88</f>
        <v>3.33</v>
      </c>
      <c r="W164" s="495">
        <f>'ORÇAMENTO GERAL'!$J$89</f>
        <v>7.11</v>
      </c>
      <c r="X164" s="495">
        <f>'ORÇAMENTO GERAL'!$J$90</f>
        <v>52.17</v>
      </c>
      <c r="Y164" s="495">
        <f>'ORÇAMENTO GERAL'!$J$91</f>
        <v>175</v>
      </c>
      <c r="Z164" s="495">
        <f>'ORÇAMENTO GERAL'!$J$92</f>
        <v>23.11</v>
      </c>
      <c r="AA164" s="495">
        <f>'ORÇAMENTO GERAL'!$J$93</f>
        <v>50.91</v>
      </c>
      <c r="AB164" s="495">
        <f>'ORÇAMENTO GERAL'!$J$94</f>
        <v>337.14</v>
      </c>
      <c r="AC164" s="495">
        <f t="shared" si="79"/>
        <v>0</v>
      </c>
    </row>
    <row r="165" spans="1:29" s="476" customFormat="1" ht="45" customHeight="1" hidden="1">
      <c r="A165" s="487">
        <f>DADOS!A17</f>
        <v>6</v>
      </c>
      <c r="B165" s="506">
        <f>DADOS!B17</f>
        <v>0</v>
      </c>
      <c r="C165" s="496">
        <v>1</v>
      </c>
      <c r="D165" s="492"/>
      <c r="E165" s="491">
        <f t="shared" si="87"/>
        <v>0</v>
      </c>
      <c r="F165" s="491">
        <f t="shared" si="80"/>
        <v>2.28</v>
      </c>
      <c r="G165" s="491">
        <f t="shared" si="81"/>
        <v>2.38</v>
      </c>
      <c r="H165" s="491">
        <f t="shared" si="74"/>
        <v>0</v>
      </c>
      <c r="I165" s="492">
        <f t="shared" si="82"/>
        <v>0</v>
      </c>
      <c r="J165" s="493">
        <f t="shared" si="83"/>
        <v>0</v>
      </c>
      <c r="K165" s="491">
        <f t="shared" si="75"/>
        <v>0</v>
      </c>
      <c r="L165" s="492">
        <f t="shared" si="84"/>
        <v>0</v>
      </c>
      <c r="M165" s="491">
        <f t="shared" si="76"/>
        <v>0</v>
      </c>
      <c r="N165" s="491">
        <f t="shared" si="85"/>
        <v>0</v>
      </c>
      <c r="O165" s="491">
        <f t="shared" si="86"/>
        <v>0</v>
      </c>
      <c r="P165" s="491">
        <f t="shared" si="77"/>
        <v>0</v>
      </c>
      <c r="Q165" s="615">
        <f t="shared" si="78"/>
        <v>0</v>
      </c>
      <c r="R165" s="494"/>
      <c r="S165" s="495">
        <f>'ORÇAMENTO GERAL'!$J$85</f>
        <v>1925.45</v>
      </c>
      <c r="T165" s="495">
        <f>'ORÇAMENTO GERAL'!$J$86</f>
        <v>14.71</v>
      </c>
      <c r="U165" s="495">
        <f>'ORÇAMENTO GERAL'!$J$87</f>
        <v>7.69</v>
      </c>
      <c r="V165" s="495">
        <f>'ORÇAMENTO GERAL'!$J$88</f>
        <v>3.33</v>
      </c>
      <c r="W165" s="495">
        <f>'ORÇAMENTO GERAL'!$J$89</f>
        <v>7.11</v>
      </c>
      <c r="X165" s="495">
        <f>'ORÇAMENTO GERAL'!$J$90</f>
        <v>52.17</v>
      </c>
      <c r="Y165" s="495">
        <f>'ORÇAMENTO GERAL'!$J$91</f>
        <v>175</v>
      </c>
      <c r="Z165" s="495">
        <f>'ORÇAMENTO GERAL'!$J$92</f>
        <v>23.11</v>
      </c>
      <c r="AA165" s="495">
        <f>'ORÇAMENTO GERAL'!$J$93</f>
        <v>50.91</v>
      </c>
      <c r="AB165" s="495">
        <f>'ORÇAMENTO GERAL'!$J$94</f>
        <v>337.14</v>
      </c>
      <c r="AC165" s="495">
        <f t="shared" si="79"/>
        <v>0</v>
      </c>
    </row>
    <row r="166" spans="1:29" s="476" customFormat="1" ht="45" customHeight="1" hidden="1">
      <c r="A166" s="487">
        <f>DADOS!A18</f>
        <v>7</v>
      </c>
      <c r="B166" s="506">
        <f>DADOS!B18</f>
        <v>0</v>
      </c>
      <c r="C166" s="496">
        <v>1</v>
      </c>
      <c r="D166" s="492"/>
      <c r="E166" s="491">
        <f t="shared" si="87"/>
        <v>0</v>
      </c>
      <c r="F166" s="491">
        <f t="shared" si="80"/>
        <v>2.28</v>
      </c>
      <c r="G166" s="491">
        <f t="shared" si="81"/>
        <v>2.38</v>
      </c>
      <c r="H166" s="491">
        <f t="shared" si="74"/>
        <v>0</v>
      </c>
      <c r="I166" s="492">
        <f t="shared" si="82"/>
        <v>0</v>
      </c>
      <c r="J166" s="493">
        <f t="shared" si="83"/>
        <v>0</v>
      </c>
      <c r="K166" s="491">
        <f t="shared" si="75"/>
        <v>0</v>
      </c>
      <c r="L166" s="492">
        <f t="shared" si="84"/>
        <v>0</v>
      </c>
      <c r="M166" s="491">
        <f t="shared" si="76"/>
        <v>0</v>
      </c>
      <c r="N166" s="491">
        <f t="shared" si="85"/>
        <v>0</v>
      </c>
      <c r="O166" s="491">
        <f t="shared" si="86"/>
        <v>0</v>
      </c>
      <c r="P166" s="491">
        <f t="shared" si="77"/>
        <v>0</v>
      </c>
      <c r="Q166" s="615">
        <f t="shared" si="78"/>
        <v>0</v>
      </c>
      <c r="R166" s="494"/>
      <c r="S166" s="495">
        <f>'ORÇAMENTO GERAL'!$J$85</f>
        <v>1925.45</v>
      </c>
      <c r="T166" s="495">
        <f>'ORÇAMENTO GERAL'!$J$86</f>
        <v>14.71</v>
      </c>
      <c r="U166" s="495">
        <f>'ORÇAMENTO GERAL'!$J$87</f>
        <v>7.69</v>
      </c>
      <c r="V166" s="495">
        <f>'ORÇAMENTO GERAL'!$J$88</f>
        <v>3.33</v>
      </c>
      <c r="W166" s="495">
        <f>'ORÇAMENTO GERAL'!$J$89</f>
        <v>7.11</v>
      </c>
      <c r="X166" s="495">
        <f>'ORÇAMENTO GERAL'!$J$90</f>
        <v>52.17</v>
      </c>
      <c r="Y166" s="495">
        <f>'ORÇAMENTO GERAL'!$J$91</f>
        <v>175</v>
      </c>
      <c r="Z166" s="495">
        <f>'ORÇAMENTO GERAL'!$J$92</f>
        <v>23.11</v>
      </c>
      <c r="AA166" s="495">
        <f>'ORÇAMENTO GERAL'!$J$93</f>
        <v>50.91</v>
      </c>
      <c r="AB166" s="495">
        <f>'ORÇAMENTO GERAL'!$J$94</f>
        <v>337.14</v>
      </c>
      <c r="AC166" s="495">
        <f t="shared" si="79"/>
        <v>0</v>
      </c>
    </row>
    <row r="167" spans="1:29" s="476" customFormat="1" ht="45" customHeight="1" hidden="1">
      <c r="A167" s="487">
        <f>DADOS!A19</f>
        <v>8</v>
      </c>
      <c r="B167" s="506">
        <f>DADOS!B19</f>
        <v>0</v>
      </c>
      <c r="C167" s="496">
        <v>1</v>
      </c>
      <c r="D167" s="492"/>
      <c r="E167" s="491">
        <f t="shared" si="87"/>
        <v>0</v>
      </c>
      <c r="F167" s="491">
        <f t="shared" si="80"/>
        <v>2.28</v>
      </c>
      <c r="G167" s="491">
        <f t="shared" si="81"/>
        <v>2.38</v>
      </c>
      <c r="H167" s="491">
        <f t="shared" si="74"/>
        <v>0</v>
      </c>
      <c r="I167" s="492">
        <f t="shared" si="82"/>
        <v>0</v>
      </c>
      <c r="J167" s="493">
        <f t="shared" si="83"/>
        <v>0</v>
      </c>
      <c r="K167" s="491">
        <f t="shared" si="75"/>
        <v>0</v>
      </c>
      <c r="L167" s="492">
        <f t="shared" si="84"/>
        <v>0</v>
      </c>
      <c r="M167" s="491">
        <f t="shared" si="76"/>
        <v>0</v>
      </c>
      <c r="N167" s="491">
        <f t="shared" si="85"/>
        <v>0</v>
      </c>
      <c r="O167" s="491">
        <f t="shared" si="86"/>
        <v>0</v>
      </c>
      <c r="P167" s="491">
        <f t="shared" si="77"/>
        <v>0</v>
      </c>
      <c r="Q167" s="615">
        <f t="shared" si="78"/>
        <v>0</v>
      </c>
      <c r="R167" s="494"/>
      <c r="S167" s="495">
        <f>'ORÇAMENTO GERAL'!$J$85</f>
        <v>1925.45</v>
      </c>
      <c r="T167" s="495">
        <f>'ORÇAMENTO GERAL'!$J$86</f>
        <v>14.71</v>
      </c>
      <c r="U167" s="495">
        <f>'ORÇAMENTO GERAL'!$J$87</f>
        <v>7.69</v>
      </c>
      <c r="V167" s="495">
        <f>'ORÇAMENTO GERAL'!$J$88</f>
        <v>3.33</v>
      </c>
      <c r="W167" s="495">
        <f>'ORÇAMENTO GERAL'!$J$89</f>
        <v>7.11</v>
      </c>
      <c r="X167" s="495">
        <f>'ORÇAMENTO GERAL'!$J$90</f>
        <v>52.17</v>
      </c>
      <c r="Y167" s="495">
        <f>'ORÇAMENTO GERAL'!$J$91</f>
        <v>175</v>
      </c>
      <c r="Z167" s="495">
        <f>'ORÇAMENTO GERAL'!$J$92</f>
        <v>23.11</v>
      </c>
      <c r="AA167" s="495">
        <f>'ORÇAMENTO GERAL'!$J$93</f>
        <v>50.91</v>
      </c>
      <c r="AB167" s="495">
        <f>'ORÇAMENTO GERAL'!$J$94</f>
        <v>337.14</v>
      </c>
      <c r="AC167" s="495">
        <f t="shared" si="79"/>
        <v>0</v>
      </c>
    </row>
    <row r="168" spans="1:29" s="476" customFormat="1" ht="45" customHeight="1" hidden="1">
      <c r="A168" s="487">
        <f>DADOS!A20</f>
        <v>9</v>
      </c>
      <c r="B168" s="506">
        <f>DADOS!B20</f>
        <v>0</v>
      </c>
      <c r="C168" s="496">
        <v>1</v>
      </c>
      <c r="D168" s="492"/>
      <c r="E168" s="491">
        <f t="shared" si="87"/>
        <v>0</v>
      </c>
      <c r="F168" s="491">
        <f t="shared" si="80"/>
        <v>2.28</v>
      </c>
      <c r="G168" s="491">
        <f t="shared" si="81"/>
        <v>2.38</v>
      </c>
      <c r="H168" s="491">
        <f t="shared" si="74"/>
        <v>0</v>
      </c>
      <c r="I168" s="492">
        <f t="shared" si="82"/>
        <v>0</v>
      </c>
      <c r="J168" s="493">
        <f t="shared" si="83"/>
        <v>0</v>
      </c>
      <c r="K168" s="491">
        <f t="shared" si="75"/>
        <v>0</v>
      </c>
      <c r="L168" s="492">
        <f t="shared" si="84"/>
        <v>0</v>
      </c>
      <c r="M168" s="491">
        <f t="shared" si="76"/>
        <v>0</v>
      </c>
      <c r="N168" s="491">
        <f t="shared" si="85"/>
        <v>0</v>
      </c>
      <c r="O168" s="491">
        <f t="shared" si="86"/>
        <v>0</v>
      </c>
      <c r="P168" s="491">
        <f t="shared" si="77"/>
        <v>0</v>
      </c>
      <c r="Q168" s="615">
        <f t="shared" si="78"/>
        <v>0</v>
      </c>
      <c r="R168" s="494"/>
      <c r="S168" s="495">
        <f>'ORÇAMENTO GERAL'!$J$85</f>
        <v>1925.45</v>
      </c>
      <c r="T168" s="495">
        <f>'ORÇAMENTO GERAL'!$J$86</f>
        <v>14.71</v>
      </c>
      <c r="U168" s="495">
        <f>'ORÇAMENTO GERAL'!$J$87</f>
        <v>7.69</v>
      </c>
      <c r="V168" s="495">
        <f>'ORÇAMENTO GERAL'!$J$88</f>
        <v>3.33</v>
      </c>
      <c r="W168" s="495">
        <f>'ORÇAMENTO GERAL'!$J$89</f>
        <v>7.11</v>
      </c>
      <c r="X168" s="495">
        <f>'ORÇAMENTO GERAL'!$J$90</f>
        <v>52.17</v>
      </c>
      <c r="Y168" s="495">
        <f>'ORÇAMENTO GERAL'!$J$91</f>
        <v>175</v>
      </c>
      <c r="Z168" s="495">
        <f>'ORÇAMENTO GERAL'!$J$92</f>
        <v>23.11</v>
      </c>
      <c r="AA168" s="495">
        <f>'ORÇAMENTO GERAL'!$J$93</f>
        <v>50.91</v>
      </c>
      <c r="AB168" s="495">
        <f>'ORÇAMENTO GERAL'!$J$94</f>
        <v>337.14</v>
      </c>
      <c r="AC168" s="495">
        <f t="shared" si="79"/>
        <v>0</v>
      </c>
    </row>
    <row r="169" spans="1:29" s="476" customFormat="1" ht="45" customHeight="1" hidden="1">
      <c r="A169" s="487">
        <f>DADOS!A21</f>
        <v>10</v>
      </c>
      <c r="B169" s="506">
        <f>DADOS!B21</f>
        <v>0</v>
      </c>
      <c r="C169" s="496">
        <v>1</v>
      </c>
      <c r="D169" s="492"/>
      <c r="E169" s="491">
        <f t="shared" si="87"/>
        <v>0</v>
      </c>
      <c r="F169" s="491">
        <f t="shared" si="80"/>
        <v>2.28</v>
      </c>
      <c r="G169" s="491">
        <f t="shared" si="81"/>
        <v>2.38</v>
      </c>
      <c r="H169" s="491">
        <f t="shared" si="74"/>
        <v>0</v>
      </c>
      <c r="I169" s="492">
        <f t="shared" si="82"/>
        <v>0</v>
      </c>
      <c r="J169" s="493">
        <f t="shared" si="83"/>
        <v>0</v>
      </c>
      <c r="K169" s="491">
        <f t="shared" si="75"/>
        <v>0</v>
      </c>
      <c r="L169" s="492">
        <f t="shared" si="84"/>
        <v>0</v>
      </c>
      <c r="M169" s="491">
        <f t="shared" si="76"/>
        <v>0</v>
      </c>
      <c r="N169" s="491">
        <f t="shared" si="85"/>
        <v>0</v>
      </c>
      <c r="O169" s="491">
        <f t="shared" si="86"/>
        <v>0</v>
      </c>
      <c r="P169" s="491">
        <f t="shared" si="77"/>
        <v>0</v>
      </c>
      <c r="Q169" s="615">
        <f t="shared" si="78"/>
        <v>0</v>
      </c>
      <c r="R169" s="494"/>
      <c r="S169" s="495">
        <f>'ORÇAMENTO GERAL'!$J$85</f>
        <v>1925.45</v>
      </c>
      <c r="T169" s="495">
        <f>'ORÇAMENTO GERAL'!$J$86</f>
        <v>14.71</v>
      </c>
      <c r="U169" s="495">
        <f>'ORÇAMENTO GERAL'!$J$87</f>
        <v>7.69</v>
      </c>
      <c r="V169" s="495">
        <f>'ORÇAMENTO GERAL'!$J$88</f>
        <v>3.33</v>
      </c>
      <c r="W169" s="495">
        <f>'ORÇAMENTO GERAL'!$J$89</f>
        <v>7.11</v>
      </c>
      <c r="X169" s="495">
        <f>'ORÇAMENTO GERAL'!$J$90</f>
        <v>52.17</v>
      </c>
      <c r="Y169" s="495">
        <f>'ORÇAMENTO GERAL'!$J$91</f>
        <v>175</v>
      </c>
      <c r="Z169" s="495">
        <f>'ORÇAMENTO GERAL'!$J$92</f>
        <v>23.11</v>
      </c>
      <c r="AA169" s="495">
        <f>'ORÇAMENTO GERAL'!$J$93</f>
        <v>50.91</v>
      </c>
      <c r="AB169" s="495">
        <f>'ORÇAMENTO GERAL'!$J$94</f>
        <v>337.14</v>
      </c>
      <c r="AC169" s="495">
        <f t="shared" si="79"/>
        <v>0</v>
      </c>
    </row>
    <row r="170" spans="1:29" s="476" customFormat="1" ht="45" customHeight="1" hidden="1">
      <c r="A170" s="487">
        <f>DADOS!A22</f>
        <v>11</v>
      </c>
      <c r="B170" s="506">
        <f>DADOS!B22</f>
        <v>0</v>
      </c>
      <c r="C170" s="496">
        <v>1</v>
      </c>
      <c r="D170" s="492"/>
      <c r="E170" s="491">
        <f t="shared" si="87"/>
        <v>0</v>
      </c>
      <c r="F170" s="491">
        <f t="shared" si="80"/>
        <v>2.28</v>
      </c>
      <c r="G170" s="491">
        <f t="shared" si="81"/>
        <v>2.38</v>
      </c>
      <c r="H170" s="491">
        <f t="shared" si="74"/>
        <v>0</v>
      </c>
      <c r="I170" s="492">
        <f t="shared" si="82"/>
        <v>0</v>
      </c>
      <c r="J170" s="493">
        <f t="shared" si="83"/>
        <v>0</v>
      </c>
      <c r="K170" s="491">
        <f t="shared" si="75"/>
        <v>0</v>
      </c>
      <c r="L170" s="492">
        <f t="shared" si="84"/>
        <v>0</v>
      </c>
      <c r="M170" s="491">
        <f t="shared" si="76"/>
        <v>0</v>
      </c>
      <c r="N170" s="491">
        <f t="shared" si="85"/>
        <v>0</v>
      </c>
      <c r="O170" s="491">
        <f t="shared" si="86"/>
        <v>0</v>
      </c>
      <c r="P170" s="491">
        <f t="shared" si="77"/>
        <v>0</v>
      </c>
      <c r="Q170" s="615">
        <f t="shared" si="78"/>
        <v>0</v>
      </c>
      <c r="R170" s="494"/>
      <c r="S170" s="495">
        <f>'ORÇAMENTO GERAL'!$J$85</f>
        <v>1925.45</v>
      </c>
      <c r="T170" s="495">
        <f>'ORÇAMENTO GERAL'!$J$86</f>
        <v>14.71</v>
      </c>
      <c r="U170" s="495">
        <f>'ORÇAMENTO GERAL'!$J$87</f>
        <v>7.69</v>
      </c>
      <c r="V170" s="495">
        <f>'ORÇAMENTO GERAL'!$J$88</f>
        <v>3.33</v>
      </c>
      <c r="W170" s="495">
        <f>'ORÇAMENTO GERAL'!$J$89</f>
        <v>7.11</v>
      </c>
      <c r="X170" s="495">
        <f>'ORÇAMENTO GERAL'!$J$90</f>
        <v>52.17</v>
      </c>
      <c r="Y170" s="495">
        <f>'ORÇAMENTO GERAL'!$J$91</f>
        <v>175</v>
      </c>
      <c r="Z170" s="495">
        <f>'ORÇAMENTO GERAL'!$J$92</f>
        <v>23.11</v>
      </c>
      <c r="AA170" s="495">
        <f>'ORÇAMENTO GERAL'!$J$93</f>
        <v>50.91</v>
      </c>
      <c r="AB170" s="495">
        <f>'ORÇAMENTO GERAL'!$J$94</f>
        <v>337.14</v>
      </c>
      <c r="AC170" s="495">
        <f t="shared" si="79"/>
        <v>0</v>
      </c>
    </row>
    <row r="171" spans="1:29" s="476" customFormat="1" ht="45" customHeight="1" hidden="1">
      <c r="A171" s="487">
        <f>DADOS!A23</f>
        <v>12</v>
      </c>
      <c r="B171" s="506">
        <f>DADOS!B23</f>
        <v>0</v>
      </c>
      <c r="C171" s="496">
        <v>1</v>
      </c>
      <c r="D171" s="492"/>
      <c r="E171" s="491">
        <f t="shared" si="87"/>
        <v>0</v>
      </c>
      <c r="F171" s="491">
        <f t="shared" si="80"/>
        <v>2.28</v>
      </c>
      <c r="G171" s="491">
        <f t="shared" si="81"/>
        <v>2.38</v>
      </c>
      <c r="H171" s="491">
        <f t="shared" si="74"/>
        <v>0</v>
      </c>
      <c r="I171" s="492">
        <f t="shared" si="82"/>
        <v>0</v>
      </c>
      <c r="J171" s="493">
        <f t="shared" si="83"/>
        <v>0</v>
      </c>
      <c r="K171" s="491">
        <f t="shared" si="75"/>
        <v>0</v>
      </c>
      <c r="L171" s="492">
        <f t="shared" si="84"/>
        <v>0</v>
      </c>
      <c r="M171" s="491">
        <f t="shared" si="76"/>
        <v>0</v>
      </c>
      <c r="N171" s="491">
        <f t="shared" si="85"/>
        <v>0</v>
      </c>
      <c r="O171" s="491">
        <f t="shared" si="86"/>
        <v>0</v>
      </c>
      <c r="P171" s="491">
        <f t="shared" si="77"/>
        <v>0</v>
      </c>
      <c r="Q171" s="615">
        <f t="shared" si="78"/>
        <v>0</v>
      </c>
      <c r="R171" s="494"/>
      <c r="S171" s="495">
        <f>'ORÇAMENTO GERAL'!$J$85</f>
        <v>1925.45</v>
      </c>
      <c r="T171" s="495">
        <f>'ORÇAMENTO GERAL'!$J$86</f>
        <v>14.71</v>
      </c>
      <c r="U171" s="495">
        <f>'ORÇAMENTO GERAL'!$J$87</f>
        <v>7.69</v>
      </c>
      <c r="V171" s="495">
        <f>'ORÇAMENTO GERAL'!$J$88</f>
        <v>3.33</v>
      </c>
      <c r="W171" s="495">
        <f>'ORÇAMENTO GERAL'!$J$89</f>
        <v>7.11</v>
      </c>
      <c r="X171" s="495">
        <f>'ORÇAMENTO GERAL'!$J$90</f>
        <v>52.17</v>
      </c>
      <c r="Y171" s="495">
        <f>'ORÇAMENTO GERAL'!$J$91</f>
        <v>175</v>
      </c>
      <c r="Z171" s="495">
        <f>'ORÇAMENTO GERAL'!$J$92</f>
        <v>23.11</v>
      </c>
      <c r="AA171" s="495">
        <f>'ORÇAMENTO GERAL'!$J$93</f>
        <v>50.91</v>
      </c>
      <c r="AB171" s="495">
        <f>'ORÇAMENTO GERAL'!$J$94</f>
        <v>337.14</v>
      </c>
      <c r="AC171" s="495">
        <f t="shared" si="79"/>
        <v>0</v>
      </c>
    </row>
    <row r="172" spans="1:29" s="476" customFormat="1" ht="45" customHeight="1" hidden="1">
      <c r="A172" s="487">
        <f>DADOS!A24</f>
        <v>13</v>
      </c>
      <c r="B172" s="506">
        <f>DADOS!B24</f>
        <v>0</v>
      </c>
      <c r="C172" s="496">
        <v>1</v>
      </c>
      <c r="D172" s="492"/>
      <c r="E172" s="491">
        <f t="shared" si="87"/>
        <v>0</v>
      </c>
      <c r="F172" s="491">
        <f t="shared" si="80"/>
        <v>2.28</v>
      </c>
      <c r="G172" s="491">
        <f t="shared" si="81"/>
        <v>2.38</v>
      </c>
      <c r="H172" s="491">
        <f t="shared" si="74"/>
        <v>0</v>
      </c>
      <c r="I172" s="492">
        <f t="shared" si="82"/>
        <v>0</v>
      </c>
      <c r="J172" s="493">
        <f t="shared" si="83"/>
        <v>0</v>
      </c>
      <c r="K172" s="491">
        <f t="shared" si="75"/>
        <v>0</v>
      </c>
      <c r="L172" s="492">
        <f t="shared" si="84"/>
        <v>0</v>
      </c>
      <c r="M172" s="491">
        <f t="shared" si="76"/>
        <v>0</v>
      </c>
      <c r="N172" s="491">
        <f t="shared" si="85"/>
        <v>0</v>
      </c>
      <c r="O172" s="491">
        <f t="shared" si="86"/>
        <v>0</v>
      </c>
      <c r="P172" s="491">
        <f t="shared" si="77"/>
        <v>0</v>
      </c>
      <c r="Q172" s="615">
        <f t="shared" si="78"/>
        <v>0</v>
      </c>
      <c r="R172" s="494"/>
      <c r="S172" s="495">
        <f>'ORÇAMENTO GERAL'!$J$85</f>
        <v>1925.45</v>
      </c>
      <c r="T172" s="495">
        <f>'ORÇAMENTO GERAL'!$J$86</f>
        <v>14.71</v>
      </c>
      <c r="U172" s="495">
        <f>'ORÇAMENTO GERAL'!$J$87</f>
        <v>7.69</v>
      </c>
      <c r="V172" s="495">
        <f>'ORÇAMENTO GERAL'!$J$88</f>
        <v>3.33</v>
      </c>
      <c r="W172" s="495">
        <f>'ORÇAMENTO GERAL'!$J$89</f>
        <v>7.11</v>
      </c>
      <c r="X172" s="495">
        <f>'ORÇAMENTO GERAL'!$J$90</f>
        <v>52.17</v>
      </c>
      <c r="Y172" s="495">
        <f>'ORÇAMENTO GERAL'!$J$91</f>
        <v>175</v>
      </c>
      <c r="Z172" s="495">
        <f>'ORÇAMENTO GERAL'!$J$92</f>
        <v>23.11</v>
      </c>
      <c r="AA172" s="495">
        <f>'ORÇAMENTO GERAL'!$J$93</f>
        <v>50.91</v>
      </c>
      <c r="AB172" s="495">
        <f>'ORÇAMENTO GERAL'!$J$94</f>
        <v>337.14</v>
      </c>
      <c r="AC172" s="495">
        <f t="shared" si="79"/>
        <v>0</v>
      </c>
    </row>
    <row r="173" spans="1:29" s="476" customFormat="1" ht="45" customHeight="1" hidden="1">
      <c r="A173" s="487">
        <f>DADOS!A25</f>
        <v>14</v>
      </c>
      <c r="B173" s="506">
        <f>DADOS!B25</f>
        <v>0</v>
      </c>
      <c r="C173" s="496">
        <v>1</v>
      </c>
      <c r="D173" s="492"/>
      <c r="E173" s="491">
        <f t="shared" si="87"/>
        <v>0</v>
      </c>
      <c r="F173" s="491">
        <f t="shared" si="80"/>
        <v>2.28</v>
      </c>
      <c r="G173" s="491">
        <f t="shared" si="81"/>
        <v>2.38</v>
      </c>
      <c r="H173" s="491">
        <f t="shared" si="74"/>
        <v>0</v>
      </c>
      <c r="I173" s="492">
        <f t="shared" si="82"/>
        <v>0</v>
      </c>
      <c r="J173" s="493">
        <f t="shared" si="83"/>
        <v>0</v>
      </c>
      <c r="K173" s="491">
        <f t="shared" si="75"/>
        <v>0</v>
      </c>
      <c r="L173" s="492">
        <f t="shared" si="84"/>
        <v>0</v>
      </c>
      <c r="M173" s="491">
        <f t="shared" si="76"/>
        <v>0</v>
      </c>
      <c r="N173" s="491">
        <f t="shared" si="85"/>
        <v>0</v>
      </c>
      <c r="O173" s="491">
        <f t="shared" si="86"/>
        <v>0</v>
      </c>
      <c r="P173" s="491">
        <f t="shared" si="77"/>
        <v>0</v>
      </c>
      <c r="Q173" s="615">
        <f t="shared" si="78"/>
        <v>0</v>
      </c>
      <c r="R173" s="494"/>
      <c r="S173" s="495">
        <f>'ORÇAMENTO GERAL'!$J$85</f>
        <v>1925.45</v>
      </c>
      <c r="T173" s="495">
        <f>'ORÇAMENTO GERAL'!$J$86</f>
        <v>14.71</v>
      </c>
      <c r="U173" s="495">
        <f>'ORÇAMENTO GERAL'!$J$87</f>
        <v>7.69</v>
      </c>
      <c r="V173" s="495">
        <f>'ORÇAMENTO GERAL'!$J$88</f>
        <v>3.33</v>
      </c>
      <c r="W173" s="495">
        <f>'ORÇAMENTO GERAL'!$J$89</f>
        <v>7.11</v>
      </c>
      <c r="X173" s="495">
        <f>'ORÇAMENTO GERAL'!$J$90</f>
        <v>52.17</v>
      </c>
      <c r="Y173" s="495">
        <f>'ORÇAMENTO GERAL'!$J$91</f>
        <v>175</v>
      </c>
      <c r="Z173" s="495">
        <f>'ORÇAMENTO GERAL'!$J$92</f>
        <v>23.11</v>
      </c>
      <c r="AA173" s="495">
        <f>'ORÇAMENTO GERAL'!$J$93</f>
        <v>50.91</v>
      </c>
      <c r="AB173" s="495">
        <f>'ORÇAMENTO GERAL'!$J$94</f>
        <v>337.14</v>
      </c>
      <c r="AC173" s="495">
        <f t="shared" si="79"/>
        <v>0</v>
      </c>
    </row>
    <row r="174" spans="1:29" s="476" customFormat="1" ht="45" customHeight="1" hidden="1">
      <c r="A174" s="487">
        <f>DADOS!A26</f>
        <v>15</v>
      </c>
      <c r="B174" s="506">
        <f>DADOS!B26</f>
        <v>0</v>
      </c>
      <c r="C174" s="496">
        <v>1</v>
      </c>
      <c r="D174" s="492"/>
      <c r="E174" s="491">
        <f t="shared" si="87"/>
        <v>0</v>
      </c>
      <c r="F174" s="491">
        <f t="shared" si="80"/>
        <v>2.28</v>
      </c>
      <c r="G174" s="491">
        <f t="shared" si="81"/>
        <v>2.38</v>
      </c>
      <c r="H174" s="491">
        <f t="shared" si="74"/>
        <v>0</v>
      </c>
      <c r="I174" s="492">
        <f t="shared" si="82"/>
        <v>0</v>
      </c>
      <c r="J174" s="493">
        <f t="shared" si="83"/>
        <v>0</v>
      </c>
      <c r="K174" s="491">
        <f t="shared" si="75"/>
        <v>0</v>
      </c>
      <c r="L174" s="492">
        <f t="shared" si="84"/>
        <v>0</v>
      </c>
      <c r="M174" s="491">
        <f t="shared" si="76"/>
        <v>0</v>
      </c>
      <c r="N174" s="491">
        <f t="shared" si="85"/>
        <v>0</v>
      </c>
      <c r="O174" s="491">
        <f t="shared" si="86"/>
        <v>0</v>
      </c>
      <c r="P174" s="491">
        <f t="shared" si="77"/>
        <v>0</v>
      </c>
      <c r="Q174" s="615">
        <f t="shared" si="78"/>
        <v>0</v>
      </c>
      <c r="R174" s="494"/>
      <c r="S174" s="495">
        <f>'ORÇAMENTO GERAL'!$J$85</f>
        <v>1925.45</v>
      </c>
      <c r="T174" s="495">
        <f>'ORÇAMENTO GERAL'!$J$86</f>
        <v>14.71</v>
      </c>
      <c r="U174" s="495">
        <f>'ORÇAMENTO GERAL'!$J$87</f>
        <v>7.69</v>
      </c>
      <c r="V174" s="495">
        <f>'ORÇAMENTO GERAL'!$J$88</f>
        <v>3.33</v>
      </c>
      <c r="W174" s="495">
        <f>'ORÇAMENTO GERAL'!$J$89</f>
        <v>7.11</v>
      </c>
      <c r="X174" s="495">
        <f>'ORÇAMENTO GERAL'!$J$90</f>
        <v>52.17</v>
      </c>
      <c r="Y174" s="495">
        <f>'ORÇAMENTO GERAL'!$J$91</f>
        <v>175</v>
      </c>
      <c r="Z174" s="495">
        <f>'ORÇAMENTO GERAL'!$J$92</f>
        <v>23.11</v>
      </c>
      <c r="AA174" s="495">
        <f>'ORÇAMENTO GERAL'!$J$93</f>
        <v>50.91</v>
      </c>
      <c r="AB174" s="495">
        <f>'ORÇAMENTO GERAL'!$J$94</f>
        <v>337.14</v>
      </c>
      <c r="AC174" s="495">
        <f t="shared" si="79"/>
        <v>0</v>
      </c>
    </row>
    <row r="175" spans="1:29" s="476" customFormat="1" ht="45" customHeight="1" hidden="1">
      <c r="A175" s="487">
        <f>DADOS!A27</f>
        <v>16</v>
      </c>
      <c r="B175" s="506">
        <f>DADOS!B27</f>
        <v>0</v>
      </c>
      <c r="C175" s="496">
        <v>1</v>
      </c>
      <c r="D175" s="492"/>
      <c r="E175" s="491">
        <f t="shared" si="87"/>
        <v>0</v>
      </c>
      <c r="F175" s="491">
        <f t="shared" si="80"/>
        <v>2.28</v>
      </c>
      <c r="G175" s="491">
        <f t="shared" si="81"/>
        <v>2.38</v>
      </c>
      <c r="H175" s="491">
        <f t="shared" si="74"/>
        <v>0</v>
      </c>
      <c r="I175" s="492">
        <f t="shared" si="82"/>
        <v>0</v>
      </c>
      <c r="J175" s="493">
        <f t="shared" si="83"/>
        <v>0</v>
      </c>
      <c r="K175" s="491">
        <f t="shared" si="75"/>
        <v>0</v>
      </c>
      <c r="L175" s="492">
        <f t="shared" si="84"/>
        <v>0</v>
      </c>
      <c r="M175" s="491">
        <f t="shared" si="76"/>
        <v>0</v>
      </c>
      <c r="N175" s="491">
        <f t="shared" si="85"/>
        <v>0</v>
      </c>
      <c r="O175" s="491">
        <f t="shared" si="86"/>
        <v>0</v>
      </c>
      <c r="P175" s="491">
        <f t="shared" si="77"/>
        <v>0</v>
      </c>
      <c r="Q175" s="615">
        <f t="shared" si="78"/>
        <v>0</v>
      </c>
      <c r="R175" s="494"/>
      <c r="S175" s="495">
        <f>'ORÇAMENTO GERAL'!$J$85</f>
        <v>1925.45</v>
      </c>
      <c r="T175" s="495">
        <f>'ORÇAMENTO GERAL'!$J$86</f>
        <v>14.71</v>
      </c>
      <c r="U175" s="495">
        <f>'ORÇAMENTO GERAL'!$J$87</f>
        <v>7.69</v>
      </c>
      <c r="V175" s="495">
        <f>'ORÇAMENTO GERAL'!$J$88</f>
        <v>3.33</v>
      </c>
      <c r="W175" s="495">
        <f>'ORÇAMENTO GERAL'!$J$89</f>
        <v>7.11</v>
      </c>
      <c r="X175" s="495">
        <f>'ORÇAMENTO GERAL'!$J$90</f>
        <v>52.17</v>
      </c>
      <c r="Y175" s="495">
        <f>'ORÇAMENTO GERAL'!$J$91</f>
        <v>175</v>
      </c>
      <c r="Z175" s="495">
        <f>'ORÇAMENTO GERAL'!$J$92</f>
        <v>23.11</v>
      </c>
      <c r="AA175" s="495">
        <f>'ORÇAMENTO GERAL'!$J$93</f>
        <v>50.91</v>
      </c>
      <c r="AB175" s="495">
        <f>'ORÇAMENTO GERAL'!$J$94</f>
        <v>337.14</v>
      </c>
      <c r="AC175" s="495">
        <f t="shared" si="79"/>
        <v>0</v>
      </c>
    </row>
    <row r="176" spans="1:29" s="476" customFormat="1" ht="45" customHeight="1" hidden="1">
      <c r="A176" s="487">
        <f>DADOS!A28</f>
        <v>17</v>
      </c>
      <c r="B176" s="506">
        <f>DADOS!B28</f>
        <v>0</v>
      </c>
      <c r="C176" s="496">
        <v>1</v>
      </c>
      <c r="D176" s="492"/>
      <c r="E176" s="491">
        <f t="shared" si="87"/>
        <v>0</v>
      </c>
      <c r="F176" s="491">
        <f t="shared" si="80"/>
        <v>2.28</v>
      </c>
      <c r="G176" s="491">
        <f t="shared" si="81"/>
        <v>2.38</v>
      </c>
      <c r="H176" s="491">
        <f t="shared" si="74"/>
        <v>0</v>
      </c>
      <c r="I176" s="492">
        <f t="shared" si="82"/>
        <v>0</v>
      </c>
      <c r="J176" s="493">
        <f t="shared" si="83"/>
        <v>0</v>
      </c>
      <c r="K176" s="491">
        <f t="shared" si="75"/>
        <v>0</v>
      </c>
      <c r="L176" s="492">
        <f t="shared" si="84"/>
        <v>0</v>
      </c>
      <c r="M176" s="491">
        <f t="shared" si="76"/>
        <v>0</v>
      </c>
      <c r="N176" s="491">
        <f t="shared" si="85"/>
        <v>0</v>
      </c>
      <c r="O176" s="491">
        <f t="shared" si="86"/>
        <v>0</v>
      </c>
      <c r="P176" s="491">
        <f t="shared" si="77"/>
        <v>0</v>
      </c>
      <c r="Q176" s="615">
        <f t="shared" si="78"/>
        <v>0</v>
      </c>
      <c r="R176" s="494"/>
      <c r="S176" s="495">
        <f>'ORÇAMENTO GERAL'!$J$85</f>
        <v>1925.45</v>
      </c>
      <c r="T176" s="495">
        <f>'ORÇAMENTO GERAL'!$J$86</f>
        <v>14.71</v>
      </c>
      <c r="U176" s="495">
        <f>'ORÇAMENTO GERAL'!$J$87</f>
        <v>7.69</v>
      </c>
      <c r="V176" s="495">
        <f>'ORÇAMENTO GERAL'!$J$88</f>
        <v>3.33</v>
      </c>
      <c r="W176" s="495">
        <f>'ORÇAMENTO GERAL'!$J$89</f>
        <v>7.11</v>
      </c>
      <c r="X176" s="495">
        <f>'ORÇAMENTO GERAL'!$J$90</f>
        <v>52.17</v>
      </c>
      <c r="Y176" s="495">
        <f>'ORÇAMENTO GERAL'!$J$91</f>
        <v>175</v>
      </c>
      <c r="Z176" s="495">
        <f>'ORÇAMENTO GERAL'!$J$92</f>
        <v>23.11</v>
      </c>
      <c r="AA176" s="495">
        <f>'ORÇAMENTO GERAL'!$J$93</f>
        <v>50.91</v>
      </c>
      <c r="AB176" s="495">
        <f>'ORÇAMENTO GERAL'!$J$94</f>
        <v>337.14</v>
      </c>
      <c r="AC176" s="495">
        <f t="shared" si="79"/>
        <v>0</v>
      </c>
    </row>
    <row r="177" spans="1:29" s="476" customFormat="1" ht="45" customHeight="1" hidden="1">
      <c r="A177" s="487">
        <f>DADOS!A29</f>
        <v>18</v>
      </c>
      <c r="B177" s="506">
        <f>DADOS!B29</f>
        <v>0</v>
      </c>
      <c r="C177" s="496">
        <v>1</v>
      </c>
      <c r="D177" s="492"/>
      <c r="E177" s="491">
        <f t="shared" si="87"/>
        <v>0</v>
      </c>
      <c r="F177" s="491">
        <f t="shared" si="80"/>
        <v>2.28</v>
      </c>
      <c r="G177" s="491">
        <f t="shared" si="81"/>
        <v>2.38</v>
      </c>
      <c r="H177" s="491">
        <f t="shared" si="74"/>
        <v>0</v>
      </c>
      <c r="I177" s="492">
        <f t="shared" si="82"/>
        <v>0</v>
      </c>
      <c r="J177" s="493">
        <f t="shared" si="83"/>
        <v>0</v>
      </c>
      <c r="K177" s="491">
        <f t="shared" si="75"/>
        <v>0</v>
      </c>
      <c r="L177" s="492">
        <f t="shared" si="84"/>
        <v>0</v>
      </c>
      <c r="M177" s="491">
        <f t="shared" si="76"/>
        <v>0</v>
      </c>
      <c r="N177" s="491">
        <f t="shared" si="85"/>
        <v>0</v>
      </c>
      <c r="O177" s="491">
        <f t="shared" si="86"/>
        <v>0</v>
      </c>
      <c r="P177" s="491">
        <f t="shared" si="77"/>
        <v>0</v>
      </c>
      <c r="Q177" s="615">
        <f t="shared" si="78"/>
        <v>0</v>
      </c>
      <c r="R177" s="494"/>
      <c r="S177" s="495">
        <f>'ORÇAMENTO GERAL'!$J$85</f>
        <v>1925.45</v>
      </c>
      <c r="T177" s="495">
        <f>'ORÇAMENTO GERAL'!$J$86</f>
        <v>14.71</v>
      </c>
      <c r="U177" s="495">
        <f>'ORÇAMENTO GERAL'!$J$87</f>
        <v>7.69</v>
      </c>
      <c r="V177" s="495">
        <f>'ORÇAMENTO GERAL'!$J$88</f>
        <v>3.33</v>
      </c>
      <c r="W177" s="495">
        <f>'ORÇAMENTO GERAL'!$J$89</f>
        <v>7.11</v>
      </c>
      <c r="X177" s="495">
        <f>'ORÇAMENTO GERAL'!$J$90</f>
        <v>52.17</v>
      </c>
      <c r="Y177" s="495">
        <f>'ORÇAMENTO GERAL'!$J$91</f>
        <v>175</v>
      </c>
      <c r="Z177" s="495">
        <f>'ORÇAMENTO GERAL'!$J$92</f>
        <v>23.11</v>
      </c>
      <c r="AA177" s="495">
        <f>'ORÇAMENTO GERAL'!$J$93</f>
        <v>50.91</v>
      </c>
      <c r="AB177" s="495">
        <f>'ORÇAMENTO GERAL'!$J$94</f>
        <v>337.14</v>
      </c>
      <c r="AC177" s="495">
        <f t="shared" si="79"/>
        <v>0</v>
      </c>
    </row>
    <row r="178" spans="1:29" s="476" customFormat="1" ht="45" customHeight="1" hidden="1">
      <c r="A178" s="487">
        <f>DADOS!A30</f>
        <v>19</v>
      </c>
      <c r="B178" s="506">
        <f>DADOS!B30</f>
        <v>0</v>
      </c>
      <c r="C178" s="496">
        <v>1</v>
      </c>
      <c r="D178" s="492"/>
      <c r="E178" s="491">
        <f t="shared" si="87"/>
        <v>0</v>
      </c>
      <c r="F178" s="491">
        <f t="shared" si="80"/>
        <v>2.28</v>
      </c>
      <c r="G178" s="491">
        <f t="shared" si="81"/>
        <v>2.38</v>
      </c>
      <c r="H178" s="491">
        <f t="shared" si="74"/>
        <v>0</v>
      </c>
      <c r="I178" s="492">
        <f t="shared" si="82"/>
        <v>0</v>
      </c>
      <c r="J178" s="493">
        <f t="shared" si="83"/>
        <v>0</v>
      </c>
      <c r="K178" s="491">
        <f t="shared" si="75"/>
        <v>0</v>
      </c>
      <c r="L178" s="492">
        <f t="shared" si="84"/>
        <v>0</v>
      </c>
      <c r="M178" s="491">
        <f t="shared" si="76"/>
        <v>0</v>
      </c>
      <c r="N178" s="491">
        <f t="shared" si="85"/>
        <v>0</v>
      </c>
      <c r="O178" s="491">
        <f t="shared" si="86"/>
        <v>0</v>
      </c>
      <c r="P178" s="491">
        <f t="shared" si="77"/>
        <v>0</v>
      </c>
      <c r="Q178" s="615">
        <f t="shared" si="78"/>
        <v>0</v>
      </c>
      <c r="R178" s="494"/>
      <c r="S178" s="495">
        <f>'ORÇAMENTO GERAL'!$J$85</f>
        <v>1925.45</v>
      </c>
      <c r="T178" s="495">
        <f>'ORÇAMENTO GERAL'!$J$86</f>
        <v>14.71</v>
      </c>
      <c r="U178" s="495">
        <f>'ORÇAMENTO GERAL'!$J$87</f>
        <v>7.69</v>
      </c>
      <c r="V178" s="495">
        <f>'ORÇAMENTO GERAL'!$J$88</f>
        <v>3.33</v>
      </c>
      <c r="W178" s="495">
        <f>'ORÇAMENTO GERAL'!$J$89</f>
        <v>7.11</v>
      </c>
      <c r="X178" s="495">
        <f>'ORÇAMENTO GERAL'!$J$90</f>
        <v>52.17</v>
      </c>
      <c r="Y178" s="495">
        <f>'ORÇAMENTO GERAL'!$J$91</f>
        <v>175</v>
      </c>
      <c r="Z178" s="495">
        <f>'ORÇAMENTO GERAL'!$J$92</f>
        <v>23.11</v>
      </c>
      <c r="AA178" s="495">
        <f>'ORÇAMENTO GERAL'!$J$93</f>
        <v>50.91</v>
      </c>
      <c r="AB178" s="495">
        <f>'ORÇAMENTO GERAL'!$J$94</f>
        <v>337.14</v>
      </c>
      <c r="AC178" s="495">
        <f t="shared" si="79"/>
        <v>0</v>
      </c>
    </row>
    <row r="179" spans="1:29" s="476" customFormat="1" ht="45" customHeight="1" hidden="1" thickBot="1">
      <c r="A179" s="487">
        <f>DADOS!A31</f>
        <v>20</v>
      </c>
      <c r="B179" s="506">
        <f>DADOS!B31</f>
        <v>0</v>
      </c>
      <c r="C179" s="507">
        <v>1</v>
      </c>
      <c r="D179" s="492"/>
      <c r="E179" s="508">
        <f t="shared" si="87"/>
        <v>0</v>
      </c>
      <c r="F179" s="491">
        <f t="shared" si="80"/>
        <v>2.28</v>
      </c>
      <c r="G179" s="491">
        <f t="shared" si="81"/>
        <v>2.38</v>
      </c>
      <c r="H179" s="491">
        <f t="shared" si="74"/>
        <v>0</v>
      </c>
      <c r="I179" s="492">
        <f t="shared" si="82"/>
        <v>0</v>
      </c>
      <c r="J179" s="493">
        <f t="shared" si="83"/>
        <v>0</v>
      </c>
      <c r="K179" s="491">
        <f t="shared" si="75"/>
        <v>0</v>
      </c>
      <c r="L179" s="492">
        <f t="shared" si="84"/>
        <v>0</v>
      </c>
      <c r="M179" s="491">
        <f t="shared" si="76"/>
        <v>0</v>
      </c>
      <c r="N179" s="491">
        <f t="shared" si="85"/>
        <v>0</v>
      </c>
      <c r="O179" s="491">
        <f t="shared" si="86"/>
        <v>0</v>
      </c>
      <c r="P179" s="491">
        <f t="shared" si="77"/>
        <v>0</v>
      </c>
      <c r="Q179" s="615">
        <f t="shared" si="78"/>
        <v>0</v>
      </c>
      <c r="R179" s="494"/>
      <c r="S179" s="495">
        <f>'ORÇAMENTO GERAL'!$J$85</f>
        <v>1925.45</v>
      </c>
      <c r="T179" s="495">
        <f>'ORÇAMENTO GERAL'!$J$86</f>
        <v>14.71</v>
      </c>
      <c r="U179" s="495">
        <f>'ORÇAMENTO GERAL'!$J$87</f>
        <v>7.69</v>
      </c>
      <c r="V179" s="495">
        <f>'ORÇAMENTO GERAL'!$J$88</f>
        <v>3.33</v>
      </c>
      <c r="W179" s="495">
        <f>'ORÇAMENTO GERAL'!$J$89</f>
        <v>7.11</v>
      </c>
      <c r="X179" s="495">
        <f>'ORÇAMENTO GERAL'!$J$90</f>
        <v>52.17</v>
      </c>
      <c r="Y179" s="495">
        <f>'ORÇAMENTO GERAL'!$J$91</f>
        <v>175</v>
      </c>
      <c r="Z179" s="495">
        <f>'ORÇAMENTO GERAL'!$J$92</f>
        <v>23.11</v>
      </c>
      <c r="AA179" s="495">
        <f>'ORÇAMENTO GERAL'!$J$93</f>
        <v>50.91</v>
      </c>
      <c r="AB179" s="495">
        <f>'ORÇAMENTO GERAL'!$J$94</f>
        <v>337.14</v>
      </c>
      <c r="AC179" s="495">
        <f t="shared" si="79"/>
        <v>0</v>
      </c>
    </row>
    <row r="180" spans="1:18" s="476" customFormat="1" ht="45" customHeight="1" hidden="1" thickBot="1">
      <c r="A180" s="886" t="s">
        <v>23</v>
      </c>
      <c r="B180" s="887"/>
      <c r="C180" s="498"/>
      <c r="D180" s="498"/>
      <c r="E180" s="498">
        <f>SUM(E160:E179)</f>
        <v>0</v>
      </c>
      <c r="F180" s="498"/>
      <c r="G180" s="498"/>
      <c r="H180" s="498">
        <f>SUM(H160:H179)</f>
        <v>0</v>
      </c>
      <c r="I180" s="498">
        <f aca="true" t="shared" si="88" ref="I180:Q180">SUM(I160:I179)</f>
        <v>0</v>
      </c>
      <c r="J180" s="498">
        <f t="shared" si="88"/>
        <v>0</v>
      </c>
      <c r="K180" s="498">
        <f t="shared" si="88"/>
        <v>0</v>
      </c>
      <c r="L180" s="498">
        <f t="shared" si="88"/>
        <v>0</v>
      </c>
      <c r="M180" s="498">
        <f t="shared" si="88"/>
        <v>0</v>
      </c>
      <c r="N180" s="498">
        <f t="shared" si="88"/>
        <v>0</v>
      </c>
      <c r="O180" s="498">
        <f t="shared" si="88"/>
        <v>0</v>
      </c>
      <c r="P180" s="498">
        <f t="shared" si="88"/>
        <v>0</v>
      </c>
      <c r="Q180" s="498">
        <f t="shared" si="88"/>
        <v>0</v>
      </c>
      <c r="R180" s="499"/>
    </row>
    <row r="181" spans="3:29" s="476" customFormat="1" ht="45" customHeight="1">
      <c r="C181" s="505"/>
      <c r="D181" s="505"/>
      <c r="E181" s="505"/>
      <c r="F181" s="505"/>
      <c r="G181" s="505"/>
      <c r="AC181" s="509"/>
    </row>
    <row r="182" spans="1:32" s="476" customFormat="1" ht="45" customHeight="1">
      <c r="A182" s="905" t="s">
        <v>373</v>
      </c>
      <c r="B182" s="905"/>
      <c r="C182" s="905"/>
      <c r="D182" s="905"/>
      <c r="E182" s="905"/>
      <c r="F182" s="505"/>
      <c r="G182" s="505"/>
      <c r="H182" s="921" t="s">
        <v>491</v>
      </c>
      <c r="I182" s="922"/>
      <c r="J182" s="923"/>
      <c r="K182" s="500"/>
      <c r="L182" s="500"/>
      <c r="AB182" s="869" t="str">
        <f>A182</f>
        <v>CAIXA PARA BOCA DE LOBO</v>
      </c>
      <c r="AC182" s="870"/>
      <c r="AE182" s="869" t="str">
        <f>H182</f>
        <v>TAMPA PARA BOCA DE LOBO</v>
      </c>
      <c r="AF182" s="870"/>
    </row>
    <row r="183" spans="1:32" ht="49.5" customHeight="1">
      <c r="A183" s="486" t="s">
        <v>6</v>
      </c>
      <c r="B183" s="486" t="s">
        <v>230</v>
      </c>
      <c r="C183" s="904" t="s">
        <v>233</v>
      </c>
      <c r="D183" s="904"/>
      <c r="E183" s="904"/>
      <c r="H183" s="486" t="s">
        <v>6</v>
      </c>
      <c r="I183" s="486" t="s">
        <v>230</v>
      </c>
      <c r="J183" s="510" t="s">
        <v>233</v>
      </c>
      <c r="K183" s="573"/>
      <c r="L183" s="573"/>
      <c r="AB183" s="510" t="s">
        <v>550</v>
      </c>
      <c r="AC183" s="510" t="s">
        <v>23</v>
      </c>
      <c r="AE183" s="510" t="s">
        <v>550</v>
      </c>
      <c r="AF183" s="510" t="s">
        <v>23</v>
      </c>
    </row>
    <row r="184" spans="1:32" ht="49.5" customHeight="1">
      <c r="A184" s="486">
        <f>DADOS!A12</f>
        <v>1</v>
      </c>
      <c r="B184" s="510" t="str">
        <f>DADOS!B12</f>
        <v>R. CANARINHO</v>
      </c>
      <c r="C184" s="899">
        <f>C20</f>
        <v>5</v>
      </c>
      <c r="D184" s="900"/>
      <c r="E184" s="901"/>
      <c r="H184" s="486">
        <f aca="true" t="shared" si="89" ref="H184:H203">A184</f>
        <v>1</v>
      </c>
      <c r="I184" s="510" t="str">
        <f aca="true" t="shared" si="90" ref="I184:I203">B184</f>
        <v>R. CANARINHO</v>
      </c>
      <c r="J184" s="516">
        <f aca="true" t="shared" si="91" ref="J184:J203">C184</f>
        <v>5</v>
      </c>
      <c r="K184" s="574"/>
      <c r="L184" s="574"/>
      <c r="AB184" s="512">
        <f>'ORÇAMENTO GERAL'!$J$96</f>
        <v>2014.75</v>
      </c>
      <c r="AC184" s="512">
        <f aca="true" t="shared" si="92" ref="AC184:AC203">C184*AB184</f>
        <v>10073.75</v>
      </c>
      <c r="AE184" s="512">
        <f>'ORÇAMENTO GERAL'!$J$98</f>
        <v>258.53</v>
      </c>
      <c r="AF184" s="512">
        <f aca="true" t="shared" si="93" ref="AF184:AF203">J184*AE184</f>
        <v>1292.65</v>
      </c>
    </row>
    <row r="185" spans="1:32" ht="49.5" customHeight="1">
      <c r="A185" s="486">
        <f>DADOS!A13</f>
        <v>2</v>
      </c>
      <c r="B185" s="510" t="str">
        <f>DADOS!B13</f>
        <v>R. SEM NOME 1</v>
      </c>
      <c r="C185" s="899">
        <f aca="true" t="shared" si="94" ref="C185:C203">C21</f>
        <v>9</v>
      </c>
      <c r="D185" s="900"/>
      <c r="E185" s="901"/>
      <c r="H185" s="486">
        <f t="shared" si="89"/>
        <v>2</v>
      </c>
      <c r="I185" s="510" t="str">
        <f t="shared" si="90"/>
        <v>R. SEM NOME 1</v>
      </c>
      <c r="J185" s="516">
        <f t="shared" si="91"/>
        <v>9</v>
      </c>
      <c r="K185" s="574"/>
      <c r="L185" s="574"/>
      <c r="N185" s="476"/>
      <c r="AB185" s="512">
        <f>'ORÇAMENTO GERAL'!$J$96</f>
        <v>2014.75</v>
      </c>
      <c r="AC185" s="512">
        <f t="shared" si="92"/>
        <v>18132.75</v>
      </c>
      <c r="AE185" s="512">
        <f>'ORÇAMENTO GERAL'!$J$98</f>
        <v>258.53</v>
      </c>
      <c r="AF185" s="512">
        <f t="shared" si="93"/>
        <v>2326.77</v>
      </c>
    </row>
    <row r="186" spans="1:32" ht="49.5" customHeight="1">
      <c r="A186" s="486">
        <f>DADOS!A14</f>
        <v>3</v>
      </c>
      <c r="B186" s="510" t="str">
        <f>DADOS!B14</f>
        <v>EST. DO CURUÇAMBÁ</v>
      </c>
      <c r="C186" s="899">
        <f t="shared" si="94"/>
        <v>0</v>
      </c>
      <c r="D186" s="900"/>
      <c r="E186" s="901"/>
      <c r="H186" s="486">
        <f t="shared" si="89"/>
        <v>3</v>
      </c>
      <c r="I186" s="510" t="str">
        <f t="shared" si="90"/>
        <v>EST. DO CURUÇAMBÁ</v>
      </c>
      <c r="J186" s="516">
        <f t="shared" si="91"/>
        <v>0</v>
      </c>
      <c r="K186" s="574"/>
      <c r="L186" s="574"/>
      <c r="AB186" s="512">
        <f>'ORÇAMENTO GERAL'!$J$96</f>
        <v>2014.75</v>
      </c>
      <c r="AC186" s="512">
        <f t="shared" si="92"/>
        <v>0</v>
      </c>
      <c r="AE186" s="512">
        <f>'ORÇAMENTO GERAL'!$J$98</f>
        <v>258.53</v>
      </c>
      <c r="AF186" s="512">
        <f t="shared" si="93"/>
        <v>0</v>
      </c>
    </row>
    <row r="187" spans="1:32" ht="49.5" customHeight="1">
      <c r="A187" s="486">
        <f>DADOS!A15</f>
        <v>4</v>
      </c>
      <c r="B187" s="510" t="str">
        <f>DADOS!B15</f>
        <v>PASS. SOL NASCENTE</v>
      </c>
      <c r="C187" s="899">
        <f t="shared" si="94"/>
        <v>4</v>
      </c>
      <c r="D187" s="900"/>
      <c r="E187" s="901"/>
      <c r="H187" s="486">
        <f t="shared" si="89"/>
        <v>4</v>
      </c>
      <c r="I187" s="510" t="str">
        <f t="shared" si="90"/>
        <v>PASS. SOL NASCENTE</v>
      </c>
      <c r="J187" s="516">
        <f t="shared" si="91"/>
        <v>4</v>
      </c>
      <c r="K187" s="574"/>
      <c r="L187" s="574"/>
      <c r="AB187" s="512">
        <f>'ORÇAMENTO GERAL'!$J$96</f>
        <v>2014.75</v>
      </c>
      <c r="AC187" s="512">
        <f t="shared" si="92"/>
        <v>8059</v>
      </c>
      <c r="AE187" s="512">
        <f>'ORÇAMENTO GERAL'!$J$98</f>
        <v>258.53</v>
      </c>
      <c r="AF187" s="512">
        <f t="shared" si="93"/>
        <v>1034.12</v>
      </c>
    </row>
    <row r="188" spans="1:32" ht="49.5" customHeight="1">
      <c r="A188" s="486">
        <f>DADOS!A16</f>
        <v>5</v>
      </c>
      <c r="B188" s="510" t="str">
        <f>DADOS!B16</f>
        <v>AL. NOVA ESPERANÇA</v>
      </c>
      <c r="C188" s="899">
        <f t="shared" si="94"/>
        <v>9</v>
      </c>
      <c r="D188" s="900"/>
      <c r="E188" s="901"/>
      <c r="H188" s="486">
        <f t="shared" si="89"/>
        <v>5</v>
      </c>
      <c r="I188" s="510" t="str">
        <f t="shared" si="90"/>
        <v>AL. NOVA ESPERANÇA</v>
      </c>
      <c r="J188" s="516">
        <f t="shared" si="91"/>
        <v>9</v>
      </c>
      <c r="K188" s="574"/>
      <c r="L188" s="574"/>
      <c r="AB188" s="512">
        <f>'ORÇAMENTO GERAL'!$J$96</f>
        <v>2014.75</v>
      </c>
      <c r="AC188" s="512">
        <f t="shared" si="92"/>
        <v>18132.75</v>
      </c>
      <c r="AE188" s="512">
        <f>'ORÇAMENTO GERAL'!$J$98</f>
        <v>258.53</v>
      </c>
      <c r="AF188" s="512">
        <f t="shared" si="93"/>
        <v>2326.77</v>
      </c>
    </row>
    <row r="189" spans="1:32" ht="49.5" customHeight="1" hidden="1">
      <c r="A189" s="486">
        <f>DADOS!A17</f>
        <v>6</v>
      </c>
      <c r="B189" s="510">
        <f>DADOS!B17</f>
        <v>0</v>
      </c>
      <c r="C189" s="899">
        <f t="shared" si="94"/>
        <v>0</v>
      </c>
      <c r="D189" s="900"/>
      <c r="E189" s="901"/>
      <c r="H189" s="486">
        <f t="shared" si="89"/>
        <v>6</v>
      </c>
      <c r="I189" s="510">
        <f t="shared" si="90"/>
        <v>0</v>
      </c>
      <c r="J189" s="516">
        <f t="shared" si="91"/>
        <v>0</v>
      </c>
      <c r="K189" s="574"/>
      <c r="L189" s="574"/>
      <c r="AB189" s="512">
        <f>'ORÇAMENTO GERAL'!$J$96</f>
        <v>2014.75</v>
      </c>
      <c r="AC189" s="512">
        <f t="shared" si="92"/>
        <v>0</v>
      </c>
      <c r="AE189" s="512">
        <f>'ORÇAMENTO GERAL'!$J$98</f>
        <v>258.53</v>
      </c>
      <c r="AF189" s="512">
        <f t="shared" si="93"/>
        <v>0</v>
      </c>
    </row>
    <row r="190" spans="1:32" ht="49.5" customHeight="1" hidden="1">
      <c r="A190" s="486">
        <f>DADOS!A18</f>
        <v>7</v>
      </c>
      <c r="B190" s="510">
        <f>DADOS!B18</f>
        <v>0</v>
      </c>
      <c r="C190" s="899">
        <f t="shared" si="94"/>
        <v>0</v>
      </c>
      <c r="D190" s="900"/>
      <c r="E190" s="901"/>
      <c r="H190" s="486">
        <f t="shared" si="89"/>
        <v>7</v>
      </c>
      <c r="I190" s="510">
        <f t="shared" si="90"/>
        <v>0</v>
      </c>
      <c r="J190" s="516">
        <f t="shared" si="91"/>
        <v>0</v>
      </c>
      <c r="K190" s="574"/>
      <c r="L190" s="574"/>
      <c r="AB190" s="512">
        <f>'ORÇAMENTO GERAL'!$J$96</f>
        <v>2014.75</v>
      </c>
      <c r="AC190" s="512">
        <f t="shared" si="92"/>
        <v>0</v>
      </c>
      <c r="AE190" s="512">
        <f>'ORÇAMENTO GERAL'!$J$98</f>
        <v>258.53</v>
      </c>
      <c r="AF190" s="512">
        <f t="shared" si="93"/>
        <v>0</v>
      </c>
    </row>
    <row r="191" spans="1:32" ht="49.5" customHeight="1" hidden="1">
      <c r="A191" s="486">
        <f>DADOS!A19</f>
        <v>8</v>
      </c>
      <c r="B191" s="510">
        <f>DADOS!B19</f>
        <v>0</v>
      </c>
      <c r="C191" s="899">
        <f t="shared" si="94"/>
        <v>0</v>
      </c>
      <c r="D191" s="900"/>
      <c r="E191" s="901"/>
      <c r="H191" s="486">
        <f t="shared" si="89"/>
        <v>8</v>
      </c>
      <c r="I191" s="510">
        <f t="shared" si="90"/>
        <v>0</v>
      </c>
      <c r="J191" s="516">
        <f t="shared" si="91"/>
        <v>0</v>
      </c>
      <c r="K191" s="574"/>
      <c r="L191" s="574"/>
      <c r="AB191" s="512">
        <f>'ORÇAMENTO GERAL'!$J$96</f>
        <v>2014.75</v>
      </c>
      <c r="AC191" s="512">
        <f t="shared" si="92"/>
        <v>0</v>
      </c>
      <c r="AE191" s="512">
        <f>'ORÇAMENTO GERAL'!$J$98</f>
        <v>258.53</v>
      </c>
      <c r="AF191" s="512">
        <f t="shared" si="93"/>
        <v>0</v>
      </c>
    </row>
    <row r="192" spans="1:32" ht="49.5" customHeight="1" hidden="1">
      <c r="A192" s="486">
        <f>DADOS!A20</f>
        <v>9</v>
      </c>
      <c r="B192" s="510">
        <f>DADOS!B20</f>
        <v>0</v>
      </c>
      <c r="C192" s="899">
        <f t="shared" si="94"/>
        <v>0</v>
      </c>
      <c r="D192" s="900"/>
      <c r="E192" s="901"/>
      <c r="H192" s="486">
        <f t="shared" si="89"/>
        <v>9</v>
      </c>
      <c r="I192" s="510">
        <f t="shared" si="90"/>
        <v>0</v>
      </c>
      <c r="J192" s="516">
        <f t="shared" si="91"/>
        <v>0</v>
      </c>
      <c r="K192" s="574"/>
      <c r="L192" s="574"/>
      <c r="AB192" s="512">
        <f>'ORÇAMENTO GERAL'!$J$96</f>
        <v>2014.75</v>
      </c>
      <c r="AC192" s="512">
        <f t="shared" si="92"/>
        <v>0</v>
      </c>
      <c r="AE192" s="512">
        <f>'ORÇAMENTO GERAL'!$J$98</f>
        <v>258.53</v>
      </c>
      <c r="AF192" s="512">
        <f t="shared" si="93"/>
        <v>0</v>
      </c>
    </row>
    <row r="193" spans="1:32" ht="49.5" customHeight="1" hidden="1">
      <c r="A193" s="486">
        <f>DADOS!A21</f>
        <v>10</v>
      </c>
      <c r="B193" s="510">
        <f>DADOS!B21</f>
        <v>0</v>
      </c>
      <c r="C193" s="899">
        <f t="shared" si="94"/>
        <v>0</v>
      </c>
      <c r="D193" s="900"/>
      <c r="E193" s="901"/>
      <c r="H193" s="486">
        <f t="shared" si="89"/>
        <v>10</v>
      </c>
      <c r="I193" s="510">
        <f t="shared" si="90"/>
        <v>0</v>
      </c>
      <c r="J193" s="516">
        <f t="shared" si="91"/>
        <v>0</v>
      </c>
      <c r="K193" s="574"/>
      <c r="L193" s="574"/>
      <c r="AB193" s="512">
        <f>'ORÇAMENTO GERAL'!$J$96</f>
        <v>2014.75</v>
      </c>
      <c r="AC193" s="512">
        <f t="shared" si="92"/>
        <v>0</v>
      </c>
      <c r="AE193" s="512">
        <f>'ORÇAMENTO GERAL'!$J$98</f>
        <v>258.53</v>
      </c>
      <c r="AF193" s="512">
        <f t="shared" si="93"/>
        <v>0</v>
      </c>
    </row>
    <row r="194" spans="1:32" ht="49.5" customHeight="1" hidden="1">
      <c r="A194" s="486">
        <f>DADOS!A22</f>
        <v>11</v>
      </c>
      <c r="B194" s="510">
        <f>DADOS!B22</f>
        <v>0</v>
      </c>
      <c r="C194" s="899">
        <f t="shared" si="94"/>
        <v>0</v>
      </c>
      <c r="D194" s="900"/>
      <c r="E194" s="901"/>
      <c r="H194" s="486">
        <f t="shared" si="89"/>
        <v>11</v>
      </c>
      <c r="I194" s="510">
        <f t="shared" si="90"/>
        <v>0</v>
      </c>
      <c r="J194" s="516">
        <f t="shared" si="91"/>
        <v>0</v>
      </c>
      <c r="K194" s="574"/>
      <c r="L194" s="574"/>
      <c r="AB194" s="512">
        <f>'ORÇAMENTO GERAL'!$J$96</f>
        <v>2014.75</v>
      </c>
      <c r="AC194" s="512">
        <f t="shared" si="92"/>
        <v>0</v>
      </c>
      <c r="AE194" s="512">
        <f>'ORÇAMENTO GERAL'!$J$98</f>
        <v>258.53</v>
      </c>
      <c r="AF194" s="512">
        <f t="shared" si="93"/>
        <v>0</v>
      </c>
    </row>
    <row r="195" spans="1:32" ht="49.5" customHeight="1" hidden="1">
      <c r="A195" s="486">
        <f>DADOS!A23</f>
        <v>12</v>
      </c>
      <c r="B195" s="510">
        <f>DADOS!B23</f>
        <v>0</v>
      </c>
      <c r="C195" s="899">
        <f t="shared" si="94"/>
        <v>0</v>
      </c>
      <c r="D195" s="900"/>
      <c r="E195" s="901"/>
      <c r="H195" s="486">
        <f t="shared" si="89"/>
        <v>12</v>
      </c>
      <c r="I195" s="510">
        <f t="shared" si="90"/>
        <v>0</v>
      </c>
      <c r="J195" s="516">
        <f t="shared" si="91"/>
        <v>0</v>
      </c>
      <c r="K195" s="574"/>
      <c r="L195" s="574"/>
      <c r="AB195" s="512">
        <f>'ORÇAMENTO GERAL'!$J$96</f>
        <v>2014.75</v>
      </c>
      <c r="AC195" s="512">
        <f t="shared" si="92"/>
        <v>0</v>
      </c>
      <c r="AE195" s="512">
        <f>'ORÇAMENTO GERAL'!$J$98</f>
        <v>258.53</v>
      </c>
      <c r="AF195" s="512">
        <f t="shared" si="93"/>
        <v>0</v>
      </c>
    </row>
    <row r="196" spans="1:32" ht="49.5" customHeight="1" hidden="1">
      <c r="A196" s="486">
        <f>DADOS!A24</f>
        <v>13</v>
      </c>
      <c r="B196" s="510">
        <f>DADOS!B24</f>
        <v>0</v>
      </c>
      <c r="C196" s="899">
        <f t="shared" si="94"/>
        <v>0</v>
      </c>
      <c r="D196" s="900"/>
      <c r="E196" s="901"/>
      <c r="H196" s="486">
        <f t="shared" si="89"/>
        <v>13</v>
      </c>
      <c r="I196" s="510">
        <f t="shared" si="90"/>
        <v>0</v>
      </c>
      <c r="J196" s="516">
        <f t="shared" si="91"/>
        <v>0</v>
      </c>
      <c r="K196" s="574"/>
      <c r="L196" s="574"/>
      <c r="AB196" s="512">
        <f>'ORÇAMENTO GERAL'!$J$96</f>
        <v>2014.75</v>
      </c>
      <c r="AC196" s="512">
        <f t="shared" si="92"/>
        <v>0</v>
      </c>
      <c r="AE196" s="512">
        <f>'ORÇAMENTO GERAL'!$J$98</f>
        <v>258.53</v>
      </c>
      <c r="AF196" s="512">
        <f t="shared" si="93"/>
        <v>0</v>
      </c>
    </row>
    <row r="197" spans="1:32" ht="49.5" customHeight="1" hidden="1">
      <c r="A197" s="486">
        <f>DADOS!A25</f>
        <v>14</v>
      </c>
      <c r="B197" s="510">
        <f>DADOS!B25</f>
        <v>0</v>
      </c>
      <c r="C197" s="899">
        <f t="shared" si="94"/>
        <v>0</v>
      </c>
      <c r="D197" s="900"/>
      <c r="E197" s="901"/>
      <c r="H197" s="486">
        <f t="shared" si="89"/>
        <v>14</v>
      </c>
      <c r="I197" s="510">
        <f t="shared" si="90"/>
        <v>0</v>
      </c>
      <c r="J197" s="516">
        <f t="shared" si="91"/>
        <v>0</v>
      </c>
      <c r="K197" s="574"/>
      <c r="L197" s="574"/>
      <c r="AB197" s="512">
        <f>'ORÇAMENTO GERAL'!$J$96</f>
        <v>2014.75</v>
      </c>
      <c r="AC197" s="512">
        <f t="shared" si="92"/>
        <v>0</v>
      </c>
      <c r="AE197" s="512">
        <f>'ORÇAMENTO GERAL'!$J$98</f>
        <v>258.53</v>
      </c>
      <c r="AF197" s="512">
        <f t="shared" si="93"/>
        <v>0</v>
      </c>
    </row>
    <row r="198" spans="1:32" ht="49.5" customHeight="1" hidden="1">
      <c r="A198" s="486">
        <f>DADOS!A26</f>
        <v>15</v>
      </c>
      <c r="B198" s="510">
        <f>DADOS!B26</f>
        <v>0</v>
      </c>
      <c r="C198" s="899">
        <f t="shared" si="94"/>
        <v>0</v>
      </c>
      <c r="D198" s="900"/>
      <c r="E198" s="901"/>
      <c r="H198" s="486">
        <f t="shared" si="89"/>
        <v>15</v>
      </c>
      <c r="I198" s="510">
        <f t="shared" si="90"/>
        <v>0</v>
      </c>
      <c r="J198" s="516">
        <f t="shared" si="91"/>
        <v>0</v>
      </c>
      <c r="K198" s="574"/>
      <c r="L198" s="574"/>
      <c r="AB198" s="512">
        <f>'ORÇAMENTO GERAL'!$J$96</f>
        <v>2014.75</v>
      </c>
      <c r="AC198" s="512">
        <f t="shared" si="92"/>
        <v>0</v>
      </c>
      <c r="AE198" s="512">
        <f>'ORÇAMENTO GERAL'!$J$98</f>
        <v>258.53</v>
      </c>
      <c r="AF198" s="512">
        <f t="shared" si="93"/>
        <v>0</v>
      </c>
    </row>
    <row r="199" spans="1:32" ht="49.5" customHeight="1" hidden="1">
      <c r="A199" s="486">
        <f>DADOS!A27</f>
        <v>16</v>
      </c>
      <c r="B199" s="510">
        <f>DADOS!B27</f>
        <v>0</v>
      </c>
      <c r="C199" s="899">
        <f t="shared" si="94"/>
        <v>0</v>
      </c>
      <c r="D199" s="900"/>
      <c r="E199" s="901"/>
      <c r="H199" s="486">
        <f t="shared" si="89"/>
        <v>16</v>
      </c>
      <c r="I199" s="510">
        <f t="shared" si="90"/>
        <v>0</v>
      </c>
      <c r="J199" s="516">
        <f t="shared" si="91"/>
        <v>0</v>
      </c>
      <c r="K199" s="574"/>
      <c r="L199" s="574"/>
      <c r="AB199" s="512">
        <f>'ORÇAMENTO GERAL'!$J$96</f>
        <v>2014.75</v>
      </c>
      <c r="AC199" s="512">
        <f t="shared" si="92"/>
        <v>0</v>
      </c>
      <c r="AE199" s="512">
        <f>'ORÇAMENTO GERAL'!$J$98</f>
        <v>258.53</v>
      </c>
      <c r="AF199" s="512">
        <f t="shared" si="93"/>
        <v>0</v>
      </c>
    </row>
    <row r="200" spans="1:32" ht="49.5" customHeight="1" hidden="1">
      <c r="A200" s="486">
        <f>DADOS!A28</f>
        <v>17</v>
      </c>
      <c r="B200" s="510">
        <f>DADOS!B28</f>
        <v>0</v>
      </c>
      <c r="C200" s="899">
        <f t="shared" si="94"/>
        <v>0</v>
      </c>
      <c r="D200" s="900"/>
      <c r="E200" s="901"/>
      <c r="H200" s="486">
        <f t="shared" si="89"/>
        <v>17</v>
      </c>
      <c r="I200" s="510">
        <f t="shared" si="90"/>
        <v>0</v>
      </c>
      <c r="J200" s="516">
        <f t="shared" si="91"/>
        <v>0</v>
      </c>
      <c r="K200" s="574"/>
      <c r="L200" s="574"/>
      <c r="AB200" s="512">
        <f>'ORÇAMENTO GERAL'!$J$96</f>
        <v>2014.75</v>
      </c>
      <c r="AC200" s="512">
        <f t="shared" si="92"/>
        <v>0</v>
      </c>
      <c r="AE200" s="512">
        <f>'ORÇAMENTO GERAL'!$J$98</f>
        <v>258.53</v>
      </c>
      <c r="AF200" s="512">
        <f t="shared" si="93"/>
        <v>0</v>
      </c>
    </row>
    <row r="201" spans="1:32" ht="49.5" customHeight="1" hidden="1">
      <c r="A201" s="486">
        <f>DADOS!A29</f>
        <v>18</v>
      </c>
      <c r="B201" s="510">
        <f>DADOS!B29</f>
        <v>0</v>
      </c>
      <c r="C201" s="899">
        <f t="shared" si="94"/>
        <v>0</v>
      </c>
      <c r="D201" s="900"/>
      <c r="E201" s="901"/>
      <c r="H201" s="486">
        <f t="shared" si="89"/>
        <v>18</v>
      </c>
      <c r="I201" s="510">
        <f t="shared" si="90"/>
        <v>0</v>
      </c>
      <c r="J201" s="516">
        <f t="shared" si="91"/>
        <v>0</v>
      </c>
      <c r="K201" s="574"/>
      <c r="L201" s="574"/>
      <c r="AB201" s="512">
        <f>'ORÇAMENTO GERAL'!$J$96</f>
        <v>2014.75</v>
      </c>
      <c r="AC201" s="512">
        <f t="shared" si="92"/>
        <v>0</v>
      </c>
      <c r="AE201" s="512">
        <f>'ORÇAMENTO GERAL'!$J$98</f>
        <v>258.53</v>
      </c>
      <c r="AF201" s="512">
        <f t="shared" si="93"/>
        <v>0</v>
      </c>
    </row>
    <row r="202" spans="1:32" ht="49.5" customHeight="1" hidden="1">
      <c r="A202" s="486">
        <f>DADOS!A30</f>
        <v>19</v>
      </c>
      <c r="B202" s="510">
        <f>DADOS!B30</f>
        <v>0</v>
      </c>
      <c r="C202" s="899">
        <f t="shared" si="94"/>
        <v>0</v>
      </c>
      <c r="D202" s="900"/>
      <c r="E202" s="901"/>
      <c r="H202" s="486">
        <f t="shared" si="89"/>
        <v>19</v>
      </c>
      <c r="I202" s="510">
        <f t="shared" si="90"/>
        <v>0</v>
      </c>
      <c r="J202" s="516">
        <f t="shared" si="91"/>
        <v>0</v>
      </c>
      <c r="K202" s="574"/>
      <c r="L202" s="574"/>
      <c r="AB202" s="512">
        <f>'ORÇAMENTO GERAL'!$J$96</f>
        <v>2014.75</v>
      </c>
      <c r="AC202" s="512">
        <f t="shared" si="92"/>
        <v>0</v>
      </c>
      <c r="AE202" s="512">
        <f>'ORÇAMENTO GERAL'!$J$98</f>
        <v>258.53</v>
      </c>
      <c r="AF202" s="512">
        <f t="shared" si="93"/>
        <v>0</v>
      </c>
    </row>
    <row r="203" spans="1:32" ht="49.5" customHeight="1" hidden="1">
      <c r="A203" s="486">
        <f>DADOS!A31</f>
        <v>20</v>
      </c>
      <c r="B203" s="510">
        <f>DADOS!B31</f>
        <v>0</v>
      </c>
      <c r="C203" s="899">
        <f t="shared" si="94"/>
        <v>0</v>
      </c>
      <c r="D203" s="900"/>
      <c r="E203" s="901"/>
      <c r="H203" s="486">
        <f t="shared" si="89"/>
        <v>20</v>
      </c>
      <c r="I203" s="510">
        <f t="shared" si="90"/>
        <v>0</v>
      </c>
      <c r="J203" s="516">
        <f t="shared" si="91"/>
        <v>0</v>
      </c>
      <c r="K203" s="574"/>
      <c r="L203" s="574"/>
      <c r="AB203" s="512">
        <f>'ORÇAMENTO GERAL'!$J$96</f>
        <v>2014.75</v>
      </c>
      <c r="AC203" s="512">
        <f t="shared" si="92"/>
        <v>0</v>
      </c>
      <c r="AE203" s="512">
        <f>'ORÇAMENTO GERAL'!$J$98</f>
        <v>258.53</v>
      </c>
      <c r="AF203" s="512">
        <f t="shared" si="93"/>
        <v>0</v>
      </c>
    </row>
    <row r="204" spans="1:29" ht="49.5" customHeight="1">
      <c r="A204" s="902" t="s">
        <v>23</v>
      </c>
      <c r="B204" s="902"/>
      <c r="C204" s="903">
        <f>SUM(C184:E203)</f>
        <v>27</v>
      </c>
      <c r="D204" s="903"/>
      <c r="E204" s="903"/>
      <c r="H204" s="752" t="s">
        <v>23</v>
      </c>
      <c r="I204" s="754"/>
      <c r="J204" s="513">
        <f>SUM(J184:J203)</f>
        <v>27</v>
      </c>
      <c r="K204" s="575"/>
      <c r="L204" s="575"/>
      <c r="AB204" s="514"/>
      <c r="AC204" s="514"/>
    </row>
    <row r="205" spans="1:29" ht="49.5" customHeight="1">
      <c r="A205" s="515"/>
      <c r="B205" s="515"/>
      <c r="C205" s="515"/>
      <c r="D205" s="515"/>
      <c r="H205" s="511"/>
      <c r="AB205" s="514"/>
      <c r="AC205" s="514"/>
    </row>
    <row r="206" spans="1:35" s="476" customFormat="1" ht="45" customHeight="1">
      <c r="A206" s="905" t="s">
        <v>374</v>
      </c>
      <c r="B206" s="905"/>
      <c r="C206" s="905"/>
      <c r="D206" s="905"/>
      <c r="E206" s="905"/>
      <c r="F206" s="505"/>
      <c r="G206" s="505"/>
      <c r="H206" s="921" t="s">
        <v>492</v>
      </c>
      <c r="I206" s="922"/>
      <c r="J206" s="923"/>
      <c r="K206" s="500"/>
      <c r="L206" s="921" t="s">
        <v>538</v>
      </c>
      <c r="M206" s="922"/>
      <c r="N206" s="923"/>
      <c r="O206" s="500"/>
      <c r="AB206" s="869" t="str">
        <f>A206</f>
        <v>POÇOS DE VISITA</v>
      </c>
      <c r="AC206" s="870"/>
      <c r="AE206" s="869" t="str">
        <f>H206</f>
        <v>TAMPA PARA POÇOS DE VISITA</v>
      </c>
      <c r="AF206" s="870"/>
      <c r="AH206" s="869" t="str">
        <f>L206</f>
        <v>ALA DE LANÇAMENTO</v>
      </c>
      <c r="AI206" s="870"/>
    </row>
    <row r="207" spans="1:35" ht="49.5" customHeight="1">
      <c r="A207" s="486" t="s">
        <v>6</v>
      </c>
      <c r="B207" s="486" t="s">
        <v>230</v>
      </c>
      <c r="C207" s="904" t="s">
        <v>233</v>
      </c>
      <c r="D207" s="904"/>
      <c r="E207" s="904"/>
      <c r="H207" s="486" t="s">
        <v>6</v>
      </c>
      <c r="I207" s="486" t="s">
        <v>230</v>
      </c>
      <c r="J207" s="510" t="s">
        <v>233</v>
      </c>
      <c r="K207" s="576"/>
      <c r="L207" s="486" t="s">
        <v>6</v>
      </c>
      <c r="M207" s="486" t="s">
        <v>230</v>
      </c>
      <c r="N207" s="510" t="s">
        <v>233</v>
      </c>
      <c r="O207" s="576"/>
      <c r="AB207" s="510" t="s">
        <v>550</v>
      </c>
      <c r="AC207" s="510" t="s">
        <v>23</v>
      </c>
      <c r="AE207" s="510" t="s">
        <v>550</v>
      </c>
      <c r="AF207" s="510" t="s">
        <v>23</v>
      </c>
      <c r="AH207" s="510" t="s">
        <v>550</v>
      </c>
      <c r="AI207" s="510" t="s">
        <v>23</v>
      </c>
    </row>
    <row r="208" spans="1:35" ht="49.5" customHeight="1">
      <c r="A208" s="486">
        <f aca="true" t="shared" si="95" ref="A208:A227">A184</f>
        <v>1</v>
      </c>
      <c r="B208" s="510" t="str">
        <f>DADOS!B12</f>
        <v>R. CANARINHO</v>
      </c>
      <c r="C208" s="899">
        <v>2</v>
      </c>
      <c r="D208" s="900"/>
      <c r="E208" s="901"/>
      <c r="H208" s="486">
        <f aca="true" t="shared" si="96" ref="H208:H227">A208</f>
        <v>1</v>
      </c>
      <c r="I208" s="510" t="str">
        <f aca="true" t="shared" si="97" ref="I208:I227">B208</f>
        <v>R. CANARINHO</v>
      </c>
      <c r="J208" s="516">
        <f aca="true" t="shared" si="98" ref="J208:J227">C208</f>
        <v>2</v>
      </c>
      <c r="K208" s="577"/>
      <c r="L208" s="486">
        <f>H208</f>
        <v>1</v>
      </c>
      <c r="M208" s="510" t="str">
        <f>I208</f>
        <v>R. CANARINHO</v>
      </c>
      <c r="N208" s="516"/>
      <c r="O208" s="577"/>
      <c r="AB208" s="512">
        <f>'ORÇAMENTO GERAL'!$J$100</f>
        <v>7561.81</v>
      </c>
      <c r="AC208" s="512">
        <f aca="true" t="shared" si="99" ref="AC208:AC227">C208*AB208</f>
        <v>15123.62</v>
      </c>
      <c r="AE208" s="512">
        <f>'ORÇAMENTO GERAL'!$J$102</f>
        <v>129.16</v>
      </c>
      <c r="AF208" s="512">
        <f aca="true" t="shared" si="100" ref="AF208:AF227">J208*AE208</f>
        <v>258.32</v>
      </c>
      <c r="AH208" s="512">
        <f>'ORÇAMENTO GERAL'!$J$104</f>
        <v>7647.45</v>
      </c>
      <c r="AI208" s="512">
        <f aca="true" t="shared" si="101" ref="AI208:AI227">N208*AH208</f>
        <v>0</v>
      </c>
    </row>
    <row r="209" spans="1:35" ht="49.5" customHeight="1">
      <c r="A209" s="486">
        <f t="shared" si="95"/>
        <v>2</v>
      </c>
      <c r="B209" s="510" t="str">
        <f>DADOS!B13</f>
        <v>R. SEM NOME 1</v>
      </c>
      <c r="C209" s="899">
        <v>4</v>
      </c>
      <c r="D209" s="900"/>
      <c r="E209" s="901"/>
      <c r="H209" s="486">
        <f t="shared" si="96"/>
        <v>2</v>
      </c>
      <c r="I209" s="510" t="str">
        <f t="shared" si="97"/>
        <v>R. SEM NOME 1</v>
      </c>
      <c r="J209" s="516">
        <f t="shared" si="98"/>
        <v>4</v>
      </c>
      <c r="K209" s="577"/>
      <c r="L209" s="486">
        <f aca="true" t="shared" si="102" ref="L209:L227">H209</f>
        <v>2</v>
      </c>
      <c r="M209" s="510" t="str">
        <f aca="true" t="shared" si="103" ref="M209:M227">I209</f>
        <v>R. SEM NOME 1</v>
      </c>
      <c r="N209" s="516"/>
      <c r="O209" s="577"/>
      <c r="AB209" s="512">
        <f>'ORÇAMENTO GERAL'!$J$100</f>
        <v>7561.81</v>
      </c>
      <c r="AC209" s="512">
        <f t="shared" si="99"/>
        <v>30247.24</v>
      </c>
      <c r="AE209" s="512">
        <f>'ORÇAMENTO GERAL'!$J$102</f>
        <v>129.16</v>
      </c>
      <c r="AF209" s="512">
        <f t="shared" si="100"/>
        <v>516.64</v>
      </c>
      <c r="AH209" s="512">
        <f>'ORÇAMENTO GERAL'!$J$104</f>
        <v>7647.45</v>
      </c>
      <c r="AI209" s="512">
        <f t="shared" si="101"/>
        <v>0</v>
      </c>
    </row>
    <row r="210" spans="1:35" ht="49.5" customHeight="1">
      <c r="A210" s="486">
        <f t="shared" si="95"/>
        <v>3</v>
      </c>
      <c r="B210" s="510" t="str">
        <f>DADOS!B14</f>
        <v>EST. DO CURUÇAMBÁ</v>
      </c>
      <c r="C210" s="899">
        <v>2</v>
      </c>
      <c r="D210" s="900"/>
      <c r="E210" s="901"/>
      <c r="H210" s="486">
        <f t="shared" si="96"/>
        <v>3</v>
      </c>
      <c r="I210" s="510" t="str">
        <f t="shared" si="97"/>
        <v>EST. DO CURUÇAMBÁ</v>
      </c>
      <c r="J210" s="516">
        <f t="shared" si="98"/>
        <v>2</v>
      </c>
      <c r="K210" s="577"/>
      <c r="L210" s="486">
        <f t="shared" si="102"/>
        <v>3</v>
      </c>
      <c r="M210" s="510" t="str">
        <f t="shared" si="103"/>
        <v>EST. DO CURUÇAMBÁ</v>
      </c>
      <c r="N210" s="516">
        <v>1</v>
      </c>
      <c r="O210" s="577"/>
      <c r="AB210" s="512">
        <f>'ORÇAMENTO GERAL'!$J$100</f>
        <v>7561.81</v>
      </c>
      <c r="AC210" s="512">
        <f t="shared" si="99"/>
        <v>15123.62</v>
      </c>
      <c r="AE210" s="512">
        <f>'ORÇAMENTO GERAL'!$J$102</f>
        <v>129.16</v>
      </c>
      <c r="AF210" s="512">
        <f t="shared" si="100"/>
        <v>258.32</v>
      </c>
      <c r="AH210" s="512">
        <f>'ORÇAMENTO GERAL'!$J$104</f>
        <v>7647.45</v>
      </c>
      <c r="AI210" s="512">
        <f t="shared" si="101"/>
        <v>7647.45</v>
      </c>
    </row>
    <row r="211" spans="1:35" ht="49.5" customHeight="1">
      <c r="A211" s="486">
        <f t="shared" si="95"/>
        <v>4</v>
      </c>
      <c r="B211" s="510" t="str">
        <f>DADOS!B15</f>
        <v>PASS. SOL NASCENTE</v>
      </c>
      <c r="C211" s="899">
        <v>2</v>
      </c>
      <c r="D211" s="900"/>
      <c r="E211" s="901"/>
      <c r="H211" s="486">
        <f t="shared" si="96"/>
        <v>4</v>
      </c>
      <c r="I211" s="510" t="str">
        <f t="shared" si="97"/>
        <v>PASS. SOL NASCENTE</v>
      </c>
      <c r="J211" s="516">
        <f t="shared" si="98"/>
        <v>2</v>
      </c>
      <c r="K211" s="577"/>
      <c r="L211" s="486">
        <f t="shared" si="102"/>
        <v>4</v>
      </c>
      <c r="M211" s="510" t="str">
        <f t="shared" si="103"/>
        <v>PASS. SOL NASCENTE</v>
      </c>
      <c r="N211" s="516"/>
      <c r="O211" s="577"/>
      <c r="AB211" s="512">
        <f>'ORÇAMENTO GERAL'!$J$100</f>
        <v>7561.81</v>
      </c>
      <c r="AC211" s="512">
        <f t="shared" si="99"/>
        <v>15123.62</v>
      </c>
      <c r="AE211" s="512">
        <f>'ORÇAMENTO GERAL'!$J$102</f>
        <v>129.16</v>
      </c>
      <c r="AF211" s="512">
        <f t="shared" si="100"/>
        <v>258.32</v>
      </c>
      <c r="AH211" s="512">
        <f>'ORÇAMENTO GERAL'!$J$104</f>
        <v>7647.45</v>
      </c>
      <c r="AI211" s="512">
        <f t="shared" si="101"/>
        <v>0</v>
      </c>
    </row>
    <row r="212" spans="1:35" ht="49.5" customHeight="1">
      <c r="A212" s="486">
        <f t="shared" si="95"/>
        <v>5</v>
      </c>
      <c r="B212" s="510" t="str">
        <f>DADOS!B16</f>
        <v>AL. NOVA ESPERANÇA</v>
      </c>
      <c r="C212" s="899">
        <v>4</v>
      </c>
      <c r="D212" s="900"/>
      <c r="E212" s="901"/>
      <c r="H212" s="486">
        <f t="shared" si="96"/>
        <v>5</v>
      </c>
      <c r="I212" s="510" t="str">
        <f t="shared" si="97"/>
        <v>AL. NOVA ESPERANÇA</v>
      </c>
      <c r="J212" s="516">
        <f t="shared" si="98"/>
        <v>4</v>
      </c>
      <c r="K212" s="577"/>
      <c r="L212" s="486">
        <f t="shared" si="102"/>
        <v>5</v>
      </c>
      <c r="M212" s="510" t="str">
        <f t="shared" si="103"/>
        <v>AL. NOVA ESPERANÇA</v>
      </c>
      <c r="N212" s="516"/>
      <c r="O212" s="577"/>
      <c r="AB212" s="512">
        <f>'ORÇAMENTO GERAL'!$J$100</f>
        <v>7561.81</v>
      </c>
      <c r="AC212" s="512">
        <f t="shared" si="99"/>
        <v>30247.24</v>
      </c>
      <c r="AE212" s="512">
        <f>'ORÇAMENTO GERAL'!$J$102</f>
        <v>129.16</v>
      </c>
      <c r="AF212" s="512">
        <f t="shared" si="100"/>
        <v>516.64</v>
      </c>
      <c r="AH212" s="512">
        <f>'ORÇAMENTO GERAL'!$J$104</f>
        <v>7647.45</v>
      </c>
      <c r="AI212" s="512">
        <f t="shared" si="101"/>
        <v>0</v>
      </c>
    </row>
    <row r="213" spans="1:35" ht="49.5" customHeight="1" hidden="1">
      <c r="A213" s="486">
        <f t="shared" si="95"/>
        <v>6</v>
      </c>
      <c r="B213" s="510">
        <f>DADOS!B17</f>
        <v>0</v>
      </c>
      <c r="C213" s="899"/>
      <c r="D213" s="900"/>
      <c r="E213" s="901"/>
      <c r="H213" s="486">
        <f t="shared" si="96"/>
        <v>6</v>
      </c>
      <c r="I213" s="510">
        <f t="shared" si="97"/>
        <v>0</v>
      </c>
      <c r="J213" s="516">
        <f t="shared" si="98"/>
        <v>0</v>
      </c>
      <c r="K213" s="577"/>
      <c r="L213" s="486">
        <f t="shared" si="102"/>
        <v>6</v>
      </c>
      <c r="M213" s="510">
        <f t="shared" si="103"/>
        <v>0</v>
      </c>
      <c r="N213" s="516"/>
      <c r="O213" s="577"/>
      <c r="AB213" s="512">
        <f>'ORÇAMENTO GERAL'!$J$100</f>
        <v>7561.81</v>
      </c>
      <c r="AC213" s="512">
        <f t="shared" si="99"/>
        <v>0</v>
      </c>
      <c r="AE213" s="512">
        <f>'ORÇAMENTO GERAL'!$J$102</f>
        <v>129.16</v>
      </c>
      <c r="AF213" s="512">
        <f t="shared" si="100"/>
        <v>0</v>
      </c>
      <c r="AH213" s="512">
        <f>'ORÇAMENTO GERAL'!$J$104</f>
        <v>7647.45</v>
      </c>
      <c r="AI213" s="512">
        <f t="shared" si="101"/>
        <v>0</v>
      </c>
    </row>
    <row r="214" spans="1:35" ht="49.5" customHeight="1" hidden="1">
      <c r="A214" s="486">
        <f t="shared" si="95"/>
        <v>7</v>
      </c>
      <c r="B214" s="510">
        <f>DADOS!B18</f>
        <v>0</v>
      </c>
      <c r="C214" s="899"/>
      <c r="D214" s="900"/>
      <c r="E214" s="901"/>
      <c r="H214" s="486">
        <f t="shared" si="96"/>
        <v>7</v>
      </c>
      <c r="I214" s="510">
        <f t="shared" si="97"/>
        <v>0</v>
      </c>
      <c r="J214" s="516">
        <f t="shared" si="98"/>
        <v>0</v>
      </c>
      <c r="K214" s="577"/>
      <c r="L214" s="486">
        <f t="shared" si="102"/>
        <v>7</v>
      </c>
      <c r="M214" s="510">
        <f t="shared" si="103"/>
        <v>0</v>
      </c>
      <c r="N214" s="516"/>
      <c r="O214" s="577"/>
      <c r="AB214" s="512">
        <f>'ORÇAMENTO GERAL'!$J$100</f>
        <v>7561.81</v>
      </c>
      <c r="AC214" s="512">
        <f t="shared" si="99"/>
        <v>0</v>
      </c>
      <c r="AE214" s="512">
        <f>'ORÇAMENTO GERAL'!$J$102</f>
        <v>129.16</v>
      </c>
      <c r="AF214" s="512">
        <f t="shared" si="100"/>
        <v>0</v>
      </c>
      <c r="AH214" s="512">
        <f>'ORÇAMENTO GERAL'!$J$104</f>
        <v>7647.45</v>
      </c>
      <c r="AI214" s="512">
        <f t="shared" si="101"/>
        <v>0</v>
      </c>
    </row>
    <row r="215" spans="1:35" ht="49.5" customHeight="1" hidden="1">
      <c r="A215" s="486">
        <f t="shared" si="95"/>
        <v>8</v>
      </c>
      <c r="B215" s="510">
        <f>DADOS!B19</f>
        <v>0</v>
      </c>
      <c r="C215" s="899"/>
      <c r="D215" s="900"/>
      <c r="E215" s="901"/>
      <c r="H215" s="486">
        <f t="shared" si="96"/>
        <v>8</v>
      </c>
      <c r="I215" s="510">
        <f t="shared" si="97"/>
        <v>0</v>
      </c>
      <c r="J215" s="516">
        <f t="shared" si="98"/>
        <v>0</v>
      </c>
      <c r="K215" s="577"/>
      <c r="L215" s="486">
        <f t="shared" si="102"/>
        <v>8</v>
      </c>
      <c r="M215" s="510">
        <f t="shared" si="103"/>
        <v>0</v>
      </c>
      <c r="N215" s="516"/>
      <c r="O215" s="577"/>
      <c r="AB215" s="512">
        <f>'ORÇAMENTO GERAL'!$J$100</f>
        <v>7561.81</v>
      </c>
      <c r="AC215" s="512">
        <f t="shared" si="99"/>
        <v>0</v>
      </c>
      <c r="AE215" s="512">
        <f>'ORÇAMENTO GERAL'!$J$102</f>
        <v>129.16</v>
      </c>
      <c r="AF215" s="512">
        <f t="shared" si="100"/>
        <v>0</v>
      </c>
      <c r="AH215" s="512">
        <f>'ORÇAMENTO GERAL'!$J$104</f>
        <v>7647.45</v>
      </c>
      <c r="AI215" s="512">
        <f t="shared" si="101"/>
        <v>0</v>
      </c>
    </row>
    <row r="216" spans="1:35" ht="49.5" customHeight="1" hidden="1">
      <c r="A216" s="486">
        <f t="shared" si="95"/>
        <v>9</v>
      </c>
      <c r="B216" s="510">
        <f>DADOS!B20</f>
        <v>0</v>
      </c>
      <c r="C216" s="899"/>
      <c r="D216" s="900"/>
      <c r="E216" s="901"/>
      <c r="H216" s="486">
        <f t="shared" si="96"/>
        <v>9</v>
      </c>
      <c r="I216" s="510">
        <f t="shared" si="97"/>
        <v>0</v>
      </c>
      <c r="J216" s="516">
        <f t="shared" si="98"/>
        <v>0</v>
      </c>
      <c r="K216" s="577"/>
      <c r="L216" s="486">
        <f t="shared" si="102"/>
        <v>9</v>
      </c>
      <c r="M216" s="510">
        <f t="shared" si="103"/>
        <v>0</v>
      </c>
      <c r="N216" s="516"/>
      <c r="O216" s="577"/>
      <c r="AB216" s="512">
        <f>'ORÇAMENTO GERAL'!$J$100</f>
        <v>7561.81</v>
      </c>
      <c r="AC216" s="512">
        <f t="shared" si="99"/>
        <v>0</v>
      </c>
      <c r="AE216" s="512">
        <f>'ORÇAMENTO GERAL'!$J$102</f>
        <v>129.16</v>
      </c>
      <c r="AF216" s="512">
        <f t="shared" si="100"/>
        <v>0</v>
      </c>
      <c r="AH216" s="512">
        <f>'ORÇAMENTO GERAL'!$J$104</f>
        <v>7647.45</v>
      </c>
      <c r="AI216" s="512">
        <f t="shared" si="101"/>
        <v>0</v>
      </c>
    </row>
    <row r="217" spans="1:35" ht="49.5" customHeight="1" hidden="1">
      <c r="A217" s="486">
        <f t="shared" si="95"/>
        <v>10</v>
      </c>
      <c r="B217" s="510">
        <f>DADOS!B21</f>
        <v>0</v>
      </c>
      <c r="C217" s="899"/>
      <c r="D217" s="900"/>
      <c r="E217" s="901"/>
      <c r="H217" s="486">
        <f t="shared" si="96"/>
        <v>10</v>
      </c>
      <c r="I217" s="510">
        <f t="shared" si="97"/>
        <v>0</v>
      </c>
      <c r="J217" s="516">
        <f t="shared" si="98"/>
        <v>0</v>
      </c>
      <c r="K217" s="577"/>
      <c r="L217" s="486">
        <f t="shared" si="102"/>
        <v>10</v>
      </c>
      <c r="M217" s="510">
        <f t="shared" si="103"/>
        <v>0</v>
      </c>
      <c r="N217" s="516"/>
      <c r="O217" s="577"/>
      <c r="AB217" s="512">
        <f>'ORÇAMENTO GERAL'!$J$100</f>
        <v>7561.81</v>
      </c>
      <c r="AC217" s="512">
        <f t="shared" si="99"/>
        <v>0</v>
      </c>
      <c r="AE217" s="512">
        <f>'ORÇAMENTO GERAL'!$J$102</f>
        <v>129.16</v>
      </c>
      <c r="AF217" s="512">
        <f t="shared" si="100"/>
        <v>0</v>
      </c>
      <c r="AH217" s="512">
        <f>'ORÇAMENTO GERAL'!$J$104</f>
        <v>7647.45</v>
      </c>
      <c r="AI217" s="512">
        <f t="shared" si="101"/>
        <v>0</v>
      </c>
    </row>
    <row r="218" spans="1:35" ht="49.5" customHeight="1" hidden="1">
      <c r="A218" s="486">
        <f t="shared" si="95"/>
        <v>11</v>
      </c>
      <c r="B218" s="510">
        <f>DADOS!B22</f>
        <v>0</v>
      </c>
      <c r="C218" s="899"/>
      <c r="D218" s="900"/>
      <c r="E218" s="901"/>
      <c r="H218" s="486">
        <f t="shared" si="96"/>
        <v>11</v>
      </c>
      <c r="I218" s="510">
        <f t="shared" si="97"/>
        <v>0</v>
      </c>
      <c r="J218" s="516">
        <f t="shared" si="98"/>
        <v>0</v>
      </c>
      <c r="K218" s="577"/>
      <c r="L218" s="486">
        <f t="shared" si="102"/>
        <v>11</v>
      </c>
      <c r="M218" s="510">
        <f t="shared" si="103"/>
        <v>0</v>
      </c>
      <c r="N218" s="516"/>
      <c r="O218" s="577"/>
      <c r="AB218" s="512">
        <f>'ORÇAMENTO GERAL'!$J$100</f>
        <v>7561.81</v>
      </c>
      <c r="AC218" s="512">
        <f t="shared" si="99"/>
        <v>0</v>
      </c>
      <c r="AE218" s="512">
        <f>'ORÇAMENTO GERAL'!$J$102</f>
        <v>129.16</v>
      </c>
      <c r="AF218" s="512">
        <f t="shared" si="100"/>
        <v>0</v>
      </c>
      <c r="AH218" s="512">
        <f>'ORÇAMENTO GERAL'!$J$104</f>
        <v>7647.45</v>
      </c>
      <c r="AI218" s="512">
        <f t="shared" si="101"/>
        <v>0</v>
      </c>
    </row>
    <row r="219" spans="1:35" ht="49.5" customHeight="1" hidden="1">
      <c r="A219" s="486">
        <f t="shared" si="95"/>
        <v>12</v>
      </c>
      <c r="B219" s="510">
        <f>DADOS!B23</f>
        <v>0</v>
      </c>
      <c r="C219" s="899"/>
      <c r="D219" s="900"/>
      <c r="E219" s="901"/>
      <c r="H219" s="486">
        <f t="shared" si="96"/>
        <v>12</v>
      </c>
      <c r="I219" s="510">
        <f t="shared" si="97"/>
        <v>0</v>
      </c>
      <c r="J219" s="516">
        <f t="shared" si="98"/>
        <v>0</v>
      </c>
      <c r="K219" s="577"/>
      <c r="L219" s="486">
        <f t="shared" si="102"/>
        <v>12</v>
      </c>
      <c r="M219" s="510">
        <f t="shared" si="103"/>
        <v>0</v>
      </c>
      <c r="N219" s="516"/>
      <c r="O219" s="577"/>
      <c r="AB219" s="512">
        <f>'ORÇAMENTO GERAL'!$J$100</f>
        <v>7561.81</v>
      </c>
      <c r="AC219" s="512">
        <f t="shared" si="99"/>
        <v>0</v>
      </c>
      <c r="AE219" s="512">
        <f>'ORÇAMENTO GERAL'!$J$102</f>
        <v>129.16</v>
      </c>
      <c r="AF219" s="512">
        <f t="shared" si="100"/>
        <v>0</v>
      </c>
      <c r="AH219" s="512">
        <f>'ORÇAMENTO GERAL'!$J$104</f>
        <v>7647.45</v>
      </c>
      <c r="AI219" s="512">
        <f t="shared" si="101"/>
        <v>0</v>
      </c>
    </row>
    <row r="220" spans="1:35" ht="49.5" customHeight="1" hidden="1">
      <c r="A220" s="486">
        <f t="shared" si="95"/>
        <v>13</v>
      </c>
      <c r="B220" s="510">
        <f>DADOS!B24</f>
        <v>0</v>
      </c>
      <c r="C220" s="899"/>
      <c r="D220" s="900"/>
      <c r="E220" s="901"/>
      <c r="H220" s="486">
        <f t="shared" si="96"/>
        <v>13</v>
      </c>
      <c r="I220" s="510">
        <f t="shared" si="97"/>
        <v>0</v>
      </c>
      <c r="J220" s="516">
        <f t="shared" si="98"/>
        <v>0</v>
      </c>
      <c r="K220" s="577"/>
      <c r="L220" s="486">
        <f t="shared" si="102"/>
        <v>13</v>
      </c>
      <c r="M220" s="510">
        <f t="shared" si="103"/>
        <v>0</v>
      </c>
      <c r="N220" s="516"/>
      <c r="O220" s="577"/>
      <c r="AB220" s="512">
        <f>'ORÇAMENTO GERAL'!$J$100</f>
        <v>7561.81</v>
      </c>
      <c r="AC220" s="512">
        <f t="shared" si="99"/>
        <v>0</v>
      </c>
      <c r="AE220" s="512">
        <f>'ORÇAMENTO GERAL'!$J$102</f>
        <v>129.16</v>
      </c>
      <c r="AF220" s="512">
        <f t="shared" si="100"/>
        <v>0</v>
      </c>
      <c r="AH220" s="512">
        <f>'ORÇAMENTO GERAL'!$J$104</f>
        <v>7647.45</v>
      </c>
      <c r="AI220" s="512">
        <f t="shared" si="101"/>
        <v>0</v>
      </c>
    </row>
    <row r="221" spans="1:35" ht="49.5" customHeight="1" hidden="1">
      <c r="A221" s="486">
        <f t="shared" si="95"/>
        <v>14</v>
      </c>
      <c r="B221" s="510">
        <f>DADOS!B25</f>
        <v>0</v>
      </c>
      <c r="C221" s="899"/>
      <c r="D221" s="900"/>
      <c r="E221" s="901"/>
      <c r="H221" s="486">
        <f t="shared" si="96"/>
        <v>14</v>
      </c>
      <c r="I221" s="510">
        <f t="shared" si="97"/>
        <v>0</v>
      </c>
      <c r="J221" s="516">
        <f t="shared" si="98"/>
        <v>0</v>
      </c>
      <c r="K221" s="577"/>
      <c r="L221" s="486">
        <f t="shared" si="102"/>
        <v>14</v>
      </c>
      <c r="M221" s="510">
        <f t="shared" si="103"/>
        <v>0</v>
      </c>
      <c r="N221" s="516"/>
      <c r="O221" s="577"/>
      <c r="AB221" s="512">
        <f>'ORÇAMENTO GERAL'!$J$100</f>
        <v>7561.81</v>
      </c>
      <c r="AC221" s="512">
        <f t="shared" si="99"/>
        <v>0</v>
      </c>
      <c r="AE221" s="512">
        <f>'ORÇAMENTO GERAL'!$J$102</f>
        <v>129.16</v>
      </c>
      <c r="AF221" s="512">
        <f t="shared" si="100"/>
        <v>0</v>
      </c>
      <c r="AH221" s="512">
        <f>'ORÇAMENTO GERAL'!$J$104</f>
        <v>7647.45</v>
      </c>
      <c r="AI221" s="512">
        <f t="shared" si="101"/>
        <v>0</v>
      </c>
    </row>
    <row r="222" spans="1:35" ht="49.5" customHeight="1" hidden="1">
      <c r="A222" s="486">
        <f t="shared" si="95"/>
        <v>15</v>
      </c>
      <c r="B222" s="510">
        <f>DADOS!B26</f>
        <v>0</v>
      </c>
      <c r="C222" s="899"/>
      <c r="D222" s="900"/>
      <c r="E222" s="901"/>
      <c r="H222" s="486">
        <f t="shared" si="96"/>
        <v>15</v>
      </c>
      <c r="I222" s="510">
        <f t="shared" si="97"/>
        <v>0</v>
      </c>
      <c r="J222" s="516">
        <f t="shared" si="98"/>
        <v>0</v>
      </c>
      <c r="K222" s="577"/>
      <c r="L222" s="486">
        <f t="shared" si="102"/>
        <v>15</v>
      </c>
      <c r="M222" s="510">
        <f t="shared" si="103"/>
        <v>0</v>
      </c>
      <c r="N222" s="516"/>
      <c r="O222" s="577"/>
      <c r="AB222" s="512">
        <f>'ORÇAMENTO GERAL'!$J$100</f>
        <v>7561.81</v>
      </c>
      <c r="AC222" s="512">
        <f t="shared" si="99"/>
        <v>0</v>
      </c>
      <c r="AE222" s="512">
        <f>'ORÇAMENTO GERAL'!$J$102</f>
        <v>129.16</v>
      </c>
      <c r="AF222" s="512">
        <f t="shared" si="100"/>
        <v>0</v>
      </c>
      <c r="AH222" s="512">
        <f>'ORÇAMENTO GERAL'!$J$104</f>
        <v>7647.45</v>
      </c>
      <c r="AI222" s="512">
        <f t="shared" si="101"/>
        <v>0</v>
      </c>
    </row>
    <row r="223" spans="1:35" ht="49.5" customHeight="1" hidden="1">
      <c r="A223" s="486">
        <f t="shared" si="95"/>
        <v>16</v>
      </c>
      <c r="B223" s="510">
        <f>DADOS!B27</f>
        <v>0</v>
      </c>
      <c r="C223" s="899"/>
      <c r="D223" s="900"/>
      <c r="E223" s="901"/>
      <c r="H223" s="486">
        <f t="shared" si="96"/>
        <v>16</v>
      </c>
      <c r="I223" s="510">
        <f t="shared" si="97"/>
        <v>0</v>
      </c>
      <c r="J223" s="516">
        <f t="shared" si="98"/>
        <v>0</v>
      </c>
      <c r="K223" s="577"/>
      <c r="L223" s="486">
        <f t="shared" si="102"/>
        <v>16</v>
      </c>
      <c r="M223" s="510">
        <f t="shared" si="103"/>
        <v>0</v>
      </c>
      <c r="N223" s="516"/>
      <c r="O223" s="577"/>
      <c r="AB223" s="512">
        <f>'ORÇAMENTO GERAL'!$J$100</f>
        <v>7561.81</v>
      </c>
      <c r="AC223" s="512">
        <f t="shared" si="99"/>
        <v>0</v>
      </c>
      <c r="AE223" s="512">
        <f>'ORÇAMENTO GERAL'!$J$102</f>
        <v>129.16</v>
      </c>
      <c r="AF223" s="512">
        <f t="shared" si="100"/>
        <v>0</v>
      </c>
      <c r="AH223" s="512">
        <f>'ORÇAMENTO GERAL'!$J$104</f>
        <v>7647.45</v>
      </c>
      <c r="AI223" s="512">
        <f t="shared" si="101"/>
        <v>0</v>
      </c>
    </row>
    <row r="224" spans="1:35" ht="49.5" customHeight="1" hidden="1">
      <c r="A224" s="486">
        <f t="shared" si="95"/>
        <v>17</v>
      </c>
      <c r="B224" s="510">
        <f>DADOS!B28</f>
        <v>0</v>
      </c>
      <c r="C224" s="899"/>
      <c r="D224" s="900"/>
      <c r="E224" s="901"/>
      <c r="H224" s="486">
        <f t="shared" si="96"/>
        <v>17</v>
      </c>
      <c r="I224" s="510">
        <f t="shared" si="97"/>
        <v>0</v>
      </c>
      <c r="J224" s="516">
        <f t="shared" si="98"/>
        <v>0</v>
      </c>
      <c r="K224" s="577"/>
      <c r="L224" s="486">
        <f t="shared" si="102"/>
        <v>17</v>
      </c>
      <c r="M224" s="510">
        <f t="shared" si="103"/>
        <v>0</v>
      </c>
      <c r="N224" s="516"/>
      <c r="O224" s="577"/>
      <c r="AB224" s="512">
        <f>'ORÇAMENTO GERAL'!$J$100</f>
        <v>7561.81</v>
      </c>
      <c r="AC224" s="512">
        <f t="shared" si="99"/>
        <v>0</v>
      </c>
      <c r="AE224" s="512">
        <f>'ORÇAMENTO GERAL'!$J$102</f>
        <v>129.16</v>
      </c>
      <c r="AF224" s="512">
        <f t="shared" si="100"/>
        <v>0</v>
      </c>
      <c r="AH224" s="512">
        <f>'ORÇAMENTO GERAL'!$J$104</f>
        <v>7647.45</v>
      </c>
      <c r="AI224" s="512">
        <f t="shared" si="101"/>
        <v>0</v>
      </c>
    </row>
    <row r="225" spans="1:35" ht="49.5" customHeight="1" hidden="1">
      <c r="A225" s="486">
        <f t="shared" si="95"/>
        <v>18</v>
      </c>
      <c r="B225" s="510">
        <f>DADOS!B29</f>
        <v>0</v>
      </c>
      <c r="C225" s="899"/>
      <c r="D225" s="900"/>
      <c r="E225" s="901"/>
      <c r="H225" s="486">
        <f t="shared" si="96"/>
        <v>18</v>
      </c>
      <c r="I225" s="510">
        <f t="shared" si="97"/>
        <v>0</v>
      </c>
      <c r="J225" s="516">
        <f t="shared" si="98"/>
        <v>0</v>
      </c>
      <c r="K225" s="577"/>
      <c r="L225" s="486">
        <f t="shared" si="102"/>
        <v>18</v>
      </c>
      <c r="M225" s="510">
        <f t="shared" si="103"/>
        <v>0</v>
      </c>
      <c r="N225" s="516"/>
      <c r="O225" s="577"/>
      <c r="AB225" s="512">
        <f>'ORÇAMENTO GERAL'!$J$100</f>
        <v>7561.81</v>
      </c>
      <c r="AC225" s="512">
        <f t="shared" si="99"/>
        <v>0</v>
      </c>
      <c r="AE225" s="512">
        <f>'ORÇAMENTO GERAL'!$J$102</f>
        <v>129.16</v>
      </c>
      <c r="AF225" s="512">
        <f t="shared" si="100"/>
        <v>0</v>
      </c>
      <c r="AH225" s="512">
        <f>'ORÇAMENTO GERAL'!$J$104</f>
        <v>7647.45</v>
      </c>
      <c r="AI225" s="512">
        <f t="shared" si="101"/>
        <v>0</v>
      </c>
    </row>
    <row r="226" spans="1:35" ht="49.5" customHeight="1" hidden="1">
      <c r="A226" s="486">
        <f t="shared" si="95"/>
        <v>19</v>
      </c>
      <c r="B226" s="510">
        <f>DADOS!B30</f>
        <v>0</v>
      </c>
      <c r="C226" s="899"/>
      <c r="D226" s="900"/>
      <c r="E226" s="901"/>
      <c r="H226" s="486">
        <f t="shared" si="96"/>
        <v>19</v>
      </c>
      <c r="I226" s="510">
        <f t="shared" si="97"/>
        <v>0</v>
      </c>
      <c r="J226" s="516">
        <f t="shared" si="98"/>
        <v>0</v>
      </c>
      <c r="K226" s="577"/>
      <c r="L226" s="486">
        <f t="shared" si="102"/>
        <v>19</v>
      </c>
      <c r="M226" s="510">
        <f t="shared" si="103"/>
        <v>0</v>
      </c>
      <c r="N226" s="516"/>
      <c r="O226" s="577"/>
      <c r="AB226" s="512">
        <f>'ORÇAMENTO GERAL'!$J$100</f>
        <v>7561.81</v>
      </c>
      <c r="AC226" s="512">
        <f t="shared" si="99"/>
        <v>0</v>
      </c>
      <c r="AE226" s="512">
        <f>'ORÇAMENTO GERAL'!$J$102</f>
        <v>129.16</v>
      </c>
      <c r="AF226" s="512">
        <f t="shared" si="100"/>
        <v>0</v>
      </c>
      <c r="AH226" s="512">
        <f>'ORÇAMENTO GERAL'!$J$104</f>
        <v>7647.45</v>
      </c>
      <c r="AI226" s="512">
        <f t="shared" si="101"/>
        <v>0</v>
      </c>
    </row>
    <row r="227" spans="1:35" ht="49.5" customHeight="1" hidden="1">
      <c r="A227" s="486">
        <f t="shared" si="95"/>
        <v>20</v>
      </c>
      <c r="B227" s="510">
        <f>DADOS!B31</f>
        <v>0</v>
      </c>
      <c r="C227" s="899"/>
      <c r="D227" s="900"/>
      <c r="E227" s="901"/>
      <c r="H227" s="486">
        <f t="shared" si="96"/>
        <v>20</v>
      </c>
      <c r="I227" s="510">
        <f t="shared" si="97"/>
        <v>0</v>
      </c>
      <c r="J227" s="516">
        <f t="shared" si="98"/>
        <v>0</v>
      </c>
      <c r="K227" s="577"/>
      <c r="L227" s="486">
        <f t="shared" si="102"/>
        <v>20</v>
      </c>
      <c r="M227" s="510">
        <f t="shared" si="103"/>
        <v>0</v>
      </c>
      <c r="N227" s="516"/>
      <c r="O227" s="577"/>
      <c r="AB227" s="512">
        <f>'ORÇAMENTO GERAL'!$J$100</f>
        <v>7561.81</v>
      </c>
      <c r="AC227" s="512">
        <f t="shared" si="99"/>
        <v>0</v>
      </c>
      <c r="AE227" s="512">
        <f>'ORÇAMENTO GERAL'!$J$102</f>
        <v>129.16</v>
      </c>
      <c r="AF227" s="512">
        <f t="shared" si="100"/>
        <v>0</v>
      </c>
      <c r="AH227" s="512">
        <f>'ORÇAMENTO GERAL'!$J$104</f>
        <v>7647.45</v>
      </c>
      <c r="AI227" s="512">
        <f t="shared" si="101"/>
        <v>0</v>
      </c>
    </row>
    <row r="228" spans="1:15" ht="49.5" customHeight="1">
      <c r="A228" s="902" t="s">
        <v>23</v>
      </c>
      <c r="B228" s="902"/>
      <c r="C228" s="903">
        <f>SUM(C208:E227)</f>
        <v>14</v>
      </c>
      <c r="D228" s="903"/>
      <c r="E228" s="903"/>
      <c r="H228" s="752" t="s">
        <v>23</v>
      </c>
      <c r="I228" s="754"/>
      <c r="J228" s="513">
        <f>SUM(J208:J227)</f>
        <v>14</v>
      </c>
      <c r="K228" s="578"/>
      <c r="L228" s="752" t="s">
        <v>23</v>
      </c>
      <c r="M228" s="754"/>
      <c r="N228" s="513">
        <f>SUM(N208:N227)</f>
        <v>1</v>
      </c>
      <c r="O228" s="578"/>
    </row>
    <row r="229" ht="49.5" customHeight="1"/>
    <row r="230" ht="49.5" customHeight="1"/>
    <row r="231" ht="49.5" customHeight="1"/>
    <row r="232" ht="49.5" customHeight="1"/>
    <row r="233" ht="49.5" customHeight="1"/>
    <row r="234" ht="49.5" customHeight="1"/>
    <row r="235" ht="49.5" customHeight="1"/>
    <row r="236" ht="49.5" customHeight="1"/>
  </sheetData>
  <sheetProtection/>
  <mergeCells count="161">
    <mergeCell ref="A182:E182"/>
    <mergeCell ref="C184:E184"/>
    <mergeCell ref="O155:O156"/>
    <mergeCell ref="L155:L157"/>
    <mergeCell ref="H206:J206"/>
    <mergeCell ref="L206:N206"/>
    <mergeCell ref="C187:E187"/>
    <mergeCell ref="F155:H156"/>
    <mergeCell ref="K155:K157"/>
    <mergeCell ref="C191:E191"/>
    <mergeCell ref="A2:Q2"/>
    <mergeCell ref="A3:Q3"/>
    <mergeCell ref="A4:Q4"/>
    <mergeCell ref="C10:Q10"/>
    <mergeCell ref="H182:J182"/>
    <mergeCell ref="A180:B180"/>
    <mergeCell ref="A154:Q154"/>
    <mergeCell ref="A155:A159"/>
    <mergeCell ref="B155:B159"/>
    <mergeCell ref="C155:E156"/>
    <mergeCell ref="C227:E227"/>
    <mergeCell ref="A228:B228"/>
    <mergeCell ref="C228:E228"/>
    <mergeCell ref="C225:E225"/>
    <mergeCell ref="C222:E222"/>
    <mergeCell ref="C223:E223"/>
    <mergeCell ref="P155:P157"/>
    <mergeCell ref="Q155:Q157"/>
    <mergeCell ref="J155:J157"/>
    <mergeCell ref="A152:B152"/>
    <mergeCell ref="B127:B131"/>
    <mergeCell ref="C127:E128"/>
    <mergeCell ref="F127:H128"/>
    <mergeCell ref="K127:K129"/>
    <mergeCell ref="O127:O128"/>
    <mergeCell ref="M127:M129"/>
    <mergeCell ref="N127:N128"/>
    <mergeCell ref="A127:A131"/>
    <mergeCell ref="J127:J129"/>
    <mergeCell ref="A6:Q6"/>
    <mergeCell ref="A7:Q7"/>
    <mergeCell ref="A8:Q8"/>
    <mergeCell ref="A12:Q12"/>
    <mergeCell ref="A14:Q14"/>
    <mergeCell ref="P99:P101"/>
    <mergeCell ref="I15:I17"/>
    <mergeCell ref="A13:Q13"/>
    <mergeCell ref="A15:A19"/>
    <mergeCell ref="B15:B19"/>
    <mergeCell ref="C15:E16"/>
    <mergeCell ref="F15:H16"/>
    <mergeCell ref="P15:P17"/>
    <mergeCell ref="Q15:Q17"/>
    <mergeCell ref="J15:J17"/>
    <mergeCell ref="K15:K17"/>
    <mergeCell ref="L15:L17"/>
    <mergeCell ref="M15:M17"/>
    <mergeCell ref="N15:N16"/>
    <mergeCell ref="O15:O16"/>
    <mergeCell ref="A40:B40"/>
    <mergeCell ref="J71:J73"/>
    <mergeCell ref="P71:P73"/>
    <mergeCell ref="C43:E44"/>
    <mergeCell ref="I43:I45"/>
    <mergeCell ref="A42:Q42"/>
    <mergeCell ref="F43:H44"/>
    <mergeCell ref="Q71:Q73"/>
    <mergeCell ref="B71:B75"/>
    <mergeCell ref="I71:I73"/>
    <mergeCell ref="Q43:Q45"/>
    <mergeCell ref="A43:A47"/>
    <mergeCell ref="B43:B47"/>
    <mergeCell ref="F71:H72"/>
    <mergeCell ref="O43:O44"/>
    <mergeCell ref="M71:M73"/>
    <mergeCell ref="P43:P45"/>
    <mergeCell ref="N71:N72"/>
    <mergeCell ref="O71:O72"/>
    <mergeCell ref="C192:E192"/>
    <mergeCell ref="I155:I157"/>
    <mergeCell ref="C183:E183"/>
    <mergeCell ref="L127:L129"/>
    <mergeCell ref="I127:I129"/>
    <mergeCell ref="L71:L73"/>
    <mergeCell ref="C71:E72"/>
    <mergeCell ref="C185:E185"/>
    <mergeCell ref="C186:E186"/>
    <mergeCell ref="C195:E195"/>
    <mergeCell ref="C200:E200"/>
    <mergeCell ref="C203:E203"/>
    <mergeCell ref="C198:E198"/>
    <mergeCell ref="C199:E199"/>
    <mergeCell ref="C202:E202"/>
    <mergeCell ref="C207:E207"/>
    <mergeCell ref="A206:E206"/>
    <mergeCell ref="C218:E218"/>
    <mergeCell ref="C210:E210"/>
    <mergeCell ref="C209:E209"/>
    <mergeCell ref="C208:E208"/>
    <mergeCell ref="C211:E211"/>
    <mergeCell ref="C212:E212"/>
    <mergeCell ref="C213:E213"/>
    <mergeCell ref="C214:E214"/>
    <mergeCell ref="A204:B204"/>
    <mergeCell ref="C204:E204"/>
    <mergeCell ref="C201:E201"/>
    <mergeCell ref="C190:E190"/>
    <mergeCell ref="C188:E188"/>
    <mergeCell ref="C189:E189"/>
    <mergeCell ref="C196:E196"/>
    <mergeCell ref="C197:E197"/>
    <mergeCell ref="C193:E193"/>
    <mergeCell ref="C194:E194"/>
    <mergeCell ref="C215:E215"/>
    <mergeCell ref="C226:E226"/>
    <mergeCell ref="C220:E220"/>
    <mergeCell ref="C221:E221"/>
    <mergeCell ref="C216:E216"/>
    <mergeCell ref="C224:E224"/>
    <mergeCell ref="C219:E219"/>
    <mergeCell ref="C217:E217"/>
    <mergeCell ref="A68:B68"/>
    <mergeCell ref="K71:K73"/>
    <mergeCell ref="L43:L45"/>
    <mergeCell ref="A96:B96"/>
    <mergeCell ref="F99:H100"/>
    <mergeCell ref="K99:K101"/>
    <mergeCell ref="J43:J45"/>
    <mergeCell ref="A70:Q70"/>
    <mergeCell ref="J99:J101"/>
    <mergeCell ref="A71:A75"/>
    <mergeCell ref="AH206:AI206"/>
    <mergeCell ref="AE182:AF182"/>
    <mergeCell ref="AB206:AC206"/>
    <mergeCell ref="S18:AC18"/>
    <mergeCell ref="S46:AC46"/>
    <mergeCell ref="S74:AC74"/>
    <mergeCell ref="AE206:AF206"/>
    <mergeCell ref="S102:AC102"/>
    <mergeCell ref="S130:AC130"/>
    <mergeCell ref="S158:AC158"/>
    <mergeCell ref="M43:M45"/>
    <mergeCell ref="N43:N44"/>
    <mergeCell ref="A98:Q98"/>
    <mergeCell ref="I99:I101"/>
    <mergeCell ref="K43:K45"/>
    <mergeCell ref="A126:Q126"/>
    <mergeCell ref="A124:B124"/>
    <mergeCell ref="L99:L101"/>
    <mergeCell ref="A99:A103"/>
    <mergeCell ref="B99:B103"/>
    <mergeCell ref="AB182:AC182"/>
    <mergeCell ref="M99:M101"/>
    <mergeCell ref="N99:N100"/>
    <mergeCell ref="O99:O100"/>
    <mergeCell ref="Q99:Q101"/>
    <mergeCell ref="C99:E100"/>
    <mergeCell ref="P127:P129"/>
    <mergeCell ref="Q127:Q129"/>
    <mergeCell ref="M155:M157"/>
    <mergeCell ref="N155:N156"/>
  </mergeCells>
  <conditionalFormatting sqref="A40 R37:R40 Q20:R20 R21 K20:K39 M20:N39 Q21:Q39 C40:Q40 C68:R68 C96:R96 C124:R124 C152:R152 C180:R180 B20:H39">
    <cfRule type="cellIs" priority="622" dxfId="45" operator="equal" stopIfTrue="1">
      <formula>0</formula>
    </cfRule>
  </conditionalFormatting>
  <conditionalFormatting sqref="A40 R37:R40 Q20:R20 R21 K20:K39 M20:N39 Q21:Q39 C40:Q40 C68:R68 C96:R96 C124:R124 C152:R152 C180:R180 B20:H39">
    <cfRule type="cellIs" priority="621" dxfId="0" operator="equal">
      <formula>0</formula>
    </cfRule>
  </conditionalFormatting>
  <conditionalFormatting sqref="A20:A39">
    <cfRule type="cellIs" priority="619" dxfId="0" operator="equal">
      <formula>0</formula>
    </cfRule>
    <cfRule type="cellIs" priority="620" dxfId="140" operator="equal">
      <formula>0</formula>
    </cfRule>
  </conditionalFormatting>
  <conditionalFormatting sqref="R62:R65 R67 R48:R49 F48:F67">
    <cfRule type="cellIs" priority="588" dxfId="45" operator="equal" stopIfTrue="1">
      <formula>0</formula>
    </cfRule>
  </conditionalFormatting>
  <conditionalFormatting sqref="R62:R65 R67 R48:R49 F48:F67">
    <cfRule type="cellIs" priority="587" dxfId="0" operator="equal">
      <formula>0</formula>
    </cfRule>
  </conditionalFormatting>
  <conditionalFormatting sqref="R95 R76:R78 F76:F95">
    <cfRule type="cellIs" priority="566" dxfId="45" operator="equal" stopIfTrue="1">
      <formula>0</formula>
    </cfRule>
  </conditionalFormatting>
  <conditionalFormatting sqref="R95 R76:R78 F76:F95">
    <cfRule type="cellIs" priority="565" dxfId="0" operator="equal">
      <formula>0</formula>
    </cfRule>
  </conditionalFormatting>
  <conditionalFormatting sqref="R104:R109 F104:F123">
    <cfRule type="cellIs" priority="544" dxfId="45" operator="equal" stopIfTrue="1">
      <formula>0</formula>
    </cfRule>
  </conditionalFormatting>
  <conditionalFormatting sqref="R104:R109 F104:F123">
    <cfRule type="cellIs" priority="543" dxfId="0" operator="equal">
      <formula>0</formula>
    </cfRule>
  </conditionalFormatting>
  <conditionalFormatting sqref="A48:A67">
    <cfRule type="cellIs" priority="497" dxfId="0" operator="equal">
      <formula>0</formula>
    </cfRule>
    <cfRule type="cellIs" priority="498" dxfId="140" operator="equal">
      <formula>0</formula>
    </cfRule>
  </conditionalFormatting>
  <conditionalFormatting sqref="C104:C123 E104:E123">
    <cfRule type="cellIs" priority="506" dxfId="45" operator="equal" stopIfTrue="1">
      <formula>0</formula>
    </cfRule>
  </conditionalFormatting>
  <conditionalFormatting sqref="C104:C123 E104:E123">
    <cfRule type="cellIs" priority="505" dxfId="0" operator="equal">
      <formula>0</formula>
    </cfRule>
  </conditionalFormatting>
  <conditionalFormatting sqref="C48:E67">
    <cfRule type="cellIs" priority="510" dxfId="45" operator="equal" stopIfTrue="1">
      <formula>0</formula>
    </cfRule>
  </conditionalFormatting>
  <conditionalFormatting sqref="C48:E67">
    <cfRule type="cellIs" priority="509" dxfId="0" operator="equal">
      <formula>0</formula>
    </cfRule>
  </conditionalFormatting>
  <conditionalFormatting sqref="C76:C95 E76:E95">
    <cfRule type="cellIs" priority="508" dxfId="45" operator="equal" stopIfTrue="1">
      <formula>0</formula>
    </cfRule>
  </conditionalFormatting>
  <conditionalFormatting sqref="C76:C95 E76:E95">
    <cfRule type="cellIs" priority="507" dxfId="0" operator="equal">
      <formula>0</formula>
    </cfRule>
  </conditionalFormatting>
  <conditionalFormatting sqref="A68 B48:B67">
    <cfRule type="cellIs" priority="500" dxfId="45" operator="equal" stopIfTrue="1">
      <formula>0</formula>
    </cfRule>
  </conditionalFormatting>
  <conditionalFormatting sqref="A68 B48:B67">
    <cfRule type="cellIs" priority="499" dxfId="0" operator="equal">
      <formula>0</formula>
    </cfRule>
  </conditionalFormatting>
  <conditionalFormatting sqref="A96 B76:B95">
    <cfRule type="cellIs" priority="492" dxfId="45" operator="equal" stopIfTrue="1">
      <formula>0</formula>
    </cfRule>
  </conditionalFormatting>
  <conditionalFormatting sqref="A96 B76:B95">
    <cfRule type="cellIs" priority="491" dxfId="0" operator="equal">
      <formula>0</formula>
    </cfRule>
  </conditionalFormatting>
  <conditionalFormatting sqref="A76:A95">
    <cfRule type="cellIs" priority="489" dxfId="0" operator="equal">
      <formula>0</formula>
    </cfRule>
    <cfRule type="cellIs" priority="490" dxfId="140" operator="equal">
      <formula>0</formula>
    </cfRule>
  </conditionalFormatting>
  <conditionalFormatting sqref="A124 B104:B123">
    <cfRule type="cellIs" priority="484" dxfId="45" operator="equal" stopIfTrue="1">
      <formula>0</formula>
    </cfRule>
  </conditionalFormatting>
  <conditionalFormatting sqref="A124 B104:B123">
    <cfRule type="cellIs" priority="483" dxfId="0" operator="equal">
      <formula>0</formula>
    </cfRule>
  </conditionalFormatting>
  <conditionalFormatting sqref="A104:A123">
    <cfRule type="cellIs" priority="481" dxfId="0" operator="equal">
      <formula>0</formula>
    </cfRule>
    <cfRule type="cellIs" priority="482" dxfId="140" operator="equal">
      <formula>0</formula>
    </cfRule>
  </conditionalFormatting>
  <conditionalFormatting sqref="R22:R26">
    <cfRule type="cellIs" priority="476" dxfId="45" operator="equal" stopIfTrue="1">
      <formula>0</formula>
    </cfRule>
  </conditionalFormatting>
  <conditionalFormatting sqref="R22:R26">
    <cfRule type="cellIs" priority="475" dxfId="0" operator="equal">
      <formula>0</formula>
    </cfRule>
  </conditionalFormatting>
  <conditionalFormatting sqref="R27:R30 R36">
    <cfRule type="cellIs" priority="470" dxfId="45" operator="equal" stopIfTrue="1">
      <formula>0</formula>
    </cfRule>
  </conditionalFormatting>
  <conditionalFormatting sqref="R27:R30 R36">
    <cfRule type="cellIs" priority="469" dxfId="0" operator="equal">
      <formula>0</formula>
    </cfRule>
  </conditionalFormatting>
  <conditionalFormatting sqref="R32:R35">
    <cfRule type="cellIs" priority="464" dxfId="45" operator="equal" stopIfTrue="1">
      <formula>0</formula>
    </cfRule>
  </conditionalFormatting>
  <conditionalFormatting sqref="R32:R35">
    <cfRule type="cellIs" priority="463" dxfId="0" operator="equal">
      <formula>0</formula>
    </cfRule>
  </conditionalFormatting>
  <conditionalFormatting sqref="R31">
    <cfRule type="cellIs" priority="458" dxfId="45" operator="equal" stopIfTrue="1">
      <formula>0</formula>
    </cfRule>
  </conditionalFormatting>
  <conditionalFormatting sqref="R31">
    <cfRule type="cellIs" priority="457" dxfId="0" operator="equal">
      <formula>0</formula>
    </cfRule>
  </conditionalFormatting>
  <conditionalFormatting sqref="R58:R61">
    <cfRule type="cellIs" priority="454" dxfId="45" operator="equal" stopIfTrue="1">
      <formula>0</formula>
    </cfRule>
  </conditionalFormatting>
  <conditionalFormatting sqref="R58:R61">
    <cfRule type="cellIs" priority="453" dxfId="0" operator="equal">
      <formula>0</formula>
    </cfRule>
  </conditionalFormatting>
  <conditionalFormatting sqref="R54:R57">
    <cfRule type="cellIs" priority="444" dxfId="45" operator="equal" stopIfTrue="1">
      <formula>0</formula>
    </cfRule>
  </conditionalFormatting>
  <conditionalFormatting sqref="R54:R57">
    <cfRule type="cellIs" priority="443" dxfId="0" operator="equal">
      <formula>0</formula>
    </cfRule>
  </conditionalFormatting>
  <conditionalFormatting sqref="R50:R53">
    <cfRule type="cellIs" priority="434" dxfId="45" operator="equal" stopIfTrue="1">
      <formula>0</formula>
    </cfRule>
  </conditionalFormatting>
  <conditionalFormatting sqref="R50:R53">
    <cfRule type="cellIs" priority="433" dxfId="0" operator="equal">
      <formula>0</formula>
    </cfRule>
  </conditionalFormatting>
  <conditionalFormatting sqref="R66">
    <cfRule type="cellIs" priority="424" dxfId="45" operator="equal" stopIfTrue="1">
      <formula>0</formula>
    </cfRule>
  </conditionalFormatting>
  <conditionalFormatting sqref="R66">
    <cfRule type="cellIs" priority="423" dxfId="0" operator="equal">
      <formula>0</formula>
    </cfRule>
  </conditionalFormatting>
  <conditionalFormatting sqref="R91:R94">
    <cfRule type="cellIs" priority="414" dxfId="45" operator="equal" stopIfTrue="1">
      <formula>0</formula>
    </cfRule>
  </conditionalFormatting>
  <conditionalFormatting sqref="R91:R94">
    <cfRule type="cellIs" priority="413" dxfId="0" operator="equal">
      <formula>0</formula>
    </cfRule>
  </conditionalFormatting>
  <conditionalFormatting sqref="R87:R90">
    <cfRule type="cellIs" priority="404" dxfId="45" operator="equal" stopIfTrue="1">
      <formula>0</formula>
    </cfRule>
  </conditionalFormatting>
  <conditionalFormatting sqref="R87:R90">
    <cfRule type="cellIs" priority="403" dxfId="0" operator="equal">
      <formula>0</formula>
    </cfRule>
  </conditionalFormatting>
  <conditionalFormatting sqref="R83:R86">
    <cfRule type="cellIs" priority="394" dxfId="45" operator="equal" stopIfTrue="1">
      <formula>0</formula>
    </cfRule>
  </conditionalFormatting>
  <conditionalFormatting sqref="R83:R86">
    <cfRule type="cellIs" priority="393" dxfId="0" operator="equal">
      <formula>0</formula>
    </cfRule>
  </conditionalFormatting>
  <conditionalFormatting sqref="R79:R82">
    <cfRule type="cellIs" priority="384" dxfId="45" operator="equal" stopIfTrue="1">
      <formula>0</formula>
    </cfRule>
  </conditionalFormatting>
  <conditionalFormatting sqref="R79:R82">
    <cfRule type="cellIs" priority="383" dxfId="0" operator="equal">
      <formula>0</formula>
    </cfRule>
  </conditionalFormatting>
  <conditionalFormatting sqref="R110:R114">
    <cfRule type="cellIs" priority="374" dxfId="45" operator="equal" stopIfTrue="1">
      <formula>0</formula>
    </cfRule>
  </conditionalFormatting>
  <conditionalFormatting sqref="R110:R114">
    <cfRule type="cellIs" priority="373" dxfId="0" operator="equal">
      <formula>0</formula>
    </cfRule>
  </conditionalFormatting>
  <conditionalFormatting sqref="R120:R123">
    <cfRule type="cellIs" priority="364" dxfId="45" operator="equal" stopIfTrue="1">
      <formula>0</formula>
    </cfRule>
  </conditionalFormatting>
  <conditionalFormatting sqref="R120:R123">
    <cfRule type="cellIs" priority="363" dxfId="0" operator="equal">
      <formula>0</formula>
    </cfRule>
  </conditionalFormatting>
  <conditionalFormatting sqref="R115:R119">
    <cfRule type="cellIs" priority="354" dxfId="45" operator="equal" stopIfTrue="1">
      <formula>0</formula>
    </cfRule>
  </conditionalFormatting>
  <conditionalFormatting sqref="R115:R119">
    <cfRule type="cellIs" priority="353" dxfId="0" operator="equal">
      <formula>0</formula>
    </cfRule>
  </conditionalFormatting>
  <conditionalFormatting sqref="R132:R137 F132:F151">
    <cfRule type="cellIs" priority="338" dxfId="45" operator="equal" stopIfTrue="1">
      <formula>0</formula>
    </cfRule>
  </conditionalFormatting>
  <conditionalFormatting sqref="R132:R137 F132:F151">
    <cfRule type="cellIs" priority="337" dxfId="0" operator="equal">
      <formula>0</formula>
    </cfRule>
  </conditionalFormatting>
  <conditionalFormatting sqref="C132:C151 E132:E151">
    <cfRule type="cellIs" priority="334" dxfId="45" operator="equal" stopIfTrue="1">
      <formula>0</formula>
    </cfRule>
  </conditionalFormatting>
  <conditionalFormatting sqref="C132:C151 E132:E151">
    <cfRule type="cellIs" priority="333" dxfId="0" operator="equal">
      <formula>0</formula>
    </cfRule>
  </conditionalFormatting>
  <conditionalFormatting sqref="A152 B132:B151">
    <cfRule type="cellIs" priority="332" dxfId="45" operator="equal" stopIfTrue="1">
      <formula>0</formula>
    </cfRule>
  </conditionalFormatting>
  <conditionalFormatting sqref="A152 B132:B151">
    <cfRule type="cellIs" priority="331" dxfId="0" operator="equal">
      <formula>0</formula>
    </cfRule>
  </conditionalFormatting>
  <conditionalFormatting sqref="A132:A151">
    <cfRule type="cellIs" priority="329" dxfId="0" operator="equal">
      <formula>0</formula>
    </cfRule>
    <cfRule type="cellIs" priority="330" dxfId="140" operator="equal">
      <formula>0</formula>
    </cfRule>
  </conditionalFormatting>
  <conditionalFormatting sqref="R138:R142">
    <cfRule type="cellIs" priority="328" dxfId="45" operator="equal" stopIfTrue="1">
      <formula>0</formula>
    </cfRule>
  </conditionalFormatting>
  <conditionalFormatting sqref="R138:R142">
    <cfRule type="cellIs" priority="327" dxfId="0" operator="equal">
      <formula>0</formula>
    </cfRule>
  </conditionalFormatting>
  <conditionalFormatting sqref="R148:R151">
    <cfRule type="cellIs" priority="324" dxfId="45" operator="equal" stopIfTrue="1">
      <formula>0</formula>
    </cfRule>
  </conditionalFormatting>
  <conditionalFormatting sqref="R148:R151">
    <cfRule type="cellIs" priority="323" dxfId="0" operator="equal">
      <formula>0</formula>
    </cfRule>
  </conditionalFormatting>
  <conditionalFormatting sqref="R143:R147">
    <cfRule type="cellIs" priority="320" dxfId="45" operator="equal" stopIfTrue="1">
      <formula>0</formula>
    </cfRule>
  </conditionalFormatting>
  <conditionalFormatting sqref="R143:R147">
    <cfRule type="cellIs" priority="319" dxfId="0" operator="equal">
      <formula>0</formula>
    </cfRule>
  </conditionalFormatting>
  <conditionalFormatting sqref="R160:R165 F160:F179">
    <cfRule type="cellIs" priority="314" dxfId="45" operator="equal" stopIfTrue="1">
      <formula>0</formula>
    </cfRule>
  </conditionalFormatting>
  <conditionalFormatting sqref="R160:R165 F160:F179">
    <cfRule type="cellIs" priority="313" dxfId="0" operator="equal">
      <formula>0</formula>
    </cfRule>
  </conditionalFormatting>
  <conditionalFormatting sqref="C160:C179 E160:E179">
    <cfRule type="cellIs" priority="310" dxfId="45" operator="equal" stopIfTrue="1">
      <formula>0</formula>
    </cfRule>
  </conditionalFormatting>
  <conditionalFormatting sqref="C160:C179 E160:E179">
    <cfRule type="cellIs" priority="309" dxfId="0" operator="equal">
      <formula>0</formula>
    </cfRule>
  </conditionalFormatting>
  <conditionalFormatting sqref="A180 B160:B179">
    <cfRule type="cellIs" priority="308" dxfId="45" operator="equal" stopIfTrue="1">
      <formula>0</formula>
    </cfRule>
  </conditionalFormatting>
  <conditionalFormatting sqref="A180 B160:B179">
    <cfRule type="cellIs" priority="307" dxfId="0" operator="equal">
      <formula>0</formula>
    </cfRule>
  </conditionalFormatting>
  <conditionalFormatting sqref="A160:A179">
    <cfRule type="cellIs" priority="305" dxfId="0" operator="equal">
      <formula>0</formula>
    </cfRule>
    <cfRule type="cellIs" priority="306" dxfId="140" operator="equal">
      <formula>0</formula>
    </cfRule>
  </conditionalFormatting>
  <conditionalFormatting sqref="R166:R170">
    <cfRule type="cellIs" priority="304" dxfId="45" operator="equal" stopIfTrue="1">
      <formula>0</formula>
    </cfRule>
  </conditionalFormatting>
  <conditionalFormatting sqref="R166:R170">
    <cfRule type="cellIs" priority="303" dxfId="0" operator="equal">
      <formula>0</formula>
    </cfRule>
  </conditionalFormatting>
  <conditionalFormatting sqref="R176:R179">
    <cfRule type="cellIs" priority="300" dxfId="45" operator="equal" stopIfTrue="1">
      <formula>0</formula>
    </cfRule>
  </conditionalFormatting>
  <conditionalFormatting sqref="R176:R179">
    <cfRule type="cellIs" priority="299" dxfId="0" operator="equal">
      <formula>0</formula>
    </cfRule>
  </conditionalFormatting>
  <conditionalFormatting sqref="R171:R175">
    <cfRule type="cellIs" priority="296" dxfId="45" operator="equal" stopIfTrue="1">
      <formula>0</formula>
    </cfRule>
  </conditionalFormatting>
  <conditionalFormatting sqref="R171:R175">
    <cfRule type="cellIs" priority="295" dxfId="0" operator="equal">
      <formula>0</formula>
    </cfRule>
  </conditionalFormatting>
  <conditionalFormatting sqref="I20:I39">
    <cfRule type="cellIs" priority="290" dxfId="45" operator="equal" stopIfTrue="1">
      <formula>0</formula>
    </cfRule>
  </conditionalFormatting>
  <conditionalFormatting sqref="I20:I39">
    <cfRule type="cellIs" priority="289" dxfId="0" operator="equal">
      <formula>0</formula>
    </cfRule>
  </conditionalFormatting>
  <conditionalFormatting sqref="L20:L39">
    <cfRule type="cellIs" priority="276" dxfId="45" operator="equal" stopIfTrue="1">
      <formula>0</formula>
    </cfRule>
  </conditionalFormatting>
  <conditionalFormatting sqref="L20:L39">
    <cfRule type="cellIs" priority="275" dxfId="0" operator="equal">
      <formula>0</formula>
    </cfRule>
  </conditionalFormatting>
  <conditionalFormatting sqref="J20:J39">
    <cfRule type="cellIs" priority="254" dxfId="45" operator="equal" stopIfTrue="1">
      <formula>0</formula>
    </cfRule>
  </conditionalFormatting>
  <conditionalFormatting sqref="J20:J39">
    <cfRule type="cellIs" priority="253" dxfId="0" operator="equal">
      <formula>0</formula>
    </cfRule>
  </conditionalFormatting>
  <conditionalFormatting sqref="O20:O39">
    <cfRule type="cellIs" priority="202" dxfId="45" operator="equal" stopIfTrue="1">
      <formula>0</formula>
    </cfRule>
  </conditionalFormatting>
  <conditionalFormatting sqref="O20:O39">
    <cfRule type="cellIs" priority="201" dxfId="0" operator="equal">
      <formula>0</formula>
    </cfRule>
  </conditionalFormatting>
  <conditionalFormatting sqref="O48:O67">
    <cfRule type="cellIs" priority="94" dxfId="45" operator="equal" stopIfTrue="1">
      <formula>0</formula>
    </cfRule>
  </conditionalFormatting>
  <conditionalFormatting sqref="O48:O67">
    <cfRule type="cellIs" priority="93" dxfId="0" operator="equal">
      <formula>0</formula>
    </cfRule>
  </conditionalFormatting>
  <conditionalFormatting sqref="K76:K95 Q76:Q95 M76:N95">
    <cfRule type="cellIs" priority="90" dxfId="45" operator="equal" stopIfTrue="1">
      <formula>0</formula>
    </cfRule>
  </conditionalFormatting>
  <conditionalFormatting sqref="K76:K95 Q76:Q95 M76:N95">
    <cfRule type="cellIs" priority="89" dxfId="0" operator="equal">
      <formula>0</formula>
    </cfRule>
  </conditionalFormatting>
  <conditionalFormatting sqref="I76:I95">
    <cfRule type="cellIs" priority="88" dxfId="45" operator="equal" stopIfTrue="1">
      <formula>0</formula>
    </cfRule>
  </conditionalFormatting>
  <conditionalFormatting sqref="I76:I95">
    <cfRule type="cellIs" priority="87" dxfId="0" operator="equal">
      <formula>0</formula>
    </cfRule>
  </conditionalFormatting>
  <conditionalFormatting sqref="L76:L95">
    <cfRule type="cellIs" priority="86" dxfId="45" operator="equal" stopIfTrue="1">
      <formula>0</formula>
    </cfRule>
  </conditionalFormatting>
  <conditionalFormatting sqref="L76:L95">
    <cfRule type="cellIs" priority="85" dxfId="0" operator="equal">
      <formula>0</formula>
    </cfRule>
  </conditionalFormatting>
  <conditionalFormatting sqref="J48:J67">
    <cfRule type="cellIs" priority="96" dxfId="45" operator="equal" stopIfTrue="1">
      <formula>0</formula>
    </cfRule>
  </conditionalFormatting>
  <conditionalFormatting sqref="J48:J67">
    <cfRule type="cellIs" priority="95" dxfId="0" operator="equal">
      <formula>0</formula>
    </cfRule>
  </conditionalFormatting>
  <conditionalFormatting sqref="L48:L67">
    <cfRule type="cellIs" priority="98" dxfId="45" operator="equal" stopIfTrue="1">
      <formula>0</formula>
    </cfRule>
  </conditionalFormatting>
  <conditionalFormatting sqref="L48:L67">
    <cfRule type="cellIs" priority="97" dxfId="0" operator="equal">
      <formula>0</formula>
    </cfRule>
  </conditionalFormatting>
  <conditionalFormatting sqref="I48:I67">
    <cfRule type="cellIs" priority="100" dxfId="45" operator="equal" stopIfTrue="1">
      <formula>0</formula>
    </cfRule>
  </conditionalFormatting>
  <conditionalFormatting sqref="I48:I67">
    <cfRule type="cellIs" priority="99" dxfId="0" operator="equal">
      <formula>0</formula>
    </cfRule>
  </conditionalFormatting>
  <conditionalFormatting sqref="K48:K67 Q48:Q67 M48:N67 H48:H67">
    <cfRule type="cellIs" priority="102" dxfId="45" operator="equal" stopIfTrue="1">
      <formula>0</formula>
    </cfRule>
  </conditionalFormatting>
  <conditionalFormatting sqref="K48:K67 Q48:Q67 M48:N67 H48:H67">
    <cfRule type="cellIs" priority="101" dxfId="0" operator="equal">
      <formula>0</formula>
    </cfRule>
  </conditionalFormatting>
  <conditionalFormatting sqref="P20:P39">
    <cfRule type="cellIs" priority="104" dxfId="45" operator="equal" stopIfTrue="1">
      <formula>0</formula>
    </cfRule>
  </conditionalFormatting>
  <conditionalFormatting sqref="P20:P39">
    <cfRule type="cellIs" priority="103" dxfId="0" operator="equal">
      <formula>0</formula>
    </cfRule>
  </conditionalFormatting>
  <conditionalFormatting sqref="J76:J95">
    <cfRule type="cellIs" priority="84" dxfId="45" operator="equal" stopIfTrue="1">
      <formula>0</formula>
    </cfRule>
  </conditionalFormatting>
  <conditionalFormatting sqref="J76:J95">
    <cfRule type="cellIs" priority="83" dxfId="0" operator="equal">
      <formula>0</formula>
    </cfRule>
  </conditionalFormatting>
  <conditionalFormatting sqref="O76:O95">
    <cfRule type="cellIs" priority="82" dxfId="45" operator="equal" stopIfTrue="1">
      <formula>0</formula>
    </cfRule>
  </conditionalFormatting>
  <conditionalFormatting sqref="O76:O95">
    <cfRule type="cellIs" priority="81" dxfId="0" operator="equal">
      <formula>0</formula>
    </cfRule>
  </conditionalFormatting>
  <conditionalFormatting sqref="K104:K123 Q104:Q123 M104:N123 H104:H123">
    <cfRule type="cellIs" priority="78" dxfId="45" operator="equal" stopIfTrue="1">
      <formula>0</formula>
    </cfRule>
  </conditionalFormatting>
  <conditionalFormatting sqref="K104:K123 Q104:Q123 M104:N123 H104:H123">
    <cfRule type="cellIs" priority="77" dxfId="0" operator="equal">
      <formula>0</formula>
    </cfRule>
  </conditionalFormatting>
  <conditionalFormatting sqref="I104:I123">
    <cfRule type="cellIs" priority="76" dxfId="45" operator="equal" stopIfTrue="1">
      <formula>0</formula>
    </cfRule>
  </conditionalFormatting>
  <conditionalFormatting sqref="I104:I123">
    <cfRule type="cellIs" priority="75" dxfId="0" operator="equal">
      <formula>0</formula>
    </cfRule>
  </conditionalFormatting>
  <conditionalFormatting sqref="L104:L123">
    <cfRule type="cellIs" priority="74" dxfId="45" operator="equal" stopIfTrue="1">
      <formula>0</formula>
    </cfRule>
  </conditionalFormatting>
  <conditionalFormatting sqref="L104:L123">
    <cfRule type="cellIs" priority="73" dxfId="0" operator="equal">
      <formula>0</formula>
    </cfRule>
  </conditionalFormatting>
  <conditionalFormatting sqref="J104:J123">
    <cfRule type="cellIs" priority="72" dxfId="45" operator="equal" stopIfTrue="1">
      <formula>0</formula>
    </cfRule>
  </conditionalFormatting>
  <conditionalFormatting sqref="J104:J123">
    <cfRule type="cellIs" priority="71" dxfId="0" operator="equal">
      <formula>0</formula>
    </cfRule>
  </conditionalFormatting>
  <conditionalFormatting sqref="O104:O123">
    <cfRule type="cellIs" priority="70" dxfId="45" operator="equal" stopIfTrue="1">
      <formula>0</formula>
    </cfRule>
  </conditionalFormatting>
  <conditionalFormatting sqref="O104:O123">
    <cfRule type="cellIs" priority="69" dxfId="0" operator="equal">
      <formula>0</formula>
    </cfRule>
  </conditionalFormatting>
  <conditionalFormatting sqref="K132:K151 Q132:Q151 M132:N151 H132:H151">
    <cfRule type="cellIs" priority="66" dxfId="45" operator="equal" stopIfTrue="1">
      <formula>0</formula>
    </cfRule>
  </conditionalFormatting>
  <conditionalFormatting sqref="K132:K151 Q132:Q151 M132:N151 H132:H151">
    <cfRule type="cellIs" priority="65" dxfId="0" operator="equal">
      <formula>0</formula>
    </cfRule>
  </conditionalFormatting>
  <conditionalFormatting sqref="I132:I151">
    <cfRule type="cellIs" priority="64" dxfId="45" operator="equal" stopIfTrue="1">
      <formula>0</formula>
    </cfRule>
  </conditionalFormatting>
  <conditionalFormatting sqref="I132:I151">
    <cfRule type="cellIs" priority="63" dxfId="0" operator="equal">
      <formula>0</formula>
    </cfRule>
  </conditionalFormatting>
  <conditionalFormatting sqref="L132:L151">
    <cfRule type="cellIs" priority="62" dxfId="45" operator="equal" stopIfTrue="1">
      <formula>0</formula>
    </cfRule>
  </conditionalFormatting>
  <conditionalFormatting sqref="L132:L151">
    <cfRule type="cellIs" priority="61" dxfId="0" operator="equal">
      <formula>0</formula>
    </cfRule>
  </conditionalFormatting>
  <conditionalFormatting sqref="J132:J151">
    <cfRule type="cellIs" priority="60" dxfId="45" operator="equal" stopIfTrue="1">
      <formula>0</formula>
    </cfRule>
  </conditionalFormatting>
  <conditionalFormatting sqref="J132:J151">
    <cfRule type="cellIs" priority="59" dxfId="0" operator="equal">
      <formula>0</formula>
    </cfRule>
  </conditionalFormatting>
  <conditionalFormatting sqref="O132:O151">
    <cfRule type="cellIs" priority="58" dxfId="45" operator="equal" stopIfTrue="1">
      <formula>0</formula>
    </cfRule>
  </conditionalFormatting>
  <conditionalFormatting sqref="O132:O151">
    <cfRule type="cellIs" priority="57" dxfId="0" operator="equal">
      <formula>0</formula>
    </cfRule>
  </conditionalFormatting>
  <conditionalFormatting sqref="I160:I179">
    <cfRule type="cellIs" priority="52" dxfId="45" operator="equal" stopIfTrue="1">
      <formula>0</formula>
    </cfRule>
  </conditionalFormatting>
  <conditionalFormatting sqref="I160:I179">
    <cfRule type="cellIs" priority="51" dxfId="0" operator="equal">
      <formula>0</formula>
    </cfRule>
  </conditionalFormatting>
  <conditionalFormatting sqref="K160:K179 Q160:Q179 M160:N179 H160:H179">
    <cfRule type="cellIs" priority="54" dxfId="45" operator="equal" stopIfTrue="1">
      <formula>0</formula>
    </cfRule>
  </conditionalFormatting>
  <conditionalFormatting sqref="K160:K179 Q160:Q179 M160:N179 H160:H179">
    <cfRule type="cellIs" priority="53" dxfId="0" operator="equal">
      <formula>0</formula>
    </cfRule>
  </conditionalFormatting>
  <conditionalFormatting sqref="L160:L179">
    <cfRule type="cellIs" priority="50" dxfId="45" operator="equal" stopIfTrue="1">
      <formula>0</formula>
    </cfRule>
  </conditionalFormatting>
  <conditionalFormatting sqref="L160:L179">
    <cfRule type="cellIs" priority="49" dxfId="0" operator="equal">
      <formula>0</formula>
    </cfRule>
  </conditionalFormatting>
  <conditionalFormatting sqref="J160:J179">
    <cfRule type="cellIs" priority="48" dxfId="45" operator="equal" stopIfTrue="1">
      <formula>0</formula>
    </cfRule>
  </conditionalFormatting>
  <conditionalFormatting sqref="J160:J179">
    <cfRule type="cellIs" priority="47" dxfId="0" operator="equal">
      <formula>0</formula>
    </cfRule>
  </conditionalFormatting>
  <conditionalFormatting sqref="O160:O179">
    <cfRule type="cellIs" priority="46" dxfId="45" operator="equal" stopIfTrue="1">
      <formula>0</formula>
    </cfRule>
  </conditionalFormatting>
  <conditionalFormatting sqref="O160:O179">
    <cfRule type="cellIs" priority="45" dxfId="0" operator="equal">
      <formula>0</formula>
    </cfRule>
  </conditionalFormatting>
  <conditionalFormatting sqref="G48:G67">
    <cfRule type="cellIs" priority="30" dxfId="45" operator="equal" stopIfTrue="1">
      <formula>0</formula>
    </cfRule>
  </conditionalFormatting>
  <conditionalFormatting sqref="G48:G67">
    <cfRule type="cellIs" priority="29" dxfId="0" operator="equal">
      <formula>0</formula>
    </cfRule>
  </conditionalFormatting>
  <conditionalFormatting sqref="G76:G95">
    <cfRule type="cellIs" priority="28" dxfId="45" operator="equal" stopIfTrue="1">
      <formula>0</formula>
    </cfRule>
  </conditionalFormatting>
  <conditionalFormatting sqref="G76:G95">
    <cfRule type="cellIs" priority="27" dxfId="0" operator="equal">
      <formula>0</formula>
    </cfRule>
  </conditionalFormatting>
  <conditionalFormatting sqref="H76:H95">
    <cfRule type="cellIs" priority="26" dxfId="45" operator="equal" stopIfTrue="1">
      <formula>0</formula>
    </cfRule>
  </conditionalFormatting>
  <conditionalFormatting sqref="H76:H95">
    <cfRule type="cellIs" priority="25" dxfId="0" operator="equal">
      <formula>0</formula>
    </cfRule>
  </conditionalFormatting>
  <conditionalFormatting sqref="G104:G123">
    <cfRule type="cellIs" priority="24" dxfId="45" operator="equal" stopIfTrue="1">
      <formula>0</formula>
    </cfRule>
  </conditionalFormatting>
  <conditionalFormatting sqref="G104:G123">
    <cfRule type="cellIs" priority="23" dxfId="0" operator="equal">
      <formula>0</formula>
    </cfRule>
  </conditionalFormatting>
  <conditionalFormatting sqref="G132:G151">
    <cfRule type="cellIs" priority="22" dxfId="45" operator="equal" stopIfTrue="1">
      <formula>0</formula>
    </cfRule>
  </conditionalFormatting>
  <conditionalFormatting sqref="G132:G151">
    <cfRule type="cellIs" priority="21" dxfId="0" operator="equal">
      <formula>0</formula>
    </cfRule>
  </conditionalFormatting>
  <conditionalFormatting sqref="G160:G179">
    <cfRule type="cellIs" priority="20" dxfId="45" operator="equal" stopIfTrue="1">
      <formula>0</formula>
    </cfRule>
  </conditionalFormatting>
  <conditionalFormatting sqref="G160:G179">
    <cfRule type="cellIs" priority="19" dxfId="0" operator="equal">
      <formula>0</formula>
    </cfRule>
  </conditionalFormatting>
  <conditionalFormatting sqref="P48:P67">
    <cfRule type="cellIs" priority="18" dxfId="45" operator="equal" stopIfTrue="1">
      <formula>0</formula>
    </cfRule>
  </conditionalFormatting>
  <conditionalFormatting sqref="P48:P67">
    <cfRule type="cellIs" priority="17" dxfId="0" operator="equal">
      <formula>0</formula>
    </cfRule>
  </conditionalFormatting>
  <conditionalFormatting sqref="P76:P95">
    <cfRule type="cellIs" priority="16" dxfId="45" operator="equal" stopIfTrue="1">
      <formula>0</formula>
    </cfRule>
  </conditionalFormatting>
  <conditionalFormatting sqref="P76:P95">
    <cfRule type="cellIs" priority="15" dxfId="0" operator="equal">
      <formula>0</formula>
    </cfRule>
  </conditionalFormatting>
  <conditionalFormatting sqref="P104:P123">
    <cfRule type="cellIs" priority="14" dxfId="45" operator="equal" stopIfTrue="1">
      <formula>0</formula>
    </cfRule>
  </conditionalFormatting>
  <conditionalFormatting sqref="P104:P123">
    <cfRule type="cellIs" priority="13" dxfId="0" operator="equal">
      <formula>0</formula>
    </cfRule>
  </conditionalFormatting>
  <conditionalFormatting sqref="P132:P151">
    <cfRule type="cellIs" priority="12" dxfId="45" operator="equal" stopIfTrue="1">
      <formula>0</formula>
    </cfRule>
  </conditionalFormatting>
  <conditionalFormatting sqref="P132:P151">
    <cfRule type="cellIs" priority="11" dxfId="0" operator="equal">
      <formula>0</formula>
    </cfRule>
  </conditionalFormatting>
  <conditionalFormatting sqref="P160:P179">
    <cfRule type="cellIs" priority="10" dxfId="45" operator="equal" stopIfTrue="1">
      <formula>0</formula>
    </cfRule>
  </conditionalFormatting>
  <conditionalFormatting sqref="P160:P179">
    <cfRule type="cellIs" priority="9" dxfId="0" operator="equal">
      <formula>0</formula>
    </cfRule>
  </conditionalFormatting>
  <conditionalFormatting sqref="D76:D95">
    <cfRule type="cellIs" priority="8" dxfId="45" operator="equal" stopIfTrue="1">
      <formula>0</formula>
    </cfRule>
  </conditionalFormatting>
  <conditionalFormatting sqref="D76:D95">
    <cfRule type="cellIs" priority="7" dxfId="0" operator="equal">
      <formula>0</formula>
    </cfRule>
  </conditionalFormatting>
  <conditionalFormatting sqref="D104:D123">
    <cfRule type="cellIs" priority="6" dxfId="45" operator="equal" stopIfTrue="1">
      <formula>0</formula>
    </cfRule>
  </conditionalFormatting>
  <conditionalFormatting sqref="D104:D123">
    <cfRule type="cellIs" priority="5" dxfId="0" operator="equal">
      <formula>0</formula>
    </cfRule>
  </conditionalFormatting>
  <conditionalFormatting sqref="D132:D151">
    <cfRule type="cellIs" priority="4" dxfId="45" operator="equal" stopIfTrue="1">
      <formula>0</formula>
    </cfRule>
  </conditionalFormatting>
  <conditionalFormatting sqref="D132:D151">
    <cfRule type="cellIs" priority="3" dxfId="0" operator="equal">
      <formula>0</formula>
    </cfRule>
  </conditionalFormatting>
  <conditionalFormatting sqref="D160:D179">
    <cfRule type="cellIs" priority="2" dxfId="45" operator="equal" stopIfTrue="1">
      <formula>0</formula>
    </cfRule>
  </conditionalFormatting>
  <conditionalFormatting sqref="D160:D179">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4" r:id="rId1"/>
  <rowBreaks count="1" manualBreakCount="1">
    <brk id="204" max="16" man="1"/>
  </rowBreaks>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R454"/>
  <sheetViews>
    <sheetView view="pageBreakPreview" zoomScale="25" zoomScaleNormal="25" zoomScaleSheetLayoutView="25" zoomScalePageLayoutView="0" workbookViewId="0" topLeftCell="A1">
      <selection activeCell="C9" sqref="C9:Y9"/>
    </sheetView>
  </sheetViews>
  <sheetFormatPr defaultColWidth="9.140625" defaultRowHeight="12.75"/>
  <cols>
    <col min="1" max="1" width="10.8515625" style="523" bestFit="1" customWidth="1"/>
    <col min="2" max="2" width="71.00390625" style="533" customWidth="1"/>
    <col min="3" max="3" width="41.28125" style="533" bestFit="1" customWidth="1"/>
    <col min="4" max="4" width="30.7109375" style="533" customWidth="1"/>
    <col min="5" max="14" width="45.7109375" style="533" customWidth="1"/>
    <col min="15" max="17" width="35.7109375" style="533" customWidth="1"/>
    <col min="18" max="19" width="45.7109375" style="533" customWidth="1"/>
    <col min="20" max="22" width="35.7109375" style="533" customWidth="1"/>
    <col min="23" max="23" width="35.7109375" style="533" hidden="1" customWidth="1"/>
    <col min="24" max="24" width="68.421875" style="533" bestFit="1" customWidth="1"/>
    <col min="25" max="25" width="68.140625" style="533" customWidth="1"/>
    <col min="26" max="26" width="9.140625" style="517" customWidth="1"/>
    <col min="27" max="27" width="15.7109375" style="517" customWidth="1"/>
    <col min="28" max="28" width="25.8515625" style="517" bestFit="1" customWidth="1"/>
    <col min="29" max="29" width="29.57421875" style="517" bestFit="1" customWidth="1"/>
    <col min="30" max="30" width="25.8515625" style="517" bestFit="1" customWidth="1"/>
    <col min="31" max="31" width="28.7109375" style="517" customWidth="1"/>
    <col min="32" max="32" width="29.57421875" style="517" bestFit="1" customWidth="1"/>
    <col min="33" max="33" width="25.8515625" style="517" bestFit="1" customWidth="1"/>
    <col min="34" max="34" width="25.8515625" style="517" customWidth="1"/>
    <col min="35" max="35" width="29.57421875" style="517" bestFit="1" customWidth="1"/>
    <col min="36" max="36" width="33.8515625" style="517" bestFit="1" customWidth="1"/>
    <col min="37" max="37" width="29.8515625" style="517" bestFit="1" customWidth="1"/>
    <col min="38" max="38" width="25.8515625" style="517" bestFit="1" customWidth="1"/>
    <col min="39" max="39" width="29.57421875" style="517" bestFit="1" customWidth="1"/>
    <col min="40" max="41" width="29.8515625" style="517" bestFit="1" customWidth="1"/>
    <col min="42" max="43" width="25.8515625" style="517" bestFit="1" customWidth="1"/>
    <col min="44" max="44" width="52.421875" style="517" bestFit="1" customWidth="1"/>
    <col min="45" max="16384" width="9.140625" style="517" customWidth="1"/>
  </cols>
  <sheetData>
    <row r="1" spans="1:25" ht="39.75" customHeight="1">
      <c r="A1" s="755"/>
      <c r="B1" s="756"/>
      <c r="C1" s="756"/>
      <c r="D1" s="756"/>
      <c r="E1" s="756"/>
      <c r="F1" s="756"/>
      <c r="G1" s="756"/>
      <c r="H1" s="756"/>
      <c r="I1" s="756"/>
      <c r="J1" s="756"/>
      <c r="K1" s="756"/>
      <c r="L1" s="756"/>
      <c r="M1" s="756"/>
      <c r="N1" s="756"/>
      <c r="O1" s="756"/>
      <c r="P1" s="756"/>
      <c r="Q1" s="756"/>
      <c r="R1" s="756"/>
      <c r="S1" s="756"/>
      <c r="T1" s="756"/>
      <c r="U1" s="756"/>
      <c r="V1" s="756"/>
      <c r="W1" s="756"/>
      <c r="X1" s="924"/>
      <c r="Y1" s="925"/>
    </row>
    <row r="2" spans="1:25" ht="39.75" customHeight="1">
      <c r="A2" s="926"/>
      <c r="B2" s="927"/>
      <c r="C2" s="927"/>
      <c r="D2" s="927"/>
      <c r="E2" s="927"/>
      <c r="F2" s="927"/>
      <c r="G2" s="927"/>
      <c r="H2" s="927"/>
      <c r="I2" s="927"/>
      <c r="J2" s="927"/>
      <c r="K2" s="927"/>
      <c r="L2" s="927"/>
      <c r="M2" s="927"/>
      <c r="N2" s="927"/>
      <c r="O2" s="927"/>
      <c r="P2" s="927"/>
      <c r="Q2" s="927"/>
      <c r="R2" s="927"/>
      <c r="S2" s="927"/>
      <c r="T2" s="927"/>
      <c r="U2" s="927"/>
      <c r="V2" s="927"/>
      <c r="W2" s="927"/>
      <c r="X2" s="927"/>
      <c r="Y2" s="928"/>
    </row>
    <row r="3" spans="1:25" ht="39.75" customHeight="1">
      <c r="A3" s="929"/>
      <c r="B3" s="930"/>
      <c r="C3" s="930"/>
      <c r="D3" s="930"/>
      <c r="E3" s="930"/>
      <c r="F3" s="930"/>
      <c r="G3" s="930"/>
      <c r="H3" s="930"/>
      <c r="I3" s="930"/>
      <c r="J3" s="930"/>
      <c r="K3" s="930"/>
      <c r="L3" s="930"/>
      <c r="M3" s="930"/>
      <c r="N3" s="930"/>
      <c r="O3" s="930"/>
      <c r="P3" s="930"/>
      <c r="Q3" s="930"/>
      <c r="R3" s="930"/>
      <c r="S3" s="930"/>
      <c r="T3" s="930"/>
      <c r="U3" s="930"/>
      <c r="V3" s="930"/>
      <c r="W3" s="930"/>
      <c r="X3" s="930"/>
      <c r="Y3" s="931"/>
    </row>
    <row r="4" spans="1:25" ht="39.75" customHeight="1">
      <c r="A4" s="929"/>
      <c r="B4" s="930"/>
      <c r="C4" s="930"/>
      <c r="D4" s="930"/>
      <c r="E4" s="930"/>
      <c r="F4" s="930"/>
      <c r="G4" s="930"/>
      <c r="H4" s="930"/>
      <c r="I4" s="930"/>
      <c r="J4" s="930"/>
      <c r="K4" s="930"/>
      <c r="L4" s="930"/>
      <c r="M4" s="930"/>
      <c r="N4" s="930"/>
      <c r="O4" s="930"/>
      <c r="P4" s="930"/>
      <c r="Q4" s="930"/>
      <c r="R4" s="930"/>
      <c r="S4" s="930"/>
      <c r="T4" s="930"/>
      <c r="U4" s="930"/>
      <c r="V4" s="930"/>
      <c r="W4" s="930"/>
      <c r="X4" s="930"/>
      <c r="Y4" s="931"/>
    </row>
    <row r="5" spans="1:25" ht="39.75" customHeight="1">
      <c r="A5" s="932" t="s">
        <v>19</v>
      </c>
      <c r="B5" s="933"/>
      <c r="C5" s="933"/>
      <c r="D5" s="933"/>
      <c r="E5" s="933"/>
      <c r="F5" s="933"/>
      <c r="G5" s="933"/>
      <c r="H5" s="933"/>
      <c r="I5" s="933"/>
      <c r="J5" s="933"/>
      <c r="K5" s="933"/>
      <c r="L5" s="933"/>
      <c r="M5" s="933"/>
      <c r="N5" s="933"/>
      <c r="O5" s="933"/>
      <c r="P5" s="933"/>
      <c r="Q5" s="933"/>
      <c r="R5" s="933"/>
      <c r="S5" s="933"/>
      <c r="T5" s="933"/>
      <c r="U5" s="933"/>
      <c r="V5" s="933"/>
      <c r="W5" s="933"/>
      <c r="X5" s="933"/>
      <c r="Y5" s="934"/>
    </row>
    <row r="6" spans="1:25" ht="39.75" customHeight="1">
      <c r="A6" s="935" t="s">
        <v>193</v>
      </c>
      <c r="B6" s="936"/>
      <c r="C6" s="936"/>
      <c r="D6" s="936"/>
      <c r="E6" s="936"/>
      <c r="F6" s="936"/>
      <c r="G6" s="936"/>
      <c r="H6" s="936"/>
      <c r="I6" s="936"/>
      <c r="J6" s="936"/>
      <c r="K6" s="936"/>
      <c r="L6" s="936"/>
      <c r="M6" s="936"/>
      <c r="N6" s="936"/>
      <c r="O6" s="936"/>
      <c r="P6" s="936"/>
      <c r="Q6" s="936"/>
      <c r="R6" s="936"/>
      <c r="S6" s="936"/>
      <c r="T6" s="936"/>
      <c r="U6" s="936"/>
      <c r="V6" s="936"/>
      <c r="W6" s="936"/>
      <c r="X6" s="936"/>
      <c r="Y6" s="937"/>
    </row>
    <row r="7" spans="1:25" ht="39.75" customHeight="1">
      <c r="A7" s="935" t="s">
        <v>18</v>
      </c>
      <c r="B7" s="936"/>
      <c r="C7" s="936"/>
      <c r="D7" s="936"/>
      <c r="E7" s="936"/>
      <c r="F7" s="936"/>
      <c r="G7" s="936"/>
      <c r="H7" s="936"/>
      <c r="I7" s="936"/>
      <c r="J7" s="936"/>
      <c r="K7" s="936"/>
      <c r="L7" s="936"/>
      <c r="M7" s="936"/>
      <c r="N7" s="936"/>
      <c r="O7" s="936"/>
      <c r="P7" s="936"/>
      <c r="Q7" s="936"/>
      <c r="R7" s="936"/>
      <c r="S7" s="936"/>
      <c r="T7" s="936"/>
      <c r="U7" s="936"/>
      <c r="V7" s="936"/>
      <c r="W7" s="936"/>
      <c r="X7" s="936"/>
      <c r="Y7" s="937"/>
    </row>
    <row r="8" spans="1:25" ht="54.75" customHeight="1">
      <c r="A8" s="938"/>
      <c r="B8" s="939"/>
      <c r="C8" s="939"/>
      <c r="D8" s="939"/>
      <c r="E8" s="939"/>
      <c r="F8" s="939"/>
      <c r="G8" s="939"/>
      <c r="H8" s="939"/>
      <c r="I8" s="939"/>
      <c r="J8" s="939"/>
      <c r="K8" s="939"/>
      <c r="L8" s="939"/>
      <c r="M8" s="939"/>
      <c r="N8" s="939"/>
      <c r="O8" s="939"/>
      <c r="P8" s="939"/>
      <c r="Q8" s="939"/>
      <c r="R8" s="939"/>
      <c r="S8" s="939"/>
      <c r="T8" s="939"/>
      <c r="U8" s="939"/>
      <c r="V8" s="939"/>
      <c r="W8" s="939"/>
      <c r="X8" s="939"/>
      <c r="Y8" s="940"/>
    </row>
    <row r="9" spans="1:25" ht="228.75" customHeight="1">
      <c r="A9" s="609"/>
      <c r="B9" s="605" t="s">
        <v>649</v>
      </c>
      <c r="C9" s="94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D9" s="942"/>
      <c r="E9" s="942"/>
      <c r="F9" s="942"/>
      <c r="G9" s="942"/>
      <c r="H9" s="942"/>
      <c r="I9" s="942"/>
      <c r="J9" s="942"/>
      <c r="K9" s="942"/>
      <c r="L9" s="942"/>
      <c r="M9" s="942"/>
      <c r="N9" s="942"/>
      <c r="O9" s="942"/>
      <c r="P9" s="942"/>
      <c r="Q9" s="942"/>
      <c r="R9" s="942"/>
      <c r="S9" s="942"/>
      <c r="T9" s="942"/>
      <c r="U9" s="942"/>
      <c r="V9" s="942"/>
      <c r="W9" s="942"/>
      <c r="X9" s="942"/>
      <c r="Y9" s="943"/>
    </row>
    <row r="10" spans="1:25" ht="39.75" customHeight="1" thickBot="1">
      <c r="A10" s="518"/>
      <c r="B10" s="519"/>
      <c r="C10" s="519"/>
      <c r="D10" s="519"/>
      <c r="E10" s="519"/>
      <c r="F10" s="519"/>
      <c r="G10" s="519"/>
      <c r="H10" s="519"/>
      <c r="I10" s="519"/>
      <c r="J10" s="519"/>
      <c r="K10" s="519"/>
      <c r="L10" s="519"/>
      <c r="M10" s="519"/>
      <c r="N10" s="519"/>
      <c r="O10" s="519"/>
      <c r="P10" s="519"/>
      <c r="Q10" s="519"/>
      <c r="R10" s="519"/>
      <c r="S10" s="519"/>
      <c r="T10" s="519"/>
      <c r="U10" s="519"/>
      <c r="V10" s="519"/>
      <c r="W10" s="519"/>
      <c r="X10" s="944"/>
      <c r="Y10" s="945"/>
    </row>
    <row r="11" spans="1:25" s="520" customFormat="1" ht="66.75" customHeight="1" thickBot="1" thickTop="1">
      <c r="A11" s="946" t="s">
        <v>396</v>
      </c>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8"/>
    </row>
    <row r="12" spans="1:25" ht="39.75" customHeight="1" thickBot="1" thickTop="1">
      <c r="A12" s="949"/>
      <c r="B12" s="950"/>
      <c r="C12" s="950"/>
      <c r="D12" s="950"/>
      <c r="E12" s="950"/>
      <c r="F12" s="950"/>
      <c r="G12" s="950"/>
      <c r="H12" s="950"/>
      <c r="I12" s="950"/>
      <c r="J12" s="950"/>
      <c r="K12" s="950"/>
      <c r="L12" s="950"/>
      <c r="M12" s="950"/>
      <c r="N12" s="950"/>
      <c r="O12" s="950"/>
      <c r="P12" s="950"/>
      <c r="Q12" s="950"/>
      <c r="R12" s="950"/>
      <c r="S12" s="950"/>
      <c r="T12" s="950"/>
      <c r="U12" s="950"/>
      <c r="V12" s="950"/>
      <c r="W12" s="950"/>
      <c r="X12" s="950"/>
      <c r="Y12" s="951"/>
    </row>
    <row r="13" spans="1:25" ht="39.75" customHeight="1">
      <c r="A13" s="954" t="s">
        <v>379</v>
      </c>
      <c r="B13" s="955"/>
      <c r="C13" s="958" t="s">
        <v>388</v>
      </c>
      <c r="D13" s="961" t="s">
        <v>386</v>
      </c>
      <c r="E13" s="964" t="s">
        <v>380</v>
      </c>
      <c r="F13" s="965"/>
      <c r="G13" s="965"/>
      <c r="H13" s="965"/>
      <c r="I13" s="965"/>
      <c r="J13" s="965"/>
      <c r="K13" s="965"/>
      <c r="L13" s="965"/>
      <c r="M13" s="966"/>
      <c r="N13" s="757"/>
      <c r="O13" s="970" t="s">
        <v>381</v>
      </c>
      <c r="P13" s="970"/>
      <c r="Q13" s="970"/>
      <c r="R13" s="970"/>
      <c r="S13" s="970"/>
      <c r="T13" s="970"/>
      <c r="U13" s="970"/>
      <c r="V13" s="970"/>
      <c r="W13" s="970"/>
      <c r="X13" s="971"/>
      <c r="Y13" s="972"/>
    </row>
    <row r="14" spans="1:25" ht="39.75" customHeight="1">
      <c r="A14" s="956"/>
      <c r="B14" s="957"/>
      <c r="C14" s="959"/>
      <c r="D14" s="962"/>
      <c r="E14" s="967"/>
      <c r="F14" s="968"/>
      <c r="G14" s="968"/>
      <c r="H14" s="968"/>
      <c r="I14" s="968"/>
      <c r="J14" s="968"/>
      <c r="K14" s="968"/>
      <c r="L14" s="968"/>
      <c r="M14" s="969"/>
      <c r="N14" s="760"/>
      <c r="O14" s="973" t="s">
        <v>762</v>
      </c>
      <c r="P14" s="974"/>
      <c r="Q14" s="974"/>
      <c r="R14" s="974"/>
      <c r="S14" s="975"/>
      <c r="T14" s="976" t="s">
        <v>527</v>
      </c>
      <c r="U14" s="976"/>
      <c r="V14" s="976"/>
      <c r="W14" s="976"/>
      <c r="X14" s="973"/>
      <c r="Y14" s="977"/>
    </row>
    <row r="15" spans="1:44" ht="153.75">
      <c r="A15" s="956"/>
      <c r="B15" s="957"/>
      <c r="C15" s="959"/>
      <c r="D15" s="962"/>
      <c r="E15" s="521" t="s">
        <v>393</v>
      </c>
      <c r="F15" s="521" t="s">
        <v>504</v>
      </c>
      <c r="G15" s="521" t="s">
        <v>784</v>
      </c>
      <c r="H15" s="521" t="s">
        <v>724</v>
      </c>
      <c r="I15" s="521" t="s">
        <v>725</v>
      </c>
      <c r="J15" s="521" t="s">
        <v>785</v>
      </c>
      <c r="K15" s="521" t="s">
        <v>786</v>
      </c>
      <c r="L15" s="521" t="s">
        <v>727</v>
      </c>
      <c r="M15" s="521" t="s">
        <v>728</v>
      </c>
      <c r="N15" s="521" t="s">
        <v>729</v>
      </c>
      <c r="O15" s="521" t="s">
        <v>385</v>
      </c>
      <c r="P15" s="521" t="s">
        <v>574</v>
      </c>
      <c r="Q15" s="521" t="s">
        <v>803</v>
      </c>
      <c r="R15" s="521" t="s">
        <v>804</v>
      </c>
      <c r="S15" s="521" t="s">
        <v>728</v>
      </c>
      <c r="T15" s="521" t="s">
        <v>385</v>
      </c>
      <c r="U15" s="521" t="s">
        <v>574</v>
      </c>
      <c r="V15" s="521" t="s">
        <v>802</v>
      </c>
      <c r="W15" s="521" t="s">
        <v>787</v>
      </c>
      <c r="X15" s="761" t="s">
        <v>804</v>
      </c>
      <c r="Y15" s="762" t="s">
        <v>728</v>
      </c>
      <c r="AB15" s="521" t="s">
        <v>393</v>
      </c>
      <c r="AC15" s="521" t="s">
        <v>723</v>
      </c>
      <c r="AD15" s="521" t="s">
        <v>724</v>
      </c>
      <c r="AE15" s="521" t="s">
        <v>799</v>
      </c>
      <c r="AF15" s="521" t="s">
        <v>726</v>
      </c>
      <c r="AG15" s="521" t="s">
        <v>727</v>
      </c>
      <c r="AH15" s="521" t="s">
        <v>728</v>
      </c>
      <c r="AI15" s="521" t="s">
        <v>729</v>
      </c>
      <c r="AJ15" s="521" t="str">
        <f>P15</f>
        <v>EXECUÇÃO E COMPACTAÇÃO (m³)</v>
      </c>
      <c r="AK15" s="521" t="str">
        <f>Q15</f>
        <v>ESCAVAÇÃO E CARGA (m³)</v>
      </c>
      <c r="AL15" s="521" t="str">
        <f>R15</f>
        <v>TRANSPORTE  (m³ x km) &lt;30KM</v>
      </c>
      <c r="AM15" s="521" t="str">
        <f>S15</f>
        <v>TRANSPORTE (m³ x km) &gt;30KM</v>
      </c>
      <c r="AN15" s="521" t="str">
        <f>U15</f>
        <v>EXECUÇÃO E COMPACTAÇÃO (m³)</v>
      </c>
      <c r="AO15" s="762" t="str">
        <f>V15</f>
        <v>ESCAVAÇÃO E CARGA (m³)  (m³)</v>
      </c>
      <c r="AP15" s="762" t="str">
        <f>X15</f>
        <v>TRANSPORTE  (m³ x km) &lt;30KM</v>
      </c>
      <c r="AQ15" s="762" t="str">
        <f>Y15</f>
        <v>TRANSPORTE (m³ x km) &gt;30KM</v>
      </c>
      <c r="AR15" s="523"/>
    </row>
    <row r="16" spans="1:44" ht="33">
      <c r="A16" s="758"/>
      <c r="B16" s="759"/>
      <c r="C16" s="959"/>
      <c r="D16" s="962"/>
      <c r="E16" s="763"/>
      <c r="F16" s="763"/>
      <c r="G16" s="763"/>
      <c r="H16" s="763"/>
      <c r="I16" s="763"/>
      <c r="J16" s="763"/>
      <c r="K16" s="763"/>
      <c r="L16" s="763"/>
      <c r="M16" s="763"/>
      <c r="N16" s="763"/>
      <c r="O16" s="763"/>
      <c r="P16" s="763"/>
      <c r="Q16" s="521"/>
      <c r="R16" s="763"/>
      <c r="S16" s="763"/>
      <c r="T16" s="763"/>
      <c r="U16" s="763"/>
      <c r="V16" s="763"/>
      <c r="W16" s="763"/>
      <c r="X16" s="764"/>
      <c r="Y16" s="765"/>
      <c r="AB16" s="522"/>
      <c r="AC16" s="522"/>
      <c r="AD16" s="522"/>
      <c r="AE16" s="522"/>
      <c r="AF16" s="522"/>
      <c r="AG16" s="522"/>
      <c r="AH16" s="522"/>
      <c r="AI16" s="522"/>
      <c r="AJ16" s="522"/>
      <c r="AK16" s="522"/>
      <c r="AL16" s="522"/>
      <c r="AM16" s="522"/>
      <c r="AN16" s="522"/>
      <c r="AO16" s="522"/>
      <c r="AP16" s="522"/>
      <c r="AQ16" s="522"/>
      <c r="AR16" s="523"/>
    </row>
    <row r="17" spans="1:44" ht="39.75" customHeight="1">
      <c r="A17" s="978" t="s">
        <v>6</v>
      </c>
      <c r="B17" s="980" t="s">
        <v>384</v>
      </c>
      <c r="C17" s="960"/>
      <c r="D17" s="963"/>
      <c r="E17" s="766"/>
      <c r="F17" s="766"/>
      <c r="G17" s="767"/>
      <c r="H17" s="767">
        <v>9.8</v>
      </c>
      <c r="I17" s="767"/>
      <c r="J17" s="767"/>
      <c r="K17" s="767"/>
      <c r="L17" s="767">
        <v>30</v>
      </c>
      <c r="M17" s="767">
        <v>7.4</v>
      </c>
      <c r="N17" s="767"/>
      <c r="O17" s="766"/>
      <c r="P17" s="767"/>
      <c r="Q17" s="767"/>
      <c r="R17" s="767">
        <v>30</v>
      </c>
      <c r="S17" s="767">
        <f>181-R17</f>
        <v>151</v>
      </c>
      <c r="T17" s="766"/>
      <c r="U17" s="766"/>
      <c r="V17" s="766"/>
      <c r="W17" s="766"/>
      <c r="X17" s="768">
        <v>30</v>
      </c>
      <c r="Y17" s="769">
        <v>7.4</v>
      </c>
      <c r="AB17" s="523"/>
      <c r="AC17" s="523"/>
      <c r="AD17" s="523"/>
      <c r="AE17" s="523"/>
      <c r="AF17" s="523"/>
      <c r="AG17" s="523"/>
      <c r="AH17" s="523"/>
      <c r="AI17" s="523"/>
      <c r="AJ17" s="523"/>
      <c r="AK17" s="523"/>
      <c r="AL17" s="523"/>
      <c r="AM17" s="523"/>
      <c r="AN17" s="523"/>
      <c r="AO17" s="523"/>
      <c r="AP17" s="523"/>
      <c r="AQ17" s="523"/>
      <c r="AR17" s="523"/>
    </row>
    <row r="18" spans="1:44" ht="39.75" customHeight="1" thickBot="1">
      <c r="A18" s="979"/>
      <c r="B18" s="981"/>
      <c r="C18" s="770" t="s">
        <v>54</v>
      </c>
      <c r="D18" s="771" t="s">
        <v>57</v>
      </c>
      <c r="E18" s="772" t="s">
        <v>559</v>
      </c>
      <c r="F18" s="772" t="s">
        <v>8</v>
      </c>
      <c r="G18" s="772" t="s">
        <v>569</v>
      </c>
      <c r="H18" s="772" t="s">
        <v>570</v>
      </c>
      <c r="I18" s="772" t="s">
        <v>569</v>
      </c>
      <c r="J18" s="772"/>
      <c r="K18" s="772" t="s">
        <v>730</v>
      </c>
      <c r="L18" s="772" t="s">
        <v>731</v>
      </c>
      <c r="M18" s="772" t="s">
        <v>570</v>
      </c>
      <c r="N18" s="772" t="s">
        <v>732</v>
      </c>
      <c r="O18" s="772" t="s">
        <v>788</v>
      </c>
      <c r="P18" s="772" t="s">
        <v>789</v>
      </c>
      <c r="Q18" s="772" t="s">
        <v>790</v>
      </c>
      <c r="R18" s="772" t="s">
        <v>791</v>
      </c>
      <c r="S18" s="772" t="s">
        <v>572</v>
      </c>
      <c r="T18" s="772" t="s">
        <v>792</v>
      </c>
      <c r="U18" s="770" t="s">
        <v>793</v>
      </c>
      <c r="V18" s="770" t="s">
        <v>794</v>
      </c>
      <c r="W18" s="770" t="s">
        <v>795</v>
      </c>
      <c r="X18" s="773" t="s">
        <v>796</v>
      </c>
      <c r="Y18" s="774" t="s">
        <v>609</v>
      </c>
      <c r="AB18" s="524"/>
      <c r="AC18" s="524"/>
      <c r="AD18" s="524"/>
      <c r="AE18" s="524"/>
      <c r="AF18" s="524"/>
      <c r="AG18" s="524"/>
      <c r="AH18" s="775"/>
      <c r="AI18" s="775"/>
      <c r="AJ18" s="776"/>
      <c r="AK18" s="776"/>
      <c r="AL18" s="524"/>
      <c r="AM18" s="524"/>
      <c r="AN18" s="524"/>
      <c r="AO18" s="524"/>
      <c r="AP18" s="524"/>
      <c r="AQ18" s="524"/>
      <c r="AR18" s="525"/>
    </row>
    <row r="19" spans="1:44" ht="73.5" customHeight="1" thickBot="1" thickTop="1">
      <c r="A19" s="526"/>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777"/>
      <c r="AA19" s="528"/>
      <c r="AB19" s="521"/>
      <c r="AC19" s="521"/>
      <c r="AD19" s="521"/>
      <c r="AE19" s="521"/>
      <c r="AF19" s="521"/>
      <c r="AG19" s="521"/>
      <c r="AH19" s="761"/>
      <c r="AI19" s="761"/>
      <c r="AJ19" s="778"/>
      <c r="AK19" s="778"/>
      <c r="AL19" s="521"/>
      <c r="AM19" s="521"/>
      <c r="AN19" s="521"/>
      <c r="AO19" s="521"/>
      <c r="AP19" s="521"/>
      <c r="AQ19" s="521"/>
      <c r="AR19" s="524" t="s">
        <v>372</v>
      </c>
    </row>
    <row r="20" spans="1:44" s="785" customFormat="1" ht="90" customHeight="1" thickTop="1">
      <c r="A20" s="779">
        <f>DADOS!A12</f>
        <v>1</v>
      </c>
      <c r="B20" s="780" t="str">
        <f>DADOS!B12</f>
        <v>R. CANARINHO</v>
      </c>
      <c r="C20" s="781">
        <f>DADOS!E12*0</f>
        <v>0</v>
      </c>
      <c r="D20" s="782">
        <f>DADOS!F12</f>
        <v>6</v>
      </c>
      <c r="E20" s="782">
        <f>C20*(D20+1)</f>
        <v>0</v>
      </c>
      <c r="F20" s="782"/>
      <c r="G20" s="782">
        <f>E20*F20</f>
        <v>0</v>
      </c>
      <c r="H20" s="782">
        <f>G20*1.3*$H$17</f>
        <v>0</v>
      </c>
      <c r="I20" s="782">
        <f>E20*F20</f>
        <v>0</v>
      </c>
      <c r="J20" s="782">
        <f>IF(F20-(O20+T20)&lt;0,,F20-(O20+T20))</f>
        <v>0</v>
      </c>
      <c r="K20" s="782">
        <f>J20*E20</f>
        <v>0</v>
      </c>
      <c r="L20" s="782">
        <f>K20*1.3*$L$17</f>
        <v>0</v>
      </c>
      <c r="M20" s="782">
        <f>G20*1.3*$M$17</f>
        <v>0</v>
      </c>
      <c r="N20" s="782">
        <f>K20</f>
        <v>0</v>
      </c>
      <c r="O20" s="782"/>
      <c r="P20" s="782">
        <f>E20*O20</f>
        <v>0</v>
      </c>
      <c r="Q20" s="782">
        <f>P20</f>
        <v>0</v>
      </c>
      <c r="R20" s="782">
        <f>P20*1.3*$R$17</f>
        <v>0</v>
      </c>
      <c r="S20" s="782">
        <f>P20*1.3*$S$17</f>
        <v>0</v>
      </c>
      <c r="T20" s="782"/>
      <c r="U20" s="782">
        <f>E20*T20</f>
        <v>0</v>
      </c>
      <c r="V20" s="782">
        <f>U20</f>
        <v>0</v>
      </c>
      <c r="W20" s="782">
        <v>0</v>
      </c>
      <c r="X20" s="783">
        <f>U20*1.3*$X$17</f>
        <v>0</v>
      </c>
      <c r="Y20" s="784">
        <f>U20*1.3*$Y$17</f>
        <v>0</v>
      </c>
      <c r="AA20" s="786">
        <f aca="true" t="shared" si="0" ref="AA20:AA39">A20</f>
        <v>1</v>
      </c>
      <c r="AB20" s="787">
        <f>'ORÇAMENTO GERAL'!$J$107</f>
        <v>6.11</v>
      </c>
      <c r="AC20" s="787">
        <f>'ORÇAMENTO GERAL'!$J$108</f>
        <v>17.12</v>
      </c>
      <c r="AD20" s="787">
        <f>'ORÇAMENTO GERAL'!$J$109</f>
        <v>3.38</v>
      </c>
      <c r="AE20" s="787">
        <f>'ORÇAMENTO GERAL'!$J$110</f>
        <v>17.12</v>
      </c>
      <c r="AF20" s="787">
        <f>'ORÇAMENTO GERAL'!$J$111</f>
        <v>46.54</v>
      </c>
      <c r="AG20" s="787">
        <f>'ORÇAMENTO GERAL'!$J$112</f>
        <v>2.26</v>
      </c>
      <c r="AH20" s="788">
        <f>'ORÇAMENTO GERAL'!$J$113</f>
        <v>1.13</v>
      </c>
      <c r="AI20" s="788">
        <f>'ORÇAMENTO GERAL'!$J$114</f>
        <v>14.4</v>
      </c>
      <c r="AJ20" s="789">
        <f>'ORÇAMENTO GERAL'!$J$117</f>
        <v>214.66</v>
      </c>
      <c r="AK20" s="789">
        <f>'ORÇAMENTO GERAL'!$J$118</f>
        <v>17.12</v>
      </c>
      <c r="AL20" s="787">
        <f>'ORÇAMENTO GERAL'!$J$119</f>
        <v>2.26</v>
      </c>
      <c r="AM20" s="787">
        <f>'ORÇAMENTO GERAL'!$J$120</f>
        <v>1.13</v>
      </c>
      <c r="AN20" s="787">
        <f>'ORÇAMENTO GERAL'!$J$121</f>
        <v>100.39</v>
      </c>
      <c r="AO20" s="787">
        <f>'ORÇAMENTO GERAL'!$J$122</f>
        <v>17.12</v>
      </c>
      <c r="AP20" s="787">
        <f>'ORÇAMENTO GERAL'!$J$123</f>
        <v>2.26</v>
      </c>
      <c r="AQ20" s="787">
        <f>'ORÇAMENTO GERAL'!$J$124</f>
        <v>1.13</v>
      </c>
      <c r="AR20" s="787">
        <f>E20*AB20+G20*AC20+H20*AD20+I20*AE20+K20*AF20+L20*AG20+M20*AH20+N20*AI20+P20*AJ20+Q20*AK20+R20*AL20+S20*AM20+U20*AN20+V20*AO20+X20*AP20+Y20*AQ20</f>
        <v>0</v>
      </c>
    </row>
    <row r="21" spans="1:44" s="790" customFormat="1" ht="90" customHeight="1">
      <c r="A21" s="779">
        <f>DADOS!A13</f>
        <v>2</v>
      </c>
      <c r="B21" s="780" t="str">
        <f>DADOS!B13</f>
        <v>R. SEM NOME 1</v>
      </c>
      <c r="C21" s="781">
        <f>DADOS!E13*0</f>
        <v>0</v>
      </c>
      <c r="D21" s="782">
        <f>DADOS!F13</f>
        <v>5</v>
      </c>
      <c r="E21" s="782">
        <f aca="true" t="shared" si="1" ref="E21:E39">C21*(D21+1)</f>
        <v>0</v>
      </c>
      <c r="F21" s="782"/>
      <c r="G21" s="782">
        <f aca="true" t="shared" si="2" ref="G21:G39">E21*F21</f>
        <v>0</v>
      </c>
      <c r="H21" s="782">
        <f aca="true" t="shared" si="3" ref="H21:H39">G21*1.3*$H$17</f>
        <v>0</v>
      </c>
      <c r="I21" s="782">
        <f aca="true" t="shared" si="4" ref="I21:I39">E21*F21</f>
        <v>0</v>
      </c>
      <c r="J21" s="782">
        <f aca="true" t="shared" si="5" ref="J21:J39">IF(F21-(O21+T21)&lt;0,,F21-(O21+T21))</f>
        <v>0</v>
      </c>
      <c r="K21" s="782">
        <f aca="true" t="shared" si="6" ref="K21:K39">J21*E21</f>
        <v>0</v>
      </c>
      <c r="L21" s="782">
        <f aca="true" t="shared" si="7" ref="L21:L39">K21*1.3*$L$17</f>
        <v>0</v>
      </c>
      <c r="M21" s="782">
        <f aca="true" t="shared" si="8" ref="M21:M39">G21*1.3*$M$17</f>
        <v>0</v>
      </c>
      <c r="N21" s="782">
        <f aca="true" t="shared" si="9" ref="N21:N39">K21</f>
        <v>0</v>
      </c>
      <c r="O21" s="782"/>
      <c r="P21" s="782">
        <f aca="true" t="shared" si="10" ref="P21:P39">E21*O21</f>
        <v>0</v>
      </c>
      <c r="Q21" s="782">
        <f aca="true" t="shared" si="11" ref="Q21:Q39">P21</f>
        <v>0</v>
      </c>
      <c r="R21" s="782">
        <f aca="true" t="shared" si="12" ref="R21:R39">P21*1.3*$R$17</f>
        <v>0</v>
      </c>
      <c r="S21" s="782">
        <f aca="true" t="shared" si="13" ref="S21:S39">P21*1.3*$S$17</f>
        <v>0</v>
      </c>
      <c r="T21" s="782"/>
      <c r="U21" s="782">
        <f aca="true" t="shared" si="14" ref="U21:U39">E21*T21</f>
        <v>0</v>
      </c>
      <c r="V21" s="782">
        <f aca="true" t="shared" si="15" ref="V21:V39">U21</f>
        <v>0</v>
      </c>
      <c r="W21" s="782">
        <v>1</v>
      </c>
      <c r="X21" s="783">
        <f aca="true" t="shared" si="16" ref="X21:X39">U21*1.3*$X$17</f>
        <v>0</v>
      </c>
      <c r="Y21" s="784">
        <f aca="true" t="shared" si="17" ref="Y21:Y39">U21*1.3*$Y$17</f>
        <v>0</v>
      </c>
      <c r="AA21" s="786">
        <f t="shared" si="0"/>
        <v>2</v>
      </c>
      <c r="AB21" s="787">
        <f>'ORÇAMENTO GERAL'!$J$107</f>
        <v>6.11</v>
      </c>
      <c r="AC21" s="787">
        <f>'ORÇAMENTO GERAL'!$J$108</f>
        <v>17.12</v>
      </c>
      <c r="AD21" s="787">
        <f>'ORÇAMENTO GERAL'!$J$109</f>
        <v>3.38</v>
      </c>
      <c r="AE21" s="787">
        <f>'ORÇAMENTO GERAL'!$J$110</f>
        <v>17.12</v>
      </c>
      <c r="AF21" s="787">
        <f>'ORÇAMENTO GERAL'!$J$111</f>
        <v>46.54</v>
      </c>
      <c r="AG21" s="787">
        <f>'ORÇAMENTO GERAL'!$J$112</f>
        <v>2.26</v>
      </c>
      <c r="AH21" s="788">
        <f>'ORÇAMENTO GERAL'!$J$113</f>
        <v>1.13</v>
      </c>
      <c r="AI21" s="788">
        <f>'ORÇAMENTO GERAL'!$J$114</f>
        <v>14.4</v>
      </c>
      <c r="AJ21" s="789">
        <f>'ORÇAMENTO GERAL'!$J$117</f>
        <v>214.66</v>
      </c>
      <c r="AK21" s="789">
        <f>'ORÇAMENTO GERAL'!$J$118</f>
        <v>17.12</v>
      </c>
      <c r="AL21" s="787">
        <f>'ORÇAMENTO GERAL'!$J$119</f>
        <v>2.26</v>
      </c>
      <c r="AM21" s="787">
        <f>'ORÇAMENTO GERAL'!$J$120</f>
        <v>1.13</v>
      </c>
      <c r="AN21" s="787">
        <f>'ORÇAMENTO GERAL'!$J$121</f>
        <v>100.39</v>
      </c>
      <c r="AO21" s="787">
        <f>'ORÇAMENTO GERAL'!$J$122</f>
        <v>17.12</v>
      </c>
      <c r="AP21" s="787">
        <f>'ORÇAMENTO GERAL'!$J$123</f>
        <v>2.26</v>
      </c>
      <c r="AQ21" s="787">
        <f>'ORÇAMENTO GERAL'!$J$124</f>
        <v>1.13</v>
      </c>
      <c r="AR21" s="787">
        <f aca="true" t="shared" si="18" ref="AR21:AR39">E21*AB21+G21*AC21+H21*AD21+I21*AE21+K21*AF21+L21*AG21+M21*AH21+N21*AI21+P21*AJ21+Q21*AK21+R21*AL21+S21*AM21+U21*AN21+V21*AO21+X21*AP21+Y21*AQ21</f>
        <v>0</v>
      </c>
    </row>
    <row r="22" spans="1:44" s="790" customFormat="1" ht="90" customHeight="1">
      <c r="A22" s="779">
        <f>DADOS!A14</f>
        <v>3</v>
      </c>
      <c r="B22" s="780" t="str">
        <f>DADOS!B14</f>
        <v>EST. DO CURUÇAMBÁ</v>
      </c>
      <c r="C22" s="781">
        <f>DADOS!E14*0</f>
        <v>0</v>
      </c>
      <c r="D22" s="782">
        <f>DADOS!F14</f>
        <v>10</v>
      </c>
      <c r="E22" s="782">
        <f t="shared" si="1"/>
        <v>0</v>
      </c>
      <c r="F22" s="782"/>
      <c r="G22" s="782">
        <f t="shared" si="2"/>
        <v>0</v>
      </c>
      <c r="H22" s="782">
        <f t="shared" si="3"/>
        <v>0</v>
      </c>
      <c r="I22" s="782">
        <f t="shared" si="4"/>
        <v>0</v>
      </c>
      <c r="J22" s="782">
        <f t="shared" si="5"/>
        <v>0</v>
      </c>
      <c r="K22" s="782">
        <f t="shared" si="6"/>
        <v>0</v>
      </c>
      <c r="L22" s="782">
        <f t="shared" si="7"/>
        <v>0</v>
      </c>
      <c r="M22" s="782">
        <f t="shared" si="8"/>
        <v>0</v>
      </c>
      <c r="N22" s="782">
        <f t="shared" si="9"/>
        <v>0</v>
      </c>
      <c r="O22" s="782"/>
      <c r="P22" s="782">
        <f t="shared" si="10"/>
        <v>0</v>
      </c>
      <c r="Q22" s="782">
        <f t="shared" si="11"/>
        <v>0</v>
      </c>
      <c r="R22" s="782">
        <f t="shared" si="12"/>
        <v>0</v>
      </c>
      <c r="S22" s="782">
        <f t="shared" si="13"/>
        <v>0</v>
      </c>
      <c r="T22" s="782"/>
      <c r="U22" s="782">
        <f t="shared" si="14"/>
        <v>0</v>
      </c>
      <c r="V22" s="782">
        <f t="shared" si="15"/>
        <v>0</v>
      </c>
      <c r="W22" s="782">
        <v>2</v>
      </c>
      <c r="X22" s="783">
        <f t="shared" si="16"/>
        <v>0</v>
      </c>
      <c r="Y22" s="784">
        <f t="shared" si="17"/>
        <v>0</v>
      </c>
      <c r="AA22" s="786">
        <f t="shared" si="0"/>
        <v>3</v>
      </c>
      <c r="AB22" s="787">
        <f>'ORÇAMENTO GERAL'!$J$107</f>
        <v>6.11</v>
      </c>
      <c r="AC22" s="787">
        <f>'ORÇAMENTO GERAL'!$J$108</f>
        <v>17.12</v>
      </c>
      <c r="AD22" s="787">
        <f>'ORÇAMENTO GERAL'!$J$109</f>
        <v>3.38</v>
      </c>
      <c r="AE22" s="787">
        <f>'ORÇAMENTO GERAL'!$J$110</f>
        <v>17.12</v>
      </c>
      <c r="AF22" s="787">
        <f>'ORÇAMENTO GERAL'!$J$111</f>
        <v>46.54</v>
      </c>
      <c r="AG22" s="787">
        <f>'ORÇAMENTO GERAL'!$J$112</f>
        <v>2.26</v>
      </c>
      <c r="AH22" s="788">
        <f>'ORÇAMENTO GERAL'!$J$113</f>
        <v>1.13</v>
      </c>
      <c r="AI22" s="788">
        <f>'ORÇAMENTO GERAL'!$J$114</f>
        <v>14.4</v>
      </c>
      <c r="AJ22" s="789">
        <f>'ORÇAMENTO GERAL'!$J$117</f>
        <v>214.66</v>
      </c>
      <c r="AK22" s="789">
        <f>'ORÇAMENTO GERAL'!$J$118</f>
        <v>17.12</v>
      </c>
      <c r="AL22" s="787">
        <f>'ORÇAMENTO GERAL'!$J$119</f>
        <v>2.26</v>
      </c>
      <c r="AM22" s="787">
        <f>'ORÇAMENTO GERAL'!$J$120</f>
        <v>1.13</v>
      </c>
      <c r="AN22" s="787">
        <f>'ORÇAMENTO GERAL'!$J$121</f>
        <v>100.39</v>
      </c>
      <c r="AO22" s="787">
        <f>'ORÇAMENTO GERAL'!$J$122</f>
        <v>17.12</v>
      </c>
      <c r="AP22" s="787">
        <f>'ORÇAMENTO GERAL'!$J$123</f>
        <v>2.26</v>
      </c>
      <c r="AQ22" s="787">
        <f>'ORÇAMENTO GERAL'!$J$124</f>
        <v>1.13</v>
      </c>
      <c r="AR22" s="787">
        <f t="shared" si="18"/>
        <v>0</v>
      </c>
    </row>
    <row r="23" spans="1:44" s="790" customFormat="1" ht="90" customHeight="1">
      <c r="A23" s="779">
        <f>DADOS!A15</f>
        <v>4</v>
      </c>
      <c r="B23" s="780" t="str">
        <f>DADOS!B15</f>
        <v>PASS. SOL NASCENTE</v>
      </c>
      <c r="C23" s="781">
        <f>DADOS!E15</f>
        <v>150</v>
      </c>
      <c r="D23" s="782">
        <f>DADOS!F15</f>
        <v>3.5</v>
      </c>
      <c r="E23" s="782">
        <f t="shared" si="1"/>
        <v>675</v>
      </c>
      <c r="F23" s="782">
        <v>0.4</v>
      </c>
      <c r="G23" s="782">
        <f t="shared" si="2"/>
        <v>270</v>
      </c>
      <c r="H23" s="782">
        <f t="shared" si="3"/>
        <v>3439.8</v>
      </c>
      <c r="I23" s="782">
        <f t="shared" si="4"/>
        <v>270</v>
      </c>
      <c r="J23" s="782">
        <f t="shared" si="5"/>
        <v>0.1</v>
      </c>
      <c r="K23" s="782">
        <f t="shared" si="6"/>
        <v>67.5</v>
      </c>
      <c r="L23" s="782">
        <f t="shared" si="7"/>
        <v>2632.5</v>
      </c>
      <c r="M23" s="782">
        <f t="shared" si="8"/>
        <v>2597.4</v>
      </c>
      <c r="N23" s="782">
        <f t="shared" si="9"/>
        <v>67.5</v>
      </c>
      <c r="O23" s="782">
        <v>0.1</v>
      </c>
      <c r="P23" s="782">
        <f t="shared" si="10"/>
        <v>67.5</v>
      </c>
      <c r="Q23" s="782">
        <f t="shared" si="11"/>
        <v>67.5</v>
      </c>
      <c r="R23" s="782">
        <f t="shared" si="12"/>
        <v>2632.5</v>
      </c>
      <c r="S23" s="782">
        <f t="shared" si="13"/>
        <v>13250.25</v>
      </c>
      <c r="T23" s="782">
        <v>0.2</v>
      </c>
      <c r="U23" s="782">
        <f t="shared" si="14"/>
        <v>135</v>
      </c>
      <c r="V23" s="782">
        <f t="shared" si="15"/>
        <v>135</v>
      </c>
      <c r="W23" s="782">
        <v>3</v>
      </c>
      <c r="X23" s="783">
        <f t="shared" si="16"/>
        <v>5265</v>
      </c>
      <c r="Y23" s="784">
        <f t="shared" si="17"/>
        <v>1298.7</v>
      </c>
      <c r="AA23" s="786">
        <f t="shared" si="0"/>
        <v>4</v>
      </c>
      <c r="AB23" s="787">
        <f>'ORÇAMENTO GERAL'!$J$107</f>
        <v>6.11</v>
      </c>
      <c r="AC23" s="787">
        <f>'ORÇAMENTO GERAL'!$J$108</f>
        <v>17.12</v>
      </c>
      <c r="AD23" s="787">
        <f>'ORÇAMENTO GERAL'!$J$109</f>
        <v>3.38</v>
      </c>
      <c r="AE23" s="787">
        <f>'ORÇAMENTO GERAL'!$J$110</f>
        <v>17.12</v>
      </c>
      <c r="AF23" s="787">
        <f>'ORÇAMENTO GERAL'!$J$111</f>
        <v>46.54</v>
      </c>
      <c r="AG23" s="787">
        <f>'ORÇAMENTO GERAL'!$J$112</f>
        <v>2.26</v>
      </c>
      <c r="AH23" s="788">
        <f>'ORÇAMENTO GERAL'!$J$113</f>
        <v>1.13</v>
      </c>
      <c r="AI23" s="788">
        <f>'ORÇAMENTO GERAL'!$J$114</f>
        <v>14.4</v>
      </c>
      <c r="AJ23" s="789">
        <f>'ORÇAMENTO GERAL'!$J$117</f>
        <v>214.66</v>
      </c>
      <c r="AK23" s="789">
        <f>'ORÇAMENTO GERAL'!$J$118</f>
        <v>17.12</v>
      </c>
      <c r="AL23" s="787">
        <f>'ORÇAMENTO GERAL'!$J$119</f>
        <v>2.26</v>
      </c>
      <c r="AM23" s="787">
        <f>'ORÇAMENTO GERAL'!$J$120</f>
        <v>1.13</v>
      </c>
      <c r="AN23" s="787">
        <f>'ORÇAMENTO GERAL'!$J$121</f>
        <v>100.39</v>
      </c>
      <c r="AO23" s="787">
        <f>'ORÇAMENTO GERAL'!$J$122</f>
        <v>17.12</v>
      </c>
      <c r="AP23" s="787">
        <f>'ORÇAMENTO GERAL'!$J$123</f>
        <v>2.26</v>
      </c>
      <c r="AQ23" s="787">
        <f>'ORÇAMENTO GERAL'!$J$124</f>
        <v>1.13</v>
      </c>
      <c r="AR23" s="787">
        <f t="shared" si="18"/>
        <v>103791.2</v>
      </c>
    </row>
    <row r="24" spans="1:44" s="790" customFormat="1" ht="90" customHeight="1" thickBot="1">
      <c r="A24" s="779">
        <f>DADOS!A16</f>
        <v>5</v>
      </c>
      <c r="B24" s="780" t="str">
        <f>DADOS!B16</f>
        <v>AL. NOVA ESPERANÇA</v>
      </c>
      <c r="C24" s="781">
        <f>DADOS!E16</f>
        <v>185</v>
      </c>
      <c r="D24" s="782">
        <f>DADOS!F16</f>
        <v>5</v>
      </c>
      <c r="E24" s="782">
        <f t="shared" si="1"/>
        <v>1110</v>
      </c>
      <c r="F24" s="782">
        <v>0.4</v>
      </c>
      <c r="G24" s="782">
        <f t="shared" si="2"/>
        <v>444</v>
      </c>
      <c r="H24" s="782">
        <f t="shared" si="3"/>
        <v>5656.56</v>
      </c>
      <c r="I24" s="782">
        <f t="shared" si="4"/>
        <v>444</v>
      </c>
      <c r="J24" s="782">
        <f t="shared" si="5"/>
        <v>0.1</v>
      </c>
      <c r="K24" s="782">
        <f t="shared" si="6"/>
        <v>111</v>
      </c>
      <c r="L24" s="782">
        <f t="shared" si="7"/>
        <v>4329</v>
      </c>
      <c r="M24" s="782">
        <f t="shared" si="8"/>
        <v>4271.28</v>
      </c>
      <c r="N24" s="782">
        <f t="shared" si="9"/>
        <v>111</v>
      </c>
      <c r="O24" s="782">
        <v>0.1</v>
      </c>
      <c r="P24" s="782">
        <f t="shared" si="10"/>
        <v>111</v>
      </c>
      <c r="Q24" s="782">
        <f t="shared" si="11"/>
        <v>111</v>
      </c>
      <c r="R24" s="782">
        <f t="shared" si="12"/>
        <v>4329</v>
      </c>
      <c r="S24" s="782">
        <f t="shared" si="13"/>
        <v>21789.3</v>
      </c>
      <c r="T24" s="782">
        <v>0.2</v>
      </c>
      <c r="U24" s="782">
        <f t="shared" si="14"/>
        <v>222</v>
      </c>
      <c r="V24" s="782">
        <f t="shared" si="15"/>
        <v>222</v>
      </c>
      <c r="W24" s="782">
        <v>4</v>
      </c>
      <c r="X24" s="783">
        <f t="shared" si="16"/>
        <v>8658</v>
      </c>
      <c r="Y24" s="784">
        <f t="shared" si="17"/>
        <v>2135.64</v>
      </c>
      <c r="AA24" s="786">
        <f t="shared" si="0"/>
        <v>5</v>
      </c>
      <c r="AB24" s="787">
        <f>'ORÇAMENTO GERAL'!$J$107</f>
        <v>6.11</v>
      </c>
      <c r="AC24" s="787">
        <f>'ORÇAMENTO GERAL'!$J$108</f>
        <v>17.12</v>
      </c>
      <c r="AD24" s="787">
        <f>'ORÇAMENTO GERAL'!$J$109</f>
        <v>3.38</v>
      </c>
      <c r="AE24" s="787">
        <f>'ORÇAMENTO GERAL'!$J$110</f>
        <v>17.12</v>
      </c>
      <c r="AF24" s="787">
        <f>'ORÇAMENTO GERAL'!$J$111</f>
        <v>46.54</v>
      </c>
      <c r="AG24" s="787">
        <f>'ORÇAMENTO GERAL'!$J$112</f>
        <v>2.26</v>
      </c>
      <c r="AH24" s="788">
        <f>'ORÇAMENTO GERAL'!$J$113</f>
        <v>1.13</v>
      </c>
      <c r="AI24" s="788">
        <f>'ORÇAMENTO GERAL'!$J$114</f>
        <v>14.4</v>
      </c>
      <c r="AJ24" s="789">
        <f>'ORÇAMENTO GERAL'!$J$117</f>
        <v>214.66</v>
      </c>
      <c r="AK24" s="789">
        <f>'ORÇAMENTO GERAL'!$J$118</f>
        <v>17.12</v>
      </c>
      <c r="AL24" s="787">
        <f>'ORÇAMENTO GERAL'!$J$119</f>
        <v>2.26</v>
      </c>
      <c r="AM24" s="787">
        <f>'ORÇAMENTO GERAL'!$J$120</f>
        <v>1.13</v>
      </c>
      <c r="AN24" s="787">
        <f>'ORÇAMENTO GERAL'!$J$121</f>
        <v>100.39</v>
      </c>
      <c r="AO24" s="787">
        <f>'ORÇAMENTO GERAL'!$J$122</f>
        <v>17.12</v>
      </c>
      <c r="AP24" s="787">
        <f>'ORÇAMENTO GERAL'!$J$123</f>
        <v>2.26</v>
      </c>
      <c r="AQ24" s="787">
        <f>'ORÇAMENTO GERAL'!$J$124</f>
        <v>1.13</v>
      </c>
      <c r="AR24" s="787">
        <f t="shared" si="18"/>
        <v>170678.86</v>
      </c>
    </row>
    <row r="25" spans="1:44" s="790" customFormat="1" ht="90" customHeight="1" hidden="1">
      <c r="A25" s="779">
        <f>DADOS!A17</f>
        <v>6</v>
      </c>
      <c r="B25" s="780">
        <f>DADOS!B17</f>
        <v>0</v>
      </c>
      <c r="C25" s="781">
        <f>DADOS!E17</f>
        <v>0</v>
      </c>
      <c r="D25" s="782">
        <f>DADOS!F17</f>
        <v>0</v>
      </c>
      <c r="E25" s="782">
        <f t="shared" si="1"/>
        <v>0</v>
      </c>
      <c r="F25" s="782"/>
      <c r="G25" s="782">
        <f t="shared" si="2"/>
        <v>0</v>
      </c>
      <c r="H25" s="782">
        <f t="shared" si="3"/>
        <v>0</v>
      </c>
      <c r="I25" s="782">
        <f t="shared" si="4"/>
        <v>0</v>
      </c>
      <c r="J25" s="782">
        <f t="shared" si="5"/>
        <v>0</v>
      </c>
      <c r="K25" s="782">
        <f t="shared" si="6"/>
        <v>0</v>
      </c>
      <c r="L25" s="782">
        <f t="shared" si="7"/>
        <v>0</v>
      </c>
      <c r="M25" s="782">
        <f t="shared" si="8"/>
        <v>0</v>
      </c>
      <c r="N25" s="782">
        <f t="shared" si="9"/>
        <v>0</v>
      </c>
      <c r="O25" s="782"/>
      <c r="P25" s="782">
        <f t="shared" si="10"/>
        <v>0</v>
      </c>
      <c r="Q25" s="782">
        <f t="shared" si="11"/>
        <v>0</v>
      </c>
      <c r="R25" s="782">
        <f t="shared" si="12"/>
        <v>0</v>
      </c>
      <c r="S25" s="782">
        <f t="shared" si="13"/>
        <v>0</v>
      </c>
      <c r="T25" s="782"/>
      <c r="U25" s="782">
        <f t="shared" si="14"/>
        <v>0</v>
      </c>
      <c r="V25" s="782">
        <f t="shared" si="15"/>
        <v>0</v>
      </c>
      <c r="W25" s="782">
        <v>5</v>
      </c>
      <c r="X25" s="783">
        <f t="shared" si="16"/>
        <v>0</v>
      </c>
      <c r="Y25" s="784">
        <f t="shared" si="17"/>
        <v>0</v>
      </c>
      <c r="AA25" s="786">
        <f t="shared" si="0"/>
        <v>6</v>
      </c>
      <c r="AB25" s="787">
        <f>'ORÇAMENTO GERAL'!$J$107</f>
        <v>6.11</v>
      </c>
      <c r="AC25" s="787">
        <f>'ORÇAMENTO GERAL'!$J$108</f>
        <v>17.12</v>
      </c>
      <c r="AD25" s="787">
        <f>'ORÇAMENTO GERAL'!$J$109</f>
        <v>3.38</v>
      </c>
      <c r="AE25" s="787">
        <f>'ORÇAMENTO GERAL'!$J$110</f>
        <v>17.12</v>
      </c>
      <c r="AF25" s="787">
        <f>'ORÇAMENTO GERAL'!$J$111</f>
        <v>46.54</v>
      </c>
      <c r="AG25" s="787">
        <f>'ORÇAMENTO GERAL'!$J$112</f>
        <v>2.26</v>
      </c>
      <c r="AH25" s="788">
        <f>'ORÇAMENTO GERAL'!$J$113</f>
        <v>1.13</v>
      </c>
      <c r="AI25" s="788">
        <f>'ORÇAMENTO GERAL'!$J$114</f>
        <v>14.4</v>
      </c>
      <c r="AJ25" s="789">
        <f>'ORÇAMENTO GERAL'!$J$117</f>
        <v>214.66</v>
      </c>
      <c r="AK25" s="789">
        <f>'ORÇAMENTO GERAL'!$J$118</f>
        <v>17.12</v>
      </c>
      <c r="AL25" s="787">
        <f>'ORÇAMENTO GERAL'!$J$119</f>
        <v>2.26</v>
      </c>
      <c r="AM25" s="787">
        <f>'ORÇAMENTO GERAL'!$J$120</f>
        <v>1.13</v>
      </c>
      <c r="AN25" s="787">
        <f>'ORÇAMENTO GERAL'!$J$121</f>
        <v>100.39</v>
      </c>
      <c r="AO25" s="787">
        <f>'ORÇAMENTO GERAL'!$J$122</f>
        <v>17.12</v>
      </c>
      <c r="AP25" s="787">
        <f>'ORÇAMENTO GERAL'!$J$123</f>
        <v>2.26</v>
      </c>
      <c r="AQ25" s="787">
        <f>'ORÇAMENTO GERAL'!$J$124</f>
        <v>1.13</v>
      </c>
      <c r="AR25" s="787">
        <f t="shared" si="18"/>
        <v>0</v>
      </c>
    </row>
    <row r="26" spans="1:44" s="790" customFormat="1" ht="90" customHeight="1" hidden="1">
      <c r="A26" s="779">
        <f>DADOS!A18</f>
        <v>7</v>
      </c>
      <c r="B26" s="780">
        <f>DADOS!B18</f>
        <v>0</v>
      </c>
      <c r="C26" s="781">
        <f>DADOS!E18</f>
        <v>0</v>
      </c>
      <c r="D26" s="782">
        <f>DADOS!F18</f>
        <v>0</v>
      </c>
      <c r="E26" s="782">
        <f t="shared" si="1"/>
        <v>0</v>
      </c>
      <c r="F26" s="782"/>
      <c r="G26" s="782">
        <f t="shared" si="2"/>
        <v>0</v>
      </c>
      <c r="H26" s="782">
        <f t="shared" si="3"/>
        <v>0</v>
      </c>
      <c r="I26" s="782">
        <f t="shared" si="4"/>
        <v>0</v>
      </c>
      <c r="J26" s="782">
        <f t="shared" si="5"/>
        <v>0</v>
      </c>
      <c r="K26" s="782">
        <f t="shared" si="6"/>
        <v>0</v>
      </c>
      <c r="L26" s="782">
        <f t="shared" si="7"/>
        <v>0</v>
      </c>
      <c r="M26" s="782">
        <f t="shared" si="8"/>
        <v>0</v>
      </c>
      <c r="N26" s="782">
        <f t="shared" si="9"/>
        <v>0</v>
      </c>
      <c r="O26" s="782"/>
      <c r="P26" s="782">
        <f t="shared" si="10"/>
        <v>0</v>
      </c>
      <c r="Q26" s="782">
        <f t="shared" si="11"/>
        <v>0</v>
      </c>
      <c r="R26" s="782">
        <f t="shared" si="12"/>
        <v>0</v>
      </c>
      <c r="S26" s="782">
        <f t="shared" si="13"/>
        <v>0</v>
      </c>
      <c r="T26" s="782"/>
      <c r="U26" s="782">
        <f t="shared" si="14"/>
        <v>0</v>
      </c>
      <c r="V26" s="782">
        <f t="shared" si="15"/>
        <v>0</v>
      </c>
      <c r="W26" s="782">
        <v>6</v>
      </c>
      <c r="X26" s="783">
        <f t="shared" si="16"/>
        <v>0</v>
      </c>
      <c r="Y26" s="784">
        <f t="shared" si="17"/>
        <v>0</v>
      </c>
      <c r="AA26" s="786">
        <f t="shared" si="0"/>
        <v>7</v>
      </c>
      <c r="AB26" s="787">
        <f>'ORÇAMENTO GERAL'!$J$107</f>
        <v>6.11</v>
      </c>
      <c r="AC26" s="787">
        <f>'ORÇAMENTO GERAL'!$J$108</f>
        <v>17.12</v>
      </c>
      <c r="AD26" s="787">
        <f>'ORÇAMENTO GERAL'!$J$109</f>
        <v>3.38</v>
      </c>
      <c r="AE26" s="787">
        <f>'ORÇAMENTO GERAL'!$J$110</f>
        <v>17.12</v>
      </c>
      <c r="AF26" s="787">
        <f>'ORÇAMENTO GERAL'!$J$111</f>
        <v>46.54</v>
      </c>
      <c r="AG26" s="787">
        <f>'ORÇAMENTO GERAL'!$J$112</f>
        <v>2.26</v>
      </c>
      <c r="AH26" s="788">
        <f>'ORÇAMENTO GERAL'!$J$113</f>
        <v>1.13</v>
      </c>
      <c r="AI26" s="788">
        <f>'ORÇAMENTO GERAL'!$J$114</f>
        <v>14.4</v>
      </c>
      <c r="AJ26" s="789">
        <f>'ORÇAMENTO GERAL'!$J$117</f>
        <v>214.66</v>
      </c>
      <c r="AK26" s="789">
        <f>'ORÇAMENTO GERAL'!$J$118</f>
        <v>17.12</v>
      </c>
      <c r="AL26" s="787">
        <f>'ORÇAMENTO GERAL'!$J$119</f>
        <v>2.26</v>
      </c>
      <c r="AM26" s="787">
        <f>'ORÇAMENTO GERAL'!$J$120</f>
        <v>1.13</v>
      </c>
      <c r="AN26" s="787">
        <f>'ORÇAMENTO GERAL'!$J$121</f>
        <v>100.39</v>
      </c>
      <c r="AO26" s="787">
        <f>'ORÇAMENTO GERAL'!$J$122</f>
        <v>17.12</v>
      </c>
      <c r="AP26" s="787">
        <f>'ORÇAMENTO GERAL'!$J$123</f>
        <v>2.26</v>
      </c>
      <c r="AQ26" s="787">
        <f>'ORÇAMENTO GERAL'!$J$124</f>
        <v>1.13</v>
      </c>
      <c r="AR26" s="787">
        <f t="shared" si="18"/>
        <v>0</v>
      </c>
    </row>
    <row r="27" spans="1:44" s="785" customFormat="1" ht="90" customHeight="1" hidden="1">
      <c r="A27" s="779">
        <f>DADOS!A19</f>
        <v>8</v>
      </c>
      <c r="B27" s="780">
        <f>DADOS!B19</f>
        <v>0</v>
      </c>
      <c r="C27" s="781">
        <f>DADOS!E19</f>
        <v>0</v>
      </c>
      <c r="D27" s="782">
        <f>DADOS!F19</f>
        <v>0</v>
      </c>
      <c r="E27" s="782">
        <f t="shared" si="1"/>
        <v>0</v>
      </c>
      <c r="F27" s="782"/>
      <c r="G27" s="782">
        <f t="shared" si="2"/>
        <v>0</v>
      </c>
      <c r="H27" s="782">
        <f t="shared" si="3"/>
        <v>0</v>
      </c>
      <c r="I27" s="782">
        <f t="shared" si="4"/>
        <v>0</v>
      </c>
      <c r="J27" s="782">
        <f t="shared" si="5"/>
        <v>0</v>
      </c>
      <c r="K27" s="782">
        <f t="shared" si="6"/>
        <v>0</v>
      </c>
      <c r="L27" s="782">
        <f t="shared" si="7"/>
        <v>0</v>
      </c>
      <c r="M27" s="782">
        <f t="shared" si="8"/>
        <v>0</v>
      </c>
      <c r="N27" s="782">
        <f t="shared" si="9"/>
        <v>0</v>
      </c>
      <c r="O27" s="782"/>
      <c r="P27" s="782">
        <f t="shared" si="10"/>
        <v>0</v>
      </c>
      <c r="Q27" s="782">
        <f t="shared" si="11"/>
        <v>0</v>
      </c>
      <c r="R27" s="782">
        <f t="shared" si="12"/>
        <v>0</v>
      </c>
      <c r="S27" s="782">
        <f t="shared" si="13"/>
        <v>0</v>
      </c>
      <c r="T27" s="782"/>
      <c r="U27" s="782">
        <f t="shared" si="14"/>
        <v>0</v>
      </c>
      <c r="V27" s="782">
        <f t="shared" si="15"/>
        <v>0</v>
      </c>
      <c r="W27" s="782">
        <v>7</v>
      </c>
      <c r="X27" s="783">
        <f t="shared" si="16"/>
        <v>0</v>
      </c>
      <c r="Y27" s="784">
        <f t="shared" si="17"/>
        <v>0</v>
      </c>
      <c r="AA27" s="786">
        <f t="shared" si="0"/>
        <v>8</v>
      </c>
      <c r="AB27" s="787">
        <f>'ORÇAMENTO GERAL'!$J$107</f>
        <v>6.11</v>
      </c>
      <c r="AC27" s="787">
        <f>'ORÇAMENTO GERAL'!$J$108</f>
        <v>17.12</v>
      </c>
      <c r="AD27" s="787">
        <f>'ORÇAMENTO GERAL'!$J$109</f>
        <v>3.38</v>
      </c>
      <c r="AE27" s="787">
        <f>'ORÇAMENTO GERAL'!$J$110</f>
        <v>17.12</v>
      </c>
      <c r="AF27" s="787">
        <f>'ORÇAMENTO GERAL'!$J$111</f>
        <v>46.54</v>
      </c>
      <c r="AG27" s="787">
        <f>'ORÇAMENTO GERAL'!$J$112</f>
        <v>2.26</v>
      </c>
      <c r="AH27" s="788">
        <f>'ORÇAMENTO GERAL'!$J$113</f>
        <v>1.13</v>
      </c>
      <c r="AI27" s="788">
        <f>'ORÇAMENTO GERAL'!$J$114</f>
        <v>14.4</v>
      </c>
      <c r="AJ27" s="789">
        <f>'ORÇAMENTO GERAL'!$J$117</f>
        <v>214.66</v>
      </c>
      <c r="AK27" s="789">
        <f>'ORÇAMENTO GERAL'!$J$118</f>
        <v>17.12</v>
      </c>
      <c r="AL27" s="787">
        <f>'ORÇAMENTO GERAL'!$J$119</f>
        <v>2.26</v>
      </c>
      <c r="AM27" s="787">
        <f>'ORÇAMENTO GERAL'!$J$120</f>
        <v>1.13</v>
      </c>
      <c r="AN27" s="787">
        <f>'ORÇAMENTO GERAL'!$J$121</f>
        <v>100.39</v>
      </c>
      <c r="AO27" s="787">
        <f>'ORÇAMENTO GERAL'!$J$122</f>
        <v>17.12</v>
      </c>
      <c r="AP27" s="787">
        <f>'ORÇAMENTO GERAL'!$J$123</f>
        <v>2.26</v>
      </c>
      <c r="AQ27" s="787">
        <f>'ORÇAMENTO GERAL'!$J$124</f>
        <v>1.13</v>
      </c>
      <c r="AR27" s="787">
        <f t="shared" si="18"/>
        <v>0</v>
      </c>
    </row>
    <row r="28" spans="1:44" s="785" customFormat="1" ht="90" customHeight="1" hidden="1">
      <c r="A28" s="779">
        <f>DADOS!A20</f>
        <v>9</v>
      </c>
      <c r="B28" s="780">
        <f>DADOS!B20</f>
        <v>0</v>
      </c>
      <c r="C28" s="781">
        <f>DADOS!E20</f>
        <v>0</v>
      </c>
      <c r="D28" s="782">
        <f>DADOS!F20</f>
        <v>0</v>
      </c>
      <c r="E28" s="782">
        <f t="shared" si="1"/>
        <v>0</v>
      </c>
      <c r="F28" s="782"/>
      <c r="G28" s="782">
        <f t="shared" si="2"/>
        <v>0</v>
      </c>
      <c r="H28" s="782">
        <f t="shared" si="3"/>
        <v>0</v>
      </c>
      <c r="I28" s="782">
        <f t="shared" si="4"/>
        <v>0</v>
      </c>
      <c r="J28" s="782">
        <f t="shared" si="5"/>
        <v>0</v>
      </c>
      <c r="K28" s="782">
        <f t="shared" si="6"/>
        <v>0</v>
      </c>
      <c r="L28" s="782">
        <f t="shared" si="7"/>
        <v>0</v>
      </c>
      <c r="M28" s="782">
        <f t="shared" si="8"/>
        <v>0</v>
      </c>
      <c r="N28" s="782">
        <f t="shared" si="9"/>
        <v>0</v>
      </c>
      <c r="O28" s="782"/>
      <c r="P28" s="782">
        <f t="shared" si="10"/>
        <v>0</v>
      </c>
      <c r="Q28" s="782">
        <f t="shared" si="11"/>
        <v>0</v>
      </c>
      <c r="R28" s="782">
        <f t="shared" si="12"/>
        <v>0</v>
      </c>
      <c r="S28" s="782">
        <f t="shared" si="13"/>
        <v>0</v>
      </c>
      <c r="T28" s="782"/>
      <c r="U28" s="782">
        <f t="shared" si="14"/>
        <v>0</v>
      </c>
      <c r="V28" s="782">
        <f t="shared" si="15"/>
        <v>0</v>
      </c>
      <c r="W28" s="782">
        <v>8</v>
      </c>
      <c r="X28" s="783">
        <f t="shared" si="16"/>
        <v>0</v>
      </c>
      <c r="Y28" s="784">
        <f t="shared" si="17"/>
        <v>0</v>
      </c>
      <c r="AA28" s="786">
        <f t="shared" si="0"/>
        <v>9</v>
      </c>
      <c r="AB28" s="787">
        <f>'ORÇAMENTO GERAL'!$J$107</f>
        <v>6.11</v>
      </c>
      <c r="AC28" s="787">
        <f>'ORÇAMENTO GERAL'!$J$108</f>
        <v>17.12</v>
      </c>
      <c r="AD28" s="787">
        <f>'ORÇAMENTO GERAL'!$J$109</f>
        <v>3.38</v>
      </c>
      <c r="AE28" s="787">
        <f>'ORÇAMENTO GERAL'!$J$110</f>
        <v>17.12</v>
      </c>
      <c r="AF28" s="787">
        <f>'ORÇAMENTO GERAL'!$J$111</f>
        <v>46.54</v>
      </c>
      <c r="AG28" s="787">
        <f>'ORÇAMENTO GERAL'!$J$112</f>
        <v>2.26</v>
      </c>
      <c r="AH28" s="788">
        <f>'ORÇAMENTO GERAL'!$J$113</f>
        <v>1.13</v>
      </c>
      <c r="AI28" s="788">
        <f>'ORÇAMENTO GERAL'!$J$114</f>
        <v>14.4</v>
      </c>
      <c r="AJ28" s="789">
        <f>'ORÇAMENTO GERAL'!$J$117</f>
        <v>214.66</v>
      </c>
      <c r="AK28" s="789">
        <f>'ORÇAMENTO GERAL'!$J$118</f>
        <v>17.12</v>
      </c>
      <c r="AL28" s="787">
        <f>'ORÇAMENTO GERAL'!$J$119</f>
        <v>2.26</v>
      </c>
      <c r="AM28" s="787">
        <f>'ORÇAMENTO GERAL'!$J$120</f>
        <v>1.13</v>
      </c>
      <c r="AN28" s="787">
        <f>'ORÇAMENTO GERAL'!$J$121</f>
        <v>100.39</v>
      </c>
      <c r="AO28" s="787">
        <f>'ORÇAMENTO GERAL'!$J$122</f>
        <v>17.12</v>
      </c>
      <c r="AP28" s="787">
        <f>'ORÇAMENTO GERAL'!$J$123</f>
        <v>2.26</v>
      </c>
      <c r="AQ28" s="787">
        <f>'ORÇAMENTO GERAL'!$J$124</f>
        <v>1.13</v>
      </c>
      <c r="AR28" s="787">
        <f t="shared" si="18"/>
        <v>0</v>
      </c>
    </row>
    <row r="29" spans="1:44" s="785" customFormat="1" ht="90" customHeight="1" hidden="1">
      <c r="A29" s="779">
        <f>DADOS!A21</f>
        <v>10</v>
      </c>
      <c r="B29" s="780">
        <f>DADOS!B21</f>
        <v>0</v>
      </c>
      <c r="C29" s="781">
        <f>DADOS!E21</f>
        <v>0</v>
      </c>
      <c r="D29" s="782">
        <f>DADOS!F21</f>
        <v>0</v>
      </c>
      <c r="E29" s="782">
        <f t="shared" si="1"/>
        <v>0</v>
      </c>
      <c r="F29" s="782"/>
      <c r="G29" s="782">
        <f t="shared" si="2"/>
        <v>0</v>
      </c>
      <c r="H29" s="782">
        <f t="shared" si="3"/>
        <v>0</v>
      </c>
      <c r="I29" s="782">
        <f t="shared" si="4"/>
        <v>0</v>
      </c>
      <c r="J29" s="782">
        <f t="shared" si="5"/>
        <v>0</v>
      </c>
      <c r="K29" s="782">
        <f t="shared" si="6"/>
        <v>0</v>
      </c>
      <c r="L29" s="782">
        <f t="shared" si="7"/>
        <v>0</v>
      </c>
      <c r="M29" s="782">
        <f t="shared" si="8"/>
        <v>0</v>
      </c>
      <c r="N29" s="782">
        <f t="shared" si="9"/>
        <v>0</v>
      </c>
      <c r="O29" s="782"/>
      <c r="P29" s="782">
        <f t="shared" si="10"/>
        <v>0</v>
      </c>
      <c r="Q29" s="782">
        <f t="shared" si="11"/>
        <v>0</v>
      </c>
      <c r="R29" s="782">
        <f t="shared" si="12"/>
        <v>0</v>
      </c>
      <c r="S29" s="782">
        <f t="shared" si="13"/>
        <v>0</v>
      </c>
      <c r="T29" s="782"/>
      <c r="U29" s="782">
        <f t="shared" si="14"/>
        <v>0</v>
      </c>
      <c r="V29" s="782">
        <f t="shared" si="15"/>
        <v>0</v>
      </c>
      <c r="W29" s="782">
        <v>9</v>
      </c>
      <c r="X29" s="783">
        <f t="shared" si="16"/>
        <v>0</v>
      </c>
      <c r="Y29" s="784">
        <f t="shared" si="17"/>
        <v>0</v>
      </c>
      <c r="AA29" s="786">
        <f t="shared" si="0"/>
        <v>10</v>
      </c>
      <c r="AB29" s="787">
        <f>'ORÇAMENTO GERAL'!$J$107</f>
        <v>6.11</v>
      </c>
      <c r="AC29" s="787">
        <f>'ORÇAMENTO GERAL'!$J$108</f>
        <v>17.12</v>
      </c>
      <c r="AD29" s="787">
        <f>'ORÇAMENTO GERAL'!$J$109</f>
        <v>3.38</v>
      </c>
      <c r="AE29" s="787">
        <f>'ORÇAMENTO GERAL'!$J$110</f>
        <v>17.12</v>
      </c>
      <c r="AF29" s="787">
        <f>'ORÇAMENTO GERAL'!$J$111</f>
        <v>46.54</v>
      </c>
      <c r="AG29" s="787">
        <f>'ORÇAMENTO GERAL'!$J$112</f>
        <v>2.26</v>
      </c>
      <c r="AH29" s="788">
        <f>'ORÇAMENTO GERAL'!$J$113</f>
        <v>1.13</v>
      </c>
      <c r="AI29" s="788">
        <f>'ORÇAMENTO GERAL'!$J$114</f>
        <v>14.4</v>
      </c>
      <c r="AJ29" s="789">
        <f>'ORÇAMENTO GERAL'!$J$117</f>
        <v>214.66</v>
      </c>
      <c r="AK29" s="789">
        <f>'ORÇAMENTO GERAL'!$J$118</f>
        <v>17.12</v>
      </c>
      <c r="AL29" s="787">
        <f>'ORÇAMENTO GERAL'!$J$119</f>
        <v>2.26</v>
      </c>
      <c r="AM29" s="787">
        <f>'ORÇAMENTO GERAL'!$J$120</f>
        <v>1.13</v>
      </c>
      <c r="AN29" s="787">
        <f>'ORÇAMENTO GERAL'!$J$121</f>
        <v>100.39</v>
      </c>
      <c r="AO29" s="787">
        <f>'ORÇAMENTO GERAL'!$J$122</f>
        <v>17.12</v>
      </c>
      <c r="AP29" s="787">
        <f>'ORÇAMENTO GERAL'!$J$123</f>
        <v>2.26</v>
      </c>
      <c r="AQ29" s="787">
        <f>'ORÇAMENTO GERAL'!$J$124</f>
        <v>1.13</v>
      </c>
      <c r="AR29" s="787">
        <f t="shared" si="18"/>
        <v>0</v>
      </c>
    </row>
    <row r="30" spans="1:44" s="785" customFormat="1" ht="90" customHeight="1" hidden="1">
      <c r="A30" s="779">
        <f>DADOS!A22</f>
        <v>11</v>
      </c>
      <c r="B30" s="780">
        <f>DADOS!B22</f>
        <v>0</v>
      </c>
      <c r="C30" s="781">
        <f>DADOS!E22</f>
        <v>0</v>
      </c>
      <c r="D30" s="782">
        <f>DADOS!F22</f>
        <v>0</v>
      </c>
      <c r="E30" s="782">
        <f t="shared" si="1"/>
        <v>0</v>
      </c>
      <c r="F30" s="782"/>
      <c r="G30" s="782">
        <f t="shared" si="2"/>
        <v>0</v>
      </c>
      <c r="H30" s="782">
        <f t="shared" si="3"/>
        <v>0</v>
      </c>
      <c r="I30" s="782">
        <f t="shared" si="4"/>
        <v>0</v>
      </c>
      <c r="J30" s="782">
        <f t="shared" si="5"/>
        <v>0</v>
      </c>
      <c r="K30" s="782">
        <f t="shared" si="6"/>
        <v>0</v>
      </c>
      <c r="L30" s="782">
        <f t="shared" si="7"/>
        <v>0</v>
      </c>
      <c r="M30" s="782">
        <f t="shared" si="8"/>
        <v>0</v>
      </c>
      <c r="N30" s="782">
        <f t="shared" si="9"/>
        <v>0</v>
      </c>
      <c r="O30" s="782"/>
      <c r="P30" s="782">
        <f t="shared" si="10"/>
        <v>0</v>
      </c>
      <c r="Q30" s="782">
        <f t="shared" si="11"/>
        <v>0</v>
      </c>
      <c r="R30" s="782">
        <f t="shared" si="12"/>
        <v>0</v>
      </c>
      <c r="S30" s="782">
        <f t="shared" si="13"/>
        <v>0</v>
      </c>
      <c r="T30" s="782"/>
      <c r="U30" s="782">
        <f t="shared" si="14"/>
        <v>0</v>
      </c>
      <c r="V30" s="782">
        <f t="shared" si="15"/>
        <v>0</v>
      </c>
      <c r="W30" s="782">
        <v>10</v>
      </c>
      <c r="X30" s="783">
        <f t="shared" si="16"/>
        <v>0</v>
      </c>
      <c r="Y30" s="784">
        <f t="shared" si="17"/>
        <v>0</v>
      </c>
      <c r="AA30" s="786">
        <f t="shared" si="0"/>
        <v>11</v>
      </c>
      <c r="AB30" s="787">
        <f>'ORÇAMENTO GERAL'!$J$107</f>
        <v>6.11</v>
      </c>
      <c r="AC30" s="787">
        <f>'ORÇAMENTO GERAL'!$J$108</f>
        <v>17.12</v>
      </c>
      <c r="AD30" s="787">
        <f>'ORÇAMENTO GERAL'!$J$109</f>
        <v>3.38</v>
      </c>
      <c r="AE30" s="787">
        <f>'ORÇAMENTO GERAL'!$J$110</f>
        <v>17.12</v>
      </c>
      <c r="AF30" s="787">
        <f>'ORÇAMENTO GERAL'!$J$111</f>
        <v>46.54</v>
      </c>
      <c r="AG30" s="787">
        <f>'ORÇAMENTO GERAL'!$J$112</f>
        <v>2.26</v>
      </c>
      <c r="AH30" s="788">
        <f>'ORÇAMENTO GERAL'!$J$113</f>
        <v>1.13</v>
      </c>
      <c r="AI30" s="788">
        <f>'ORÇAMENTO GERAL'!$J$114</f>
        <v>14.4</v>
      </c>
      <c r="AJ30" s="789">
        <f>'ORÇAMENTO GERAL'!$J$117</f>
        <v>214.66</v>
      </c>
      <c r="AK30" s="789">
        <f>'ORÇAMENTO GERAL'!$J$118</f>
        <v>17.12</v>
      </c>
      <c r="AL30" s="787">
        <f>'ORÇAMENTO GERAL'!$J$119</f>
        <v>2.26</v>
      </c>
      <c r="AM30" s="787">
        <f>'ORÇAMENTO GERAL'!$J$120</f>
        <v>1.13</v>
      </c>
      <c r="AN30" s="787">
        <f>'ORÇAMENTO GERAL'!$J$121</f>
        <v>100.39</v>
      </c>
      <c r="AO30" s="787">
        <f>'ORÇAMENTO GERAL'!$J$122</f>
        <v>17.12</v>
      </c>
      <c r="AP30" s="787">
        <f>'ORÇAMENTO GERAL'!$J$123</f>
        <v>2.26</v>
      </c>
      <c r="AQ30" s="787">
        <f>'ORÇAMENTO GERAL'!$J$124</f>
        <v>1.13</v>
      </c>
      <c r="AR30" s="787">
        <f t="shared" si="18"/>
        <v>0</v>
      </c>
    </row>
    <row r="31" spans="1:44" s="790" customFormat="1" ht="90" customHeight="1" hidden="1">
      <c r="A31" s="779">
        <f>DADOS!A23</f>
        <v>12</v>
      </c>
      <c r="B31" s="780">
        <f>DADOS!B23</f>
        <v>0</v>
      </c>
      <c r="C31" s="781">
        <f>DADOS!E23</f>
        <v>0</v>
      </c>
      <c r="D31" s="782">
        <f>DADOS!F23</f>
        <v>0</v>
      </c>
      <c r="E31" s="782">
        <f t="shared" si="1"/>
        <v>0</v>
      </c>
      <c r="F31" s="782"/>
      <c r="G31" s="782">
        <f t="shared" si="2"/>
        <v>0</v>
      </c>
      <c r="H31" s="782">
        <f t="shared" si="3"/>
        <v>0</v>
      </c>
      <c r="I31" s="782">
        <f t="shared" si="4"/>
        <v>0</v>
      </c>
      <c r="J31" s="782">
        <f t="shared" si="5"/>
        <v>0</v>
      </c>
      <c r="K31" s="782">
        <f t="shared" si="6"/>
        <v>0</v>
      </c>
      <c r="L31" s="782">
        <f t="shared" si="7"/>
        <v>0</v>
      </c>
      <c r="M31" s="782">
        <f t="shared" si="8"/>
        <v>0</v>
      </c>
      <c r="N31" s="782">
        <f t="shared" si="9"/>
        <v>0</v>
      </c>
      <c r="O31" s="782"/>
      <c r="P31" s="782">
        <f t="shared" si="10"/>
        <v>0</v>
      </c>
      <c r="Q31" s="782">
        <f t="shared" si="11"/>
        <v>0</v>
      </c>
      <c r="R31" s="782">
        <f t="shared" si="12"/>
        <v>0</v>
      </c>
      <c r="S31" s="782">
        <f t="shared" si="13"/>
        <v>0</v>
      </c>
      <c r="T31" s="782"/>
      <c r="U31" s="782">
        <f t="shared" si="14"/>
        <v>0</v>
      </c>
      <c r="V31" s="782">
        <f t="shared" si="15"/>
        <v>0</v>
      </c>
      <c r="W31" s="782">
        <v>11</v>
      </c>
      <c r="X31" s="783">
        <f t="shared" si="16"/>
        <v>0</v>
      </c>
      <c r="Y31" s="784">
        <f t="shared" si="17"/>
        <v>0</v>
      </c>
      <c r="AA31" s="786">
        <f t="shared" si="0"/>
        <v>12</v>
      </c>
      <c r="AB31" s="787">
        <f>'ORÇAMENTO GERAL'!$J$107</f>
        <v>6.11</v>
      </c>
      <c r="AC31" s="787">
        <f>'ORÇAMENTO GERAL'!$J$108</f>
        <v>17.12</v>
      </c>
      <c r="AD31" s="787">
        <f>'ORÇAMENTO GERAL'!$J$109</f>
        <v>3.38</v>
      </c>
      <c r="AE31" s="787">
        <f>'ORÇAMENTO GERAL'!$J$110</f>
        <v>17.12</v>
      </c>
      <c r="AF31" s="787">
        <f>'ORÇAMENTO GERAL'!$J$111</f>
        <v>46.54</v>
      </c>
      <c r="AG31" s="787">
        <f>'ORÇAMENTO GERAL'!$J$112</f>
        <v>2.26</v>
      </c>
      <c r="AH31" s="788">
        <f>'ORÇAMENTO GERAL'!$J$113</f>
        <v>1.13</v>
      </c>
      <c r="AI31" s="788">
        <f>'ORÇAMENTO GERAL'!$J$114</f>
        <v>14.4</v>
      </c>
      <c r="AJ31" s="789">
        <f>'ORÇAMENTO GERAL'!$J$117</f>
        <v>214.66</v>
      </c>
      <c r="AK31" s="789">
        <f>'ORÇAMENTO GERAL'!$J$118</f>
        <v>17.12</v>
      </c>
      <c r="AL31" s="787">
        <f>'ORÇAMENTO GERAL'!$J$119</f>
        <v>2.26</v>
      </c>
      <c r="AM31" s="787">
        <f>'ORÇAMENTO GERAL'!$J$120</f>
        <v>1.13</v>
      </c>
      <c r="AN31" s="787">
        <f>'ORÇAMENTO GERAL'!$J$121</f>
        <v>100.39</v>
      </c>
      <c r="AO31" s="787">
        <f>'ORÇAMENTO GERAL'!$J$122</f>
        <v>17.12</v>
      </c>
      <c r="AP31" s="787">
        <f>'ORÇAMENTO GERAL'!$J$123</f>
        <v>2.26</v>
      </c>
      <c r="AQ31" s="787">
        <f>'ORÇAMENTO GERAL'!$J$124</f>
        <v>1.13</v>
      </c>
      <c r="AR31" s="787">
        <f t="shared" si="18"/>
        <v>0</v>
      </c>
    </row>
    <row r="32" spans="1:44" s="790" customFormat="1" ht="90" customHeight="1" hidden="1">
      <c r="A32" s="779">
        <f>DADOS!A24</f>
        <v>13</v>
      </c>
      <c r="B32" s="780">
        <f>DADOS!B24</f>
        <v>0</v>
      </c>
      <c r="C32" s="781">
        <f>DADOS!E24</f>
        <v>0</v>
      </c>
      <c r="D32" s="782">
        <f>DADOS!F24</f>
        <v>0</v>
      </c>
      <c r="E32" s="782">
        <f t="shared" si="1"/>
        <v>0</v>
      </c>
      <c r="F32" s="782"/>
      <c r="G32" s="782">
        <f t="shared" si="2"/>
        <v>0</v>
      </c>
      <c r="H32" s="782">
        <f t="shared" si="3"/>
        <v>0</v>
      </c>
      <c r="I32" s="782">
        <f t="shared" si="4"/>
        <v>0</v>
      </c>
      <c r="J32" s="782">
        <f t="shared" si="5"/>
        <v>0</v>
      </c>
      <c r="K32" s="782">
        <f t="shared" si="6"/>
        <v>0</v>
      </c>
      <c r="L32" s="782">
        <f t="shared" si="7"/>
        <v>0</v>
      </c>
      <c r="M32" s="782">
        <f t="shared" si="8"/>
        <v>0</v>
      </c>
      <c r="N32" s="782">
        <f t="shared" si="9"/>
        <v>0</v>
      </c>
      <c r="O32" s="782"/>
      <c r="P32" s="782">
        <f t="shared" si="10"/>
        <v>0</v>
      </c>
      <c r="Q32" s="782">
        <f t="shared" si="11"/>
        <v>0</v>
      </c>
      <c r="R32" s="782">
        <f t="shared" si="12"/>
        <v>0</v>
      </c>
      <c r="S32" s="782">
        <f t="shared" si="13"/>
        <v>0</v>
      </c>
      <c r="T32" s="782"/>
      <c r="U32" s="782">
        <f t="shared" si="14"/>
        <v>0</v>
      </c>
      <c r="V32" s="782">
        <f t="shared" si="15"/>
        <v>0</v>
      </c>
      <c r="W32" s="782">
        <v>12</v>
      </c>
      <c r="X32" s="783">
        <f t="shared" si="16"/>
        <v>0</v>
      </c>
      <c r="Y32" s="784">
        <f t="shared" si="17"/>
        <v>0</v>
      </c>
      <c r="AA32" s="786">
        <f t="shared" si="0"/>
        <v>13</v>
      </c>
      <c r="AB32" s="787">
        <f>'ORÇAMENTO GERAL'!$J$107</f>
        <v>6.11</v>
      </c>
      <c r="AC32" s="787">
        <f>'ORÇAMENTO GERAL'!$J$108</f>
        <v>17.12</v>
      </c>
      <c r="AD32" s="787">
        <f>'ORÇAMENTO GERAL'!$J$109</f>
        <v>3.38</v>
      </c>
      <c r="AE32" s="787">
        <f>'ORÇAMENTO GERAL'!$J$110</f>
        <v>17.12</v>
      </c>
      <c r="AF32" s="787">
        <f>'ORÇAMENTO GERAL'!$J$111</f>
        <v>46.54</v>
      </c>
      <c r="AG32" s="787">
        <f>'ORÇAMENTO GERAL'!$J$112</f>
        <v>2.26</v>
      </c>
      <c r="AH32" s="788">
        <f>'ORÇAMENTO GERAL'!$J$113</f>
        <v>1.13</v>
      </c>
      <c r="AI32" s="788">
        <f>'ORÇAMENTO GERAL'!$J$114</f>
        <v>14.4</v>
      </c>
      <c r="AJ32" s="789">
        <f>'ORÇAMENTO GERAL'!$J$117</f>
        <v>214.66</v>
      </c>
      <c r="AK32" s="789">
        <f>'ORÇAMENTO GERAL'!$J$118</f>
        <v>17.12</v>
      </c>
      <c r="AL32" s="787">
        <f>'ORÇAMENTO GERAL'!$J$119</f>
        <v>2.26</v>
      </c>
      <c r="AM32" s="787">
        <f>'ORÇAMENTO GERAL'!$J$120</f>
        <v>1.13</v>
      </c>
      <c r="AN32" s="787">
        <f>'ORÇAMENTO GERAL'!$J$121</f>
        <v>100.39</v>
      </c>
      <c r="AO32" s="787">
        <f>'ORÇAMENTO GERAL'!$J$122</f>
        <v>17.12</v>
      </c>
      <c r="AP32" s="787">
        <f>'ORÇAMENTO GERAL'!$J$123</f>
        <v>2.26</v>
      </c>
      <c r="AQ32" s="787">
        <f>'ORÇAMENTO GERAL'!$J$124</f>
        <v>1.13</v>
      </c>
      <c r="AR32" s="787">
        <f t="shared" si="18"/>
        <v>0</v>
      </c>
    </row>
    <row r="33" spans="1:44" s="790" customFormat="1" ht="90" customHeight="1" hidden="1">
      <c r="A33" s="779">
        <f>DADOS!A25</f>
        <v>14</v>
      </c>
      <c r="B33" s="780">
        <f>DADOS!B25</f>
        <v>0</v>
      </c>
      <c r="C33" s="781">
        <f>DADOS!E25</f>
        <v>0</v>
      </c>
      <c r="D33" s="782">
        <f>DADOS!F25</f>
        <v>0</v>
      </c>
      <c r="E33" s="782">
        <f t="shared" si="1"/>
        <v>0</v>
      </c>
      <c r="F33" s="782"/>
      <c r="G33" s="782">
        <f t="shared" si="2"/>
        <v>0</v>
      </c>
      <c r="H33" s="782">
        <f t="shared" si="3"/>
        <v>0</v>
      </c>
      <c r="I33" s="782">
        <f t="shared" si="4"/>
        <v>0</v>
      </c>
      <c r="J33" s="782">
        <f t="shared" si="5"/>
        <v>0</v>
      </c>
      <c r="K33" s="782">
        <f t="shared" si="6"/>
        <v>0</v>
      </c>
      <c r="L33" s="782">
        <f t="shared" si="7"/>
        <v>0</v>
      </c>
      <c r="M33" s="782">
        <f t="shared" si="8"/>
        <v>0</v>
      </c>
      <c r="N33" s="782">
        <f t="shared" si="9"/>
        <v>0</v>
      </c>
      <c r="O33" s="782"/>
      <c r="P33" s="782">
        <f t="shared" si="10"/>
        <v>0</v>
      </c>
      <c r="Q33" s="782">
        <f t="shared" si="11"/>
        <v>0</v>
      </c>
      <c r="R33" s="782">
        <f t="shared" si="12"/>
        <v>0</v>
      </c>
      <c r="S33" s="782">
        <f t="shared" si="13"/>
        <v>0</v>
      </c>
      <c r="T33" s="782"/>
      <c r="U33" s="782">
        <f t="shared" si="14"/>
        <v>0</v>
      </c>
      <c r="V33" s="782">
        <f t="shared" si="15"/>
        <v>0</v>
      </c>
      <c r="W33" s="782">
        <v>13</v>
      </c>
      <c r="X33" s="783">
        <f t="shared" si="16"/>
        <v>0</v>
      </c>
      <c r="Y33" s="784">
        <f t="shared" si="17"/>
        <v>0</v>
      </c>
      <c r="AA33" s="786">
        <f t="shared" si="0"/>
        <v>14</v>
      </c>
      <c r="AB33" s="787">
        <f>'ORÇAMENTO GERAL'!$J$107</f>
        <v>6.11</v>
      </c>
      <c r="AC33" s="787">
        <f>'ORÇAMENTO GERAL'!$J$108</f>
        <v>17.12</v>
      </c>
      <c r="AD33" s="787">
        <f>'ORÇAMENTO GERAL'!$J$109</f>
        <v>3.38</v>
      </c>
      <c r="AE33" s="787">
        <f>'ORÇAMENTO GERAL'!$J$110</f>
        <v>17.12</v>
      </c>
      <c r="AF33" s="787">
        <f>'ORÇAMENTO GERAL'!$J$111</f>
        <v>46.54</v>
      </c>
      <c r="AG33" s="787">
        <f>'ORÇAMENTO GERAL'!$J$112</f>
        <v>2.26</v>
      </c>
      <c r="AH33" s="788">
        <f>'ORÇAMENTO GERAL'!$J$113</f>
        <v>1.13</v>
      </c>
      <c r="AI33" s="788">
        <f>'ORÇAMENTO GERAL'!$J$114</f>
        <v>14.4</v>
      </c>
      <c r="AJ33" s="789">
        <f>'ORÇAMENTO GERAL'!$J$117</f>
        <v>214.66</v>
      </c>
      <c r="AK33" s="789">
        <f>'ORÇAMENTO GERAL'!$J$118</f>
        <v>17.12</v>
      </c>
      <c r="AL33" s="787">
        <f>'ORÇAMENTO GERAL'!$J$119</f>
        <v>2.26</v>
      </c>
      <c r="AM33" s="787">
        <f>'ORÇAMENTO GERAL'!$J$120</f>
        <v>1.13</v>
      </c>
      <c r="AN33" s="787">
        <f>'ORÇAMENTO GERAL'!$J$121</f>
        <v>100.39</v>
      </c>
      <c r="AO33" s="787">
        <f>'ORÇAMENTO GERAL'!$J$122</f>
        <v>17.12</v>
      </c>
      <c r="AP33" s="787">
        <f>'ORÇAMENTO GERAL'!$J$123</f>
        <v>2.26</v>
      </c>
      <c r="AQ33" s="787">
        <f>'ORÇAMENTO GERAL'!$J$124</f>
        <v>1.13</v>
      </c>
      <c r="AR33" s="787">
        <f t="shared" si="18"/>
        <v>0</v>
      </c>
    </row>
    <row r="34" spans="1:44" s="790" customFormat="1" ht="90" customHeight="1" hidden="1">
      <c r="A34" s="779">
        <f>DADOS!A26</f>
        <v>15</v>
      </c>
      <c r="B34" s="780">
        <f>DADOS!B26</f>
        <v>0</v>
      </c>
      <c r="C34" s="781">
        <f>DADOS!E26</f>
        <v>0</v>
      </c>
      <c r="D34" s="782">
        <f>DADOS!F26</f>
        <v>0</v>
      </c>
      <c r="E34" s="782">
        <f t="shared" si="1"/>
        <v>0</v>
      </c>
      <c r="F34" s="782"/>
      <c r="G34" s="782">
        <f t="shared" si="2"/>
        <v>0</v>
      </c>
      <c r="H34" s="782">
        <f t="shared" si="3"/>
        <v>0</v>
      </c>
      <c r="I34" s="782">
        <f t="shared" si="4"/>
        <v>0</v>
      </c>
      <c r="J34" s="782">
        <f t="shared" si="5"/>
        <v>0</v>
      </c>
      <c r="K34" s="782">
        <f t="shared" si="6"/>
        <v>0</v>
      </c>
      <c r="L34" s="782">
        <f t="shared" si="7"/>
        <v>0</v>
      </c>
      <c r="M34" s="782">
        <f t="shared" si="8"/>
        <v>0</v>
      </c>
      <c r="N34" s="782">
        <f t="shared" si="9"/>
        <v>0</v>
      </c>
      <c r="O34" s="782"/>
      <c r="P34" s="782">
        <f t="shared" si="10"/>
        <v>0</v>
      </c>
      <c r="Q34" s="782">
        <f t="shared" si="11"/>
        <v>0</v>
      </c>
      <c r="R34" s="782">
        <f t="shared" si="12"/>
        <v>0</v>
      </c>
      <c r="S34" s="782">
        <f t="shared" si="13"/>
        <v>0</v>
      </c>
      <c r="T34" s="782"/>
      <c r="U34" s="782">
        <f t="shared" si="14"/>
        <v>0</v>
      </c>
      <c r="V34" s="782">
        <f t="shared" si="15"/>
        <v>0</v>
      </c>
      <c r="W34" s="782">
        <v>14</v>
      </c>
      <c r="X34" s="783">
        <f t="shared" si="16"/>
        <v>0</v>
      </c>
      <c r="Y34" s="784">
        <f t="shared" si="17"/>
        <v>0</v>
      </c>
      <c r="AA34" s="786">
        <f t="shared" si="0"/>
        <v>15</v>
      </c>
      <c r="AB34" s="787">
        <f>'ORÇAMENTO GERAL'!$J$107</f>
        <v>6.11</v>
      </c>
      <c r="AC34" s="787">
        <f>'ORÇAMENTO GERAL'!$J$108</f>
        <v>17.12</v>
      </c>
      <c r="AD34" s="787">
        <f>'ORÇAMENTO GERAL'!$J$109</f>
        <v>3.38</v>
      </c>
      <c r="AE34" s="787">
        <f>'ORÇAMENTO GERAL'!$J$110</f>
        <v>17.12</v>
      </c>
      <c r="AF34" s="787">
        <f>'ORÇAMENTO GERAL'!$J$111</f>
        <v>46.54</v>
      </c>
      <c r="AG34" s="787">
        <f>'ORÇAMENTO GERAL'!$J$112</f>
        <v>2.26</v>
      </c>
      <c r="AH34" s="788">
        <f>'ORÇAMENTO GERAL'!$J$113</f>
        <v>1.13</v>
      </c>
      <c r="AI34" s="788">
        <f>'ORÇAMENTO GERAL'!$J$114</f>
        <v>14.4</v>
      </c>
      <c r="AJ34" s="789">
        <f>'ORÇAMENTO GERAL'!$J$117</f>
        <v>214.66</v>
      </c>
      <c r="AK34" s="789">
        <f>'ORÇAMENTO GERAL'!$J$118</f>
        <v>17.12</v>
      </c>
      <c r="AL34" s="787">
        <f>'ORÇAMENTO GERAL'!$J$119</f>
        <v>2.26</v>
      </c>
      <c r="AM34" s="787">
        <f>'ORÇAMENTO GERAL'!$J$120</f>
        <v>1.13</v>
      </c>
      <c r="AN34" s="787">
        <f>'ORÇAMENTO GERAL'!$J$121</f>
        <v>100.39</v>
      </c>
      <c r="AO34" s="787">
        <f>'ORÇAMENTO GERAL'!$J$122</f>
        <v>17.12</v>
      </c>
      <c r="AP34" s="787">
        <f>'ORÇAMENTO GERAL'!$J$123</f>
        <v>2.26</v>
      </c>
      <c r="AQ34" s="787">
        <f>'ORÇAMENTO GERAL'!$J$124</f>
        <v>1.13</v>
      </c>
      <c r="AR34" s="787">
        <f t="shared" si="18"/>
        <v>0</v>
      </c>
    </row>
    <row r="35" spans="1:44" s="790" customFormat="1" ht="90" customHeight="1" hidden="1">
      <c r="A35" s="779">
        <f>DADOS!A27</f>
        <v>16</v>
      </c>
      <c r="B35" s="780">
        <f>DADOS!B27</f>
        <v>0</v>
      </c>
      <c r="C35" s="781">
        <f>DADOS!E27</f>
        <v>0</v>
      </c>
      <c r="D35" s="782">
        <f>DADOS!F27</f>
        <v>0</v>
      </c>
      <c r="E35" s="782">
        <f t="shared" si="1"/>
        <v>0</v>
      </c>
      <c r="F35" s="782"/>
      <c r="G35" s="782">
        <f t="shared" si="2"/>
        <v>0</v>
      </c>
      <c r="H35" s="782">
        <f t="shared" si="3"/>
        <v>0</v>
      </c>
      <c r="I35" s="782">
        <f t="shared" si="4"/>
        <v>0</v>
      </c>
      <c r="J35" s="782">
        <f t="shared" si="5"/>
        <v>0</v>
      </c>
      <c r="K35" s="782">
        <f t="shared" si="6"/>
        <v>0</v>
      </c>
      <c r="L35" s="782">
        <f t="shared" si="7"/>
        <v>0</v>
      </c>
      <c r="M35" s="782">
        <f t="shared" si="8"/>
        <v>0</v>
      </c>
      <c r="N35" s="782">
        <f t="shared" si="9"/>
        <v>0</v>
      </c>
      <c r="O35" s="782"/>
      <c r="P35" s="782">
        <f t="shared" si="10"/>
        <v>0</v>
      </c>
      <c r="Q35" s="782">
        <f t="shared" si="11"/>
        <v>0</v>
      </c>
      <c r="R35" s="782">
        <f t="shared" si="12"/>
        <v>0</v>
      </c>
      <c r="S35" s="782">
        <f t="shared" si="13"/>
        <v>0</v>
      </c>
      <c r="T35" s="782"/>
      <c r="U35" s="782">
        <f t="shared" si="14"/>
        <v>0</v>
      </c>
      <c r="V35" s="782">
        <f t="shared" si="15"/>
        <v>0</v>
      </c>
      <c r="W35" s="782">
        <v>15</v>
      </c>
      <c r="X35" s="783">
        <f t="shared" si="16"/>
        <v>0</v>
      </c>
      <c r="Y35" s="784">
        <f t="shared" si="17"/>
        <v>0</v>
      </c>
      <c r="AA35" s="786">
        <f t="shared" si="0"/>
        <v>16</v>
      </c>
      <c r="AB35" s="787">
        <f>'ORÇAMENTO GERAL'!$J$107</f>
        <v>6.11</v>
      </c>
      <c r="AC35" s="787">
        <f>'ORÇAMENTO GERAL'!$J$108</f>
        <v>17.12</v>
      </c>
      <c r="AD35" s="787">
        <f>'ORÇAMENTO GERAL'!$J$109</f>
        <v>3.38</v>
      </c>
      <c r="AE35" s="787">
        <f>'ORÇAMENTO GERAL'!$J$110</f>
        <v>17.12</v>
      </c>
      <c r="AF35" s="787">
        <f>'ORÇAMENTO GERAL'!$J$111</f>
        <v>46.54</v>
      </c>
      <c r="AG35" s="787">
        <f>'ORÇAMENTO GERAL'!$J$112</f>
        <v>2.26</v>
      </c>
      <c r="AH35" s="788">
        <f>'ORÇAMENTO GERAL'!$J$113</f>
        <v>1.13</v>
      </c>
      <c r="AI35" s="788">
        <f>'ORÇAMENTO GERAL'!$J$114</f>
        <v>14.4</v>
      </c>
      <c r="AJ35" s="789">
        <f>'ORÇAMENTO GERAL'!$J$117</f>
        <v>214.66</v>
      </c>
      <c r="AK35" s="789">
        <f>'ORÇAMENTO GERAL'!$J$118</f>
        <v>17.12</v>
      </c>
      <c r="AL35" s="787">
        <f>'ORÇAMENTO GERAL'!$J$119</f>
        <v>2.26</v>
      </c>
      <c r="AM35" s="787">
        <f>'ORÇAMENTO GERAL'!$J$120</f>
        <v>1.13</v>
      </c>
      <c r="AN35" s="787">
        <f>'ORÇAMENTO GERAL'!$J$121</f>
        <v>100.39</v>
      </c>
      <c r="AO35" s="787">
        <f>'ORÇAMENTO GERAL'!$J$122</f>
        <v>17.12</v>
      </c>
      <c r="AP35" s="787">
        <f>'ORÇAMENTO GERAL'!$J$123</f>
        <v>2.26</v>
      </c>
      <c r="AQ35" s="787">
        <f>'ORÇAMENTO GERAL'!$J$124</f>
        <v>1.13</v>
      </c>
      <c r="AR35" s="787">
        <f t="shared" si="18"/>
        <v>0</v>
      </c>
    </row>
    <row r="36" spans="1:44" s="785" customFormat="1" ht="90" customHeight="1" hidden="1">
      <c r="A36" s="779">
        <f>DADOS!A28</f>
        <v>17</v>
      </c>
      <c r="B36" s="780">
        <f>DADOS!B28</f>
        <v>0</v>
      </c>
      <c r="C36" s="781">
        <f>DADOS!E28</f>
        <v>0</v>
      </c>
      <c r="D36" s="782">
        <f>DADOS!F28</f>
        <v>0</v>
      </c>
      <c r="E36" s="782">
        <f t="shared" si="1"/>
        <v>0</v>
      </c>
      <c r="F36" s="782"/>
      <c r="G36" s="782">
        <f t="shared" si="2"/>
        <v>0</v>
      </c>
      <c r="H36" s="782">
        <f t="shared" si="3"/>
        <v>0</v>
      </c>
      <c r="I36" s="782">
        <f t="shared" si="4"/>
        <v>0</v>
      </c>
      <c r="J36" s="782">
        <f t="shared" si="5"/>
        <v>0</v>
      </c>
      <c r="K36" s="782">
        <f t="shared" si="6"/>
        <v>0</v>
      </c>
      <c r="L36" s="782">
        <f t="shared" si="7"/>
        <v>0</v>
      </c>
      <c r="M36" s="782">
        <f t="shared" si="8"/>
        <v>0</v>
      </c>
      <c r="N36" s="782">
        <f t="shared" si="9"/>
        <v>0</v>
      </c>
      <c r="O36" s="782"/>
      <c r="P36" s="782">
        <f t="shared" si="10"/>
        <v>0</v>
      </c>
      <c r="Q36" s="782">
        <f t="shared" si="11"/>
        <v>0</v>
      </c>
      <c r="R36" s="782">
        <f t="shared" si="12"/>
        <v>0</v>
      </c>
      <c r="S36" s="782">
        <f t="shared" si="13"/>
        <v>0</v>
      </c>
      <c r="T36" s="782"/>
      <c r="U36" s="782">
        <f t="shared" si="14"/>
        <v>0</v>
      </c>
      <c r="V36" s="782">
        <f t="shared" si="15"/>
        <v>0</v>
      </c>
      <c r="W36" s="782">
        <v>16</v>
      </c>
      <c r="X36" s="783">
        <f t="shared" si="16"/>
        <v>0</v>
      </c>
      <c r="Y36" s="784">
        <f t="shared" si="17"/>
        <v>0</v>
      </c>
      <c r="AA36" s="786">
        <f t="shared" si="0"/>
        <v>17</v>
      </c>
      <c r="AB36" s="787">
        <f>'ORÇAMENTO GERAL'!$J$107</f>
        <v>6.11</v>
      </c>
      <c r="AC36" s="787">
        <f>'ORÇAMENTO GERAL'!$J$108</f>
        <v>17.12</v>
      </c>
      <c r="AD36" s="787">
        <f>'ORÇAMENTO GERAL'!$J$109</f>
        <v>3.38</v>
      </c>
      <c r="AE36" s="787">
        <f>'ORÇAMENTO GERAL'!$J$110</f>
        <v>17.12</v>
      </c>
      <c r="AF36" s="787">
        <f>'ORÇAMENTO GERAL'!$J$111</f>
        <v>46.54</v>
      </c>
      <c r="AG36" s="787">
        <f>'ORÇAMENTO GERAL'!$J$112</f>
        <v>2.26</v>
      </c>
      <c r="AH36" s="788">
        <f>'ORÇAMENTO GERAL'!$J$113</f>
        <v>1.13</v>
      </c>
      <c r="AI36" s="788">
        <f>'ORÇAMENTO GERAL'!$J$114</f>
        <v>14.4</v>
      </c>
      <c r="AJ36" s="789">
        <f>'ORÇAMENTO GERAL'!$J$117</f>
        <v>214.66</v>
      </c>
      <c r="AK36" s="789">
        <f>'ORÇAMENTO GERAL'!$J$118</f>
        <v>17.12</v>
      </c>
      <c r="AL36" s="787">
        <f>'ORÇAMENTO GERAL'!$J$119</f>
        <v>2.26</v>
      </c>
      <c r="AM36" s="787">
        <f>'ORÇAMENTO GERAL'!$J$120</f>
        <v>1.13</v>
      </c>
      <c r="AN36" s="787">
        <f>'ORÇAMENTO GERAL'!$J$121</f>
        <v>100.39</v>
      </c>
      <c r="AO36" s="787">
        <f>'ORÇAMENTO GERAL'!$J$122</f>
        <v>17.12</v>
      </c>
      <c r="AP36" s="787">
        <f>'ORÇAMENTO GERAL'!$J$123</f>
        <v>2.26</v>
      </c>
      <c r="AQ36" s="787">
        <f>'ORÇAMENTO GERAL'!$J$124</f>
        <v>1.13</v>
      </c>
      <c r="AR36" s="787">
        <f t="shared" si="18"/>
        <v>0</v>
      </c>
    </row>
    <row r="37" spans="1:44" s="785" customFormat="1" ht="90" customHeight="1" hidden="1">
      <c r="A37" s="779">
        <f>DADOS!A29</f>
        <v>18</v>
      </c>
      <c r="B37" s="780">
        <f>DADOS!B29</f>
        <v>0</v>
      </c>
      <c r="C37" s="781">
        <f>DADOS!E29</f>
        <v>0</v>
      </c>
      <c r="D37" s="782">
        <f>DADOS!F29</f>
        <v>0</v>
      </c>
      <c r="E37" s="782">
        <f t="shared" si="1"/>
        <v>0</v>
      </c>
      <c r="F37" s="782"/>
      <c r="G37" s="782">
        <f t="shared" si="2"/>
        <v>0</v>
      </c>
      <c r="H37" s="782">
        <f t="shared" si="3"/>
        <v>0</v>
      </c>
      <c r="I37" s="782">
        <f t="shared" si="4"/>
        <v>0</v>
      </c>
      <c r="J37" s="782">
        <f t="shared" si="5"/>
        <v>0</v>
      </c>
      <c r="K37" s="782">
        <f t="shared" si="6"/>
        <v>0</v>
      </c>
      <c r="L37" s="782">
        <f t="shared" si="7"/>
        <v>0</v>
      </c>
      <c r="M37" s="782">
        <f t="shared" si="8"/>
        <v>0</v>
      </c>
      <c r="N37" s="782">
        <f t="shared" si="9"/>
        <v>0</v>
      </c>
      <c r="O37" s="782"/>
      <c r="P37" s="782">
        <f t="shared" si="10"/>
        <v>0</v>
      </c>
      <c r="Q37" s="782">
        <f t="shared" si="11"/>
        <v>0</v>
      </c>
      <c r="R37" s="782">
        <f t="shared" si="12"/>
        <v>0</v>
      </c>
      <c r="S37" s="782">
        <f t="shared" si="13"/>
        <v>0</v>
      </c>
      <c r="T37" s="782"/>
      <c r="U37" s="782">
        <f t="shared" si="14"/>
        <v>0</v>
      </c>
      <c r="V37" s="782">
        <f t="shared" si="15"/>
        <v>0</v>
      </c>
      <c r="W37" s="782">
        <v>17</v>
      </c>
      <c r="X37" s="783">
        <f t="shared" si="16"/>
        <v>0</v>
      </c>
      <c r="Y37" s="784">
        <f t="shared" si="17"/>
        <v>0</v>
      </c>
      <c r="AA37" s="786">
        <f t="shared" si="0"/>
        <v>18</v>
      </c>
      <c r="AB37" s="787">
        <f>'ORÇAMENTO GERAL'!$J$107</f>
        <v>6.11</v>
      </c>
      <c r="AC37" s="787">
        <f>'ORÇAMENTO GERAL'!$J$108</f>
        <v>17.12</v>
      </c>
      <c r="AD37" s="787">
        <f>'ORÇAMENTO GERAL'!$J$109</f>
        <v>3.38</v>
      </c>
      <c r="AE37" s="787">
        <f>'ORÇAMENTO GERAL'!$J$110</f>
        <v>17.12</v>
      </c>
      <c r="AF37" s="787">
        <f>'ORÇAMENTO GERAL'!$J$111</f>
        <v>46.54</v>
      </c>
      <c r="AG37" s="787">
        <f>'ORÇAMENTO GERAL'!$J$112</f>
        <v>2.26</v>
      </c>
      <c r="AH37" s="788">
        <f>'ORÇAMENTO GERAL'!$J$113</f>
        <v>1.13</v>
      </c>
      <c r="AI37" s="788">
        <f>'ORÇAMENTO GERAL'!$J$114</f>
        <v>14.4</v>
      </c>
      <c r="AJ37" s="789">
        <f>'ORÇAMENTO GERAL'!$J$117</f>
        <v>214.66</v>
      </c>
      <c r="AK37" s="789">
        <f>'ORÇAMENTO GERAL'!$J$118</f>
        <v>17.12</v>
      </c>
      <c r="AL37" s="787">
        <f>'ORÇAMENTO GERAL'!$J$119</f>
        <v>2.26</v>
      </c>
      <c r="AM37" s="787">
        <f>'ORÇAMENTO GERAL'!$J$120</f>
        <v>1.13</v>
      </c>
      <c r="AN37" s="787">
        <f>'ORÇAMENTO GERAL'!$J$121</f>
        <v>100.39</v>
      </c>
      <c r="AO37" s="787">
        <f>'ORÇAMENTO GERAL'!$J$122</f>
        <v>17.12</v>
      </c>
      <c r="AP37" s="787">
        <f>'ORÇAMENTO GERAL'!$J$123</f>
        <v>2.26</v>
      </c>
      <c r="AQ37" s="787">
        <f>'ORÇAMENTO GERAL'!$J$124</f>
        <v>1.13</v>
      </c>
      <c r="AR37" s="787">
        <f t="shared" si="18"/>
        <v>0</v>
      </c>
    </row>
    <row r="38" spans="1:44" s="785" customFormat="1" ht="90" customHeight="1" hidden="1">
      <c r="A38" s="779">
        <f>DADOS!A30</f>
        <v>19</v>
      </c>
      <c r="B38" s="780">
        <f>DADOS!B30</f>
        <v>0</v>
      </c>
      <c r="C38" s="781">
        <f>DADOS!E30</f>
        <v>0</v>
      </c>
      <c r="D38" s="782">
        <f>DADOS!F30</f>
        <v>0</v>
      </c>
      <c r="E38" s="782">
        <f t="shared" si="1"/>
        <v>0</v>
      </c>
      <c r="F38" s="782"/>
      <c r="G38" s="782">
        <f t="shared" si="2"/>
        <v>0</v>
      </c>
      <c r="H38" s="782">
        <f t="shared" si="3"/>
        <v>0</v>
      </c>
      <c r="I38" s="782">
        <f t="shared" si="4"/>
        <v>0</v>
      </c>
      <c r="J38" s="782">
        <f t="shared" si="5"/>
        <v>0</v>
      </c>
      <c r="K38" s="782">
        <f t="shared" si="6"/>
        <v>0</v>
      </c>
      <c r="L38" s="782">
        <f t="shared" si="7"/>
        <v>0</v>
      </c>
      <c r="M38" s="782">
        <f t="shared" si="8"/>
        <v>0</v>
      </c>
      <c r="N38" s="782">
        <f t="shared" si="9"/>
        <v>0</v>
      </c>
      <c r="O38" s="782"/>
      <c r="P38" s="782">
        <f t="shared" si="10"/>
        <v>0</v>
      </c>
      <c r="Q38" s="782">
        <f t="shared" si="11"/>
        <v>0</v>
      </c>
      <c r="R38" s="782">
        <f t="shared" si="12"/>
        <v>0</v>
      </c>
      <c r="S38" s="782">
        <f t="shared" si="13"/>
        <v>0</v>
      </c>
      <c r="T38" s="782"/>
      <c r="U38" s="782">
        <f t="shared" si="14"/>
        <v>0</v>
      </c>
      <c r="V38" s="782">
        <f t="shared" si="15"/>
        <v>0</v>
      </c>
      <c r="W38" s="782">
        <v>18</v>
      </c>
      <c r="X38" s="783">
        <f t="shared" si="16"/>
        <v>0</v>
      </c>
      <c r="Y38" s="784">
        <f t="shared" si="17"/>
        <v>0</v>
      </c>
      <c r="AA38" s="786">
        <f t="shared" si="0"/>
        <v>19</v>
      </c>
      <c r="AB38" s="787">
        <f>'ORÇAMENTO GERAL'!$J$107</f>
        <v>6.11</v>
      </c>
      <c r="AC38" s="787">
        <f>'ORÇAMENTO GERAL'!$J$108</f>
        <v>17.12</v>
      </c>
      <c r="AD38" s="787">
        <f>'ORÇAMENTO GERAL'!$J$109</f>
        <v>3.38</v>
      </c>
      <c r="AE38" s="787">
        <f>'ORÇAMENTO GERAL'!$J$110</f>
        <v>17.12</v>
      </c>
      <c r="AF38" s="787">
        <f>'ORÇAMENTO GERAL'!$J$111</f>
        <v>46.54</v>
      </c>
      <c r="AG38" s="787">
        <f>'ORÇAMENTO GERAL'!$J$112</f>
        <v>2.26</v>
      </c>
      <c r="AH38" s="788">
        <f>'ORÇAMENTO GERAL'!$J$113</f>
        <v>1.13</v>
      </c>
      <c r="AI38" s="788">
        <f>'ORÇAMENTO GERAL'!$J$114</f>
        <v>14.4</v>
      </c>
      <c r="AJ38" s="789">
        <f>'ORÇAMENTO GERAL'!$J$117</f>
        <v>214.66</v>
      </c>
      <c r="AK38" s="789">
        <f>'ORÇAMENTO GERAL'!$J$118</f>
        <v>17.12</v>
      </c>
      <c r="AL38" s="787">
        <f>'ORÇAMENTO GERAL'!$J$119</f>
        <v>2.26</v>
      </c>
      <c r="AM38" s="787">
        <f>'ORÇAMENTO GERAL'!$J$120</f>
        <v>1.13</v>
      </c>
      <c r="AN38" s="787">
        <f>'ORÇAMENTO GERAL'!$J$121</f>
        <v>100.39</v>
      </c>
      <c r="AO38" s="787">
        <f>'ORÇAMENTO GERAL'!$J$122</f>
        <v>17.12</v>
      </c>
      <c r="AP38" s="787">
        <f>'ORÇAMENTO GERAL'!$J$123</f>
        <v>2.26</v>
      </c>
      <c r="AQ38" s="787">
        <f>'ORÇAMENTO GERAL'!$J$124</f>
        <v>1.13</v>
      </c>
      <c r="AR38" s="787">
        <f t="shared" si="18"/>
        <v>0</v>
      </c>
    </row>
    <row r="39" spans="1:44" s="785" customFormat="1" ht="90" customHeight="1" hidden="1" thickBot="1">
      <c r="A39" s="779">
        <f>DADOS!A31</f>
        <v>20</v>
      </c>
      <c r="B39" s="780">
        <f>DADOS!B31</f>
        <v>0</v>
      </c>
      <c r="C39" s="781">
        <f>DADOS!E31</f>
        <v>0</v>
      </c>
      <c r="D39" s="782">
        <f>DADOS!F31</f>
        <v>0</v>
      </c>
      <c r="E39" s="782">
        <f t="shared" si="1"/>
        <v>0</v>
      </c>
      <c r="F39" s="782"/>
      <c r="G39" s="782">
        <f t="shared" si="2"/>
        <v>0</v>
      </c>
      <c r="H39" s="782">
        <f t="shared" si="3"/>
        <v>0</v>
      </c>
      <c r="I39" s="782">
        <f t="shared" si="4"/>
        <v>0</v>
      </c>
      <c r="J39" s="782">
        <f t="shared" si="5"/>
        <v>0</v>
      </c>
      <c r="K39" s="782">
        <f t="shared" si="6"/>
        <v>0</v>
      </c>
      <c r="L39" s="782">
        <f t="shared" si="7"/>
        <v>0</v>
      </c>
      <c r="M39" s="782">
        <f t="shared" si="8"/>
        <v>0</v>
      </c>
      <c r="N39" s="782">
        <f t="shared" si="9"/>
        <v>0</v>
      </c>
      <c r="O39" s="782"/>
      <c r="P39" s="782">
        <f t="shared" si="10"/>
        <v>0</v>
      </c>
      <c r="Q39" s="782">
        <f t="shared" si="11"/>
        <v>0</v>
      </c>
      <c r="R39" s="782">
        <f t="shared" si="12"/>
        <v>0</v>
      </c>
      <c r="S39" s="782">
        <f t="shared" si="13"/>
        <v>0</v>
      </c>
      <c r="T39" s="782"/>
      <c r="U39" s="782">
        <f t="shared" si="14"/>
        <v>0</v>
      </c>
      <c r="V39" s="782">
        <f t="shared" si="15"/>
        <v>0</v>
      </c>
      <c r="W39" s="782">
        <v>19</v>
      </c>
      <c r="X39" s="783">
        <f t="shared" si="16"/>
        <v>0</v>
      </c>
      <c r="Y39" s="784">
        <f t="shared" si="17"/>
        <v>0</v>
      </c>
      <c r="AA39" s="786">
        <f t="shared" si="0"/>
        <v>20</v>
      </c>
      <c r="AB39" s="787">
        <f>'ORÇAMENTO GERAL'!$J$107</f>
        <v>6.11</v>
      </c>
      <c r="AC39" s="787">
        <f>'ORÇAMENTO GERAL'!$J$108</f>
        <v>17.12</v>
      </c>
      <c r="AD39" s="787">
        <f>'ORÇAMENTO GERAL'!$J$109</f>
        <v>3.38</v>
      </c>
      <c r="AE39" s="787">
        <f>'ORÇAMENTO GERAL'!$J$110</f>
        <v>17.12</v>
      </c>
      <c r="AF39" s="787">
        <f>'ORÇAMENTO GERAL'!$J$111</f>
        <v>46.54</v>
      </c>
      <c r="AG39" s="787">
        <f>'ORÇAMENTO GERAL'!$J$112</f>
        <v>2.26</v>
      </c>
      <c r="AH39" s="788">
        <f>'ORÇAMENTO GERAL'!$J$113</f>
        <v>1.13</v>
      </c>
      <c r="AI39" s="788">
        <f>'ORÇAMENTO GERAL'!$J$114</f>
        <v>14.4</v>
      </c>
      <c r="AJ39" s="789">
        <f>'ORÇAMENTO GERAL'!$J$117</f>
        <v>214.66</v>
      </c>
      <c r="AK39" s="789">
        <f>'ORÇAMENTO GERAL'!$J$118</f>
        <v>17.12</v>
      </c>
      <c r="AL39" s="787">
        <f>'ORÇAMENTO GERAL'!$J$119</f>
        <v>2.26</v>
      </c>
      <c r="AM39" s="787">
        <f>'ORÇAMENTO GERAL'!$J$120</f>
        <v>1.13</v>
      </c>
      <c r="AN39" s="787">
        <f>'ORÇAMENTO GERAL'!$J$121</f>
        <v>100.39</v>
      </c>
      <c r="AO39" s="787">
        <f>'ORÇAMENTO GERAL'!$J$122</f>
        <v>17.12</v>
      </c>
      <c r="AP39" s="787">
        <f>'ORÇAMENTO GERAL'!$J$123</f>
        <v>2.26</v>
      </c>
      <c r="AQ39" s="787">
        <f>'ORÇAMENTO GERAL'!$J$124</f>
        <v>1.13</v>
      </c>
      <c r="AR39" s="787">
        <f t="shared" si="18"/>
        <v>0</v>
      </c>
    </row>
    <row r="40" spans="1:25" s="790" customFormat="1" ht="90" customHeight="1" thickBot="1">
      <c r="A40" s="952" t="s">
        <v>378</v>
      </c>
      <c r="B40" s="953"/>
      <c r="C40" s="791">
        <f>SUM(C20:C39)</f>
        <v>335</v>
      </c>
      <c r="D40" s="791">
        <f>SUM(D20:D39)</f>
        <v>29.5</v>
      </c>
      <c r="E40" s="791">
        <f>SUM(E20:E39)</f>
        <v>1785</v>
      </c>
      <c r="F40" s="791"/>
      <c r="G40" s="791">
        <f>SUM(G20:G39)</f>
        <v>714</v>
      </c>
      <c r="H40" s="791">
        <f>SUM(H20:H39)</f>
        <v>9096.36</v>
      </c>
      <c r="I40" s="791">
        <f>SUM(I20:I39)</f>
        <v>714</v>
      </c>
      <c r="J40" s="791"/>
      <c r="K40" s="791">
        <f>SUM(K20:K39)</f>
        <v>178.5</v>
      </c>
      <c r="L40" s="791">
        <f>SUM(L20:L39)</f>
        <v>6961.5</v>
      </c>
      <c r="M40" s="791">
        <f>SUM(M20:M39)</f>
        <v>6868.68</v>
      </c>
      <c r="N40" s="791">
        <f>SUM(N20:N39)</f>
        <v>178.5</v>
      </c>
      <c r="O40" s="791"/>
      <c r="P40" s="791">
        <f>SUM(P20:P39)</f>
        <v>178.5</v>
      </c>
      <c r="Q40" s="791">
        <f>SUM(Q20:Q39)</f>
        <v>178.5</v>
      </c>
      <c r="R40" s="791">
        <f>SUM(R20:R39)</f>
        <v>6961.5</v>
      </c>
      <c r="S40" s="791">
        <f>SUM(S20:S39)</f>
        <v>35039.55</v>
      </c>
      <c r="T40" s="791"/>
      <c r="U40" s="791">
        <f>SUM(U20:U39)</f>
        <v>357</v>
      </c>
      <c r="V40" s="791">
        <f>SUM(V20:V39)</f>
        <v>357</v>
      </c>
      <c r="W40" s="791">
        <f>SUM(W20:W39)</f>
        <v>190</v>
      </c>
      <c r="X40" s="791">
        <f>SUM(X20:X39)</f>
        <v>13923</v>
      </c>
      <c r="Y40" s="791">
        <f>SUM(Y20:Y39)</f>
        <v>3434.34</v>
      </c>
    </row>
    <row r="41" spans="1:34" s="531" customFormat="1" ht="19.5" customHeight="1">
      <c r="A41" s="532"/>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AH41" s="790"/>
    </row>
    <row r="42" spans="1:34" s="531" customFormat="1" ht="19.5" customHeight="1">
      <c r="A42" s="532"/>
      <c r="B42" s="533"/>
      <c r="C42" s="533"/>
      <c r="D42" s="533"/>
      <c r="E42" s="792"/>
      <c r="F42" s="792"/>
      <c r="G42" s="792"/>
      <c r="H42" s="792"/>
      <c r="I42" s="792"/>
      <c r="J42" s="792"/>
      <c r="K42" s="792"/>
      <c r="L42" s="792"/>
      <c r="M42" s="792"/>
      <c r="N42" s="792"/>
      <c r="O42" s="792"/>
      <c r="P42" s="792"/>
      <c r="Q42" s="792"/>
      <c r="R42" s="792"/>
      <c r="S42" s="792"/>
      <c r="T42" s="792"/>
      <c r="U42" s="792"/>
      <c r="V42" s="792"/>
      <c r="W42" s="792"/>
      <c r="X42" s="792"/>
      <c r="Y42" s="792"/>
      <c r="AH42" s="790"/>
    </row>
    <row r="43" spans="1:34" s="531" customFormat="1" ht="19.5" customHeight="1">
      <c r="A43" s="532"/>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AH43" s="790"/>
    </row>
    <row r="44" spans="1:34" s="531" customFormat="1" ht="19.5" customHeight="1">
      <c r="A44" s="532"/>
      <c r="B44" s="533"/>
      <c r="C44" s="533"/>
      <c r="D44" s="533"/>
      <c r="E44" s="533"/>
      <c r="F44" s="533"/>
      <c r="G44" s="533"/>
      <c r="H44" s="533"/>
      <c r="I44" s="533"/>
      <c r="J44" s="533"/>
      <c r="K44" s="533"/>
      <c r="L44" s="533"/>
      <c r="M44" s="533"/>
      <c r="N44" s="792"/>
      <c r="O44" s="533"/>
      <c r="P44" s="533"/>
      <c r="Q44" s="533"/>
      <c r="R44" s="533"/>
      <c r="S44" s="533"/>
      <c r="T44" s="533"/>
      <c r="U44" s="533"/>
      <c r="V44" s="533"/>
      <c r="W44" s="533"/>
      <c r="X44" s="533"/>
      <c r="Y44" s="792"/>
      <c r="AH44" s="790"/>
    </row>
    <row r="45" spans="1:25" s="531" customFormat="1" ht="19.5" customHeight="1">
      <c r="A45" s="532"/>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row>
    <row r="46" spans="1:25" s="531" customFormat="1" ht="19.5" customHeight="1">
      <c r="A46" s="532"/>
      <c r="B46" s="533"/>
      <c r="C46" s="533"/>
      <c r="D46" s="533"/>
      <c r="E46" s="533"/>
      <c r="F46" s="533"/>
      <c r="G46" s="533"/>
      <c r="H46" s="533"/>
      <c r="I46" s="533"/>
      <c r="J46" s="533"/>
      <c r="K46" s="533"/>
      <c r="L46" s="533"/>
      <c r="M46" s="533"/>
      <c r="N46" s="792"/>
      <c r="O46" s="533"/>
      <c r="P46" s="533"/>
      <c r="Q46" s="533"/>
      <c r="R46" s="533"/>
      <c r="S46" s="533"/>
      <c r="T46" s="533"/>
      <c r="U46" s="533"/>
      <c r="V46" s="533"/>
      <c r="W46" s="533"/>
      <c r="X46" s="533"/>
      <c r="Y46" s="792"/>
    </row>
    <row r="47" spans="1:25" s="531" customFormat="1" ht="19.5" customHeight="1">
      <c r="A47" s="532"/>
      <c r="B47" s="533"/>
      <c r="C47" s="533"/>
      <c r="D47" s="533"/>
      <c r="E47" s="533"/>
      <c r="F47" s="533"/>
      <c r="G47" s="533"/>
      <c r="H47" s="533"/>
      <c r="I47" s="533"/>
      <c r="J47" s="533"/>
      <c r="K47" s="533"/>
      <c r="L47" s="533"/>
      <c r="M47" s="533"/>
      <c r="N47" s="533"/>
      <c r="O47" s="533"/>
      <c r="P47" s="533"/>
      <c r="Q47" s="533"/>
      <c r="R47" s="533"/>
      <c r="S47" s="533"/>
      <c r="T47" s="533"/>
      <c r="U47" s="533"/>
      <c r="V47" s="533"/>
      <c r="W47" s="533"/>
      <c r="X47" s="533"/>
      <c r="Y47" s="533"/>
    </row>
    <row r="48" spans="1:25" s="531" customFormat="1" ht="19.5" customHeight="1">
      <c r="A48" s="532"/>
      <c r="B48" s="533"/>
      <c r="C48" s="533"/>
      <c r="D48" s="533"/>
      <c r="E48" s="533"/>
      <c r="F48" s="533"/>
      <c r="G48" s="533"/>
      <c r="H48" s="533"/>
      <c r="I48" s="533"/>
      <c r="J48" s="533"/>
      <c r="K48" s="533"/>
      <c r="L48" s="533"/>
      <c r="M48" s="533"/>
      <c r="N48" s="533"/>
      <c r="O48" s="533"/>
      <c r="P48" s="533"/>
      <c r="Q48" s="533"/>
      <c r="R48" s="533"/>
      <c r="S48" s="533"/>
      <c r="T48" s="533"/>
      <c r="U48" s="533"/>
      <c r="V48" s="533"/>
      <c r="W48" s="533"/>
      <c r="X48" s="533"/>
      <c r="Y48" s="533"/>
    </row>
    <row r="49" spans="1:25" s="531" customFormat="1" ht="19.5" customHeight="1">
      <c r="A49" s="532"/>
      <c r="B49" s="533"/>
      <c r="C49" s="533"/>
      <c r="D49" s="533"/>
      <c r="E49" s="533"/>
      <c r="F49" s="533"/>
      <c r="G49" s="533"/>
      <c r="H49" s="533"/>
      <c r="I49" s="533"/>
      <c r="J49" s="533"/>
      <c r="K49" s="533"/>
      <c r="L49" s="533"/>
      <c r="M49" s="533"/>
      <c r="N49" s="533"/>
      <c r="O49" s="533"/>
      <c r="P49" s="533"/>
      <c r="Q49" s="533"/>
      <c r="R49" s="533"/>
      <c r="S49" s="533"/>
      <c r="T49" s="533"/>
      <c r="U49" s="533"/>
      <c r="V49" s="533"/>
      <c r="W49" s="533"/>
      <c r="X49" s="533"/>
      <c r="Y49" s="533"/>
    </row>
    <row r="50" spans="1:25" s="531" customFormat="1" ht="19.5" customHeight="1">
      <c r="A50" s="532"/>
      <c r="B50" s="533"/>
      <c r="C50" s="533"/>
      <c r="D50" s="533"/>
      <c r="E50" s="533"/>
      <c r="F50" s="533"/>
      <c r="G50" s="533"/>
      <c r="H50" s="533"/>
      <c r="I50" s="533"/>
      <c r="J50" s="533"/>
      <c r="K50" s="533"/>
      <c r="L50" s="533"/>
      <c r="M50" s="533"/>
      <c r="N50" s="533"/>
      <c r="O50" s="533"/>
      <c r="P50" s="533"/>
      <c r="Q50" s="533"/>
      <c r="R50" s="533"/>
      <c r="S50" s="533"/>
      <c r="T50" s="533"/>
      <c r="U50" s="533"/>
      <c r="V50" s="533"/>
      <c r="W50" s="533"/>
      <c r="X50" s="533"/>
      <c r="Y50" s="533"/>
    </row>
    <row r="51" spans="1:25" s="531" customFormat="1" ht="19.5" customHeight="1">
      <c r="A51" s="532"/>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row>
    <row r="52" spans="1:25" s="531" customFormat="1" ht="19.5" customHeight="1">
      <c r="A52" s="532"/>
      <c r="B52" s="533"/>
      <c r="C52" s="533"/>
      <c r="D52" s="533"/>
      <c r="E52" s="533"/>
      <c r="F52" s="533"/>
      <c r="G52" s="533"/>
      <c r="H52" s="533"/>
      <c r="I52" s="533"/>
      <c r="J52" s="533"/>
      <c r="K52" s="533"/>
      <c r="L52" s="533"/>
      <c r="M52" s="533"/>
      <c r="N52" s="533"/>
      <c r="O52" s="533"/>
      <c r="P52" s="533"/>
      <c r="Q52" s="533"/>
      <c r="R52" s="533"/>
      <c r="S52" s="533"/>
      <c r="T52" s="533"/>
      <c r="U52" s="533"/>
      <c r="V52" s="533"/>
      <c r="W52" s="533"/>
      <c r="X52" s="533"/>
      <c r="Y52" s="533"/>
    </row>
    <row r="53" spans="1:25" s="531" customFormat="1" ht="19.5" customHeight="1">
      <c r="A53" s="532"/>
      <c r="B53" s="533"/>
      <c r="C53" s="533"/>
      <c r="D53" s="533"/>
      <c r="E53" s="533"/>
      <c r="F53" s="533"/>
      <c r="G53" s="533"/>
      <c r="H53" s="533"/>
      <c r="I53" s="533"/>
      <c r="J53" s="533"/>
      <c r="K53" s="533"/>
      <c r="L53" s="533"/>
      <c r="M53" s="533"/>
      <c r="N53" s="533"/>
      <c r="O53" s="533"/>
      <c r="P53" s="533"/>
      <c r="Q53" s="533"/>
      <c r="R53" s="533"/>
      <c r="S53" s="533"/>
      <c r="T53" s="533"/>
      <c r="U53" s="533"/>
      <c r="V53" s="533"/>
      <c r="W53" s="533"/>
      <c r="X53" s="533"/>
      <c r="Y53" s="533"/>
    </row>
    <row r="54" spans="1:25" s="531" customFormat="1" ht="19.5" customHeight="1">
      <c r="A54" s="532"/>
      <c r="B54" s="533"/>
      <c r="C54" s="533"/>
      <c r="D54" s="533"/>
      <c r="E54" s="533"/>
      <c r="F54" s="533"/>
      <c r="G54" s="533"/>
      <c r="H54" s="533"/>
      <c r="I54" s="533"/>
      <c r="J54" s="533"/>
      <c r="K54" s="533"/>
      <c r="L54" s="533"/>
      <c r="M54" s="533"/>
      <c r="N54" s="533"/>
      <c r="O54" s="533"/>
      <c r="P54" s="533"/>
      <c r="Q54" s="533"/>
      <c r="R54" s="533"/>
      <c r="S54" s="533"/>
      <c r="T54" s="533"/>
      <c r="U54" s="533"/>
      <c r="V54" s="533"/>
      <c r="W54" s="533"/>
      <c r="X54" s="533"/>
      <c r="Y54" s="533"/>
    </row>
    <row r="55" spans="1:25" s="531" customFormat="1" ht="19.5" customHeight="1">
      <c r="A55" s="532"/>
      <c r="B55" s="533"/>
      <c r="C55" s="533"/>
      <c r="D55" s="533"/>
      <c r="E55" s="533"/>
      <c r="F55" s="533"/>
      <c r="G55" s="533"/>
      <c r="H55" s="533"/>
      <c r="I55" s="533"/>
      <c r="J55" s="533"/>
      <c r="K55" s="533"/>
      <c r="L55" s="533"/>
      <c r="M55" s="533"/>
      <c r="N55" s="533"/>
      <c r="O55" s="533"/>
      <c r="P55" s="533"/>
      <c r="Q55" s="533"/>
      <c r="R55" s="533"/>
      <c r="S55" s="533"/>
      <c r="T55" s="533"/>
      <c r="U55" s="533"/>
      <c r="V55" s="533"/>
      <c r="W55" s="533"/>
      <c r="X55" s="533"/>
      <c r="Y55" s="533"/>
    </row>
    <row r="56" spans="1:25" s="531" customFormat="1" ht="19.5" customHeight="1">
      <c r="A56" s="532"/>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row>
    <row r="57" spans="1:25" s="531" customFormat="1" ht="19.5" customHeight="1">
      <c r="A57" s="532"/>
      <c r="B57" s="533"/>
      <c r="C57" s="533"/>
      <c r="D57" s="533"/>
      <c r="E57" s="533"/>
      <c r="F57" s="533"/>
      <c r="G57" s="533"/>
      <c r="H57" s="533"/>
      <c r="I57" s="533"/>
      <c r="J57" s="533"/>
      <c r="K57" s="533"/>
      <c r="L57" s="533"/>
      <c r="M57" s="533"/>
      <c r="N57" s="533"/>
      <c r="O57" s="533"/>
      <c r="P57" s="533"/>
      <c r="Q57" s="533"/>
      <c r="R57" s="533"/>
      <c r="S57" s="533"/>
      <c r="T57" s="533"/>
      <c r="U57" s="533"/>
      <c r="V57" s="533"/>
      <c r="W57" s="533"/>
      <c r="X57" s="533"/>
      <c r="Y57" s="533"/>
    </row>
    <row r="58" spans="1:25" s="531" customFormat="1" ht="19.5" customHeight="1">
      <c r="A58" s="532"/>
      <c r="B58" s="533"/>
      <c r="C58" s="533"/>
      <c r="D58" s="533"/>
      <c r="E58" s="533"/>
      <c r="F58" s="533"/>
      <c r="G58" s="533"/>
      <c r="H58" s="533"/>
      <c r="I58" s="533"/>
      <c r="J58" s="533"/>
      <c r="K58" s="533"/>
      <c r="L58" s="533"/>
      <c r="M58" s="533"/>
      <c r="N58" s="533"/>
      <c r="O58" s="533"/>
      <c r="P58" s="533"/>
      <c r="Q58" s="533"/>
      <c r="R58" s="533"/>
      <c r="S58" s="533"/>
      <c r="T58" s="533"/>
      <c r="U58" s="533"/>
      <c r="V58" s="533"/>
      <c r="W58" s="533"/>
      <c r="X58" s="533"/>
      <c r="Y58" s="533"/>
    </row>
    <row r="59" spans="1:25" s="531" customFormat="1" ht="19.5" customHeight="1">
      <c r="A59" s="532"/>
      <c r="B59" s="533"/>
      <c r="C59" s="533"/>
      <c r="D59" s="533"/>
      <c r="E59" s="533"/>
      <c r="F59" s="533"/>
      <c r="G59" s="533"/>
      <c r="H59" s="533"/>
      <c r="I59" s="533"/>
      <c r="J59" s="533"/>
      <c r="K59" s="533"/>
      <c r="L59" s="533"/>
      <c r="M59" s="533"/>
      <c r="N59" s="533"/>
      <c r="O59" s="533"/>
      <c r="P59" s="533"/>
      <c r="Q59" s="533"/>
      <c r="R59" s="533"/>
      <c r="S59" s="533"/>
      <c r="T59" s="533"/>
      <c r="U59" s="533"/>
      <c r="V59" s="533"/>
      <c r="W59" s="533"/>
      <c r="X59" s="533"/>
      <c r="Y59" s="533"/>
    </row>
    <row r="60" spans="1:25" s="531" customFormat="1" ht="19.5" customHeight="1">
      <c r="A60" s="532"/>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row>
    <row r="61" spans="1:25" s="531" customFormat="1" ht="19.5" customHeight="1">
      <c r="A61" s="532"/>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row>
    <row r="62" spans="1:25" s="531" customFormat="1" ht="19.5" customHeight="1">
      <c r="A62" s="532"/>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3"/>
    </row>
    <row r="63" spans="1:25" s="531" customFormat="1" ht="19.5" customHeight="1">
      <c r="A63" s="532"/>
      <c r="B63" s="533"/>
      <c r="C63" s="533"/>
      <c r="D63" s="533"/>
      <c r="E63" s="533"/>
      <c r="F63" s="533"/>
      <c r="G63" s="533"/>
      <c r="H63" s="533"/>
      <c r="I63" s="533"/>
      <c r="J63" s="533"/>
      <c r="K63" s="533"/>
      <c r="L63" s="533"/>
      <c r="M63" s="533"/>
      <c r="N63" s="533"/>
      <c r="O63" s="533"/>
      <c r="P63" s="533"/>
      <c r="Q63" s="533"/>
      <c r="R63" s="533"/>
      <c r="S63" s="533"/>
      <c r="T63" s="533"/>
      <c r="U63" s="533"/>
      <c r="V63" s="533"/>
      <c r="W63" s="533"/>
      <c r="X63" s="533"/>
      <c r="Y63" s="533"/>
    </row>
    <row r="64" spans="1:25" s="531" customFormat="1" ht="19.5" customHeight="1">
      <c r="A64" s="532"/>
      <c r="B64" s="533"/>
      <c r="C64" s="533"/>
      <c r="D64" s="533"/>
      <c r="E64" s="533"/>
      <c r="F64" s="533"/>
      <c r="G64" s="533"/>
      <c r="H64" s="533"/>
      <c r="I64" s="533"/>
      <c r="J64" s="533"/>
      <c r="K64" s="533"/>
      <c r="L64" s="533"/>
      <c r="M64" s="533"/>
      <c r="N64" s="533"/>
      <c r="O64" s="533"/>
      <c r="P64" s="533"/>
      <c r="Q64" s="533"/>
      <c r="R64" s="533"/>
      <c r="S64" s="533"/>
      <c r="T64" s="533"/>
      <c r="U64" s="533"/>
      <c r="V64" s="533"/>
      <c r="W64" s="533"/>
      <c r="X64" s="533"/>
      <c r="Y64" s="533"/>
    </row>
    <row r="65" spans="1:25" s="531" customFormat="1" ht="19.5" customHeight="1">
      <c r="A65" s="532"/>
      <c r="B65" s="533"/>
      <c r="C65" s="533"/>
      <c r="D65" s="533"/>
      <c r="E65" s="533"/>
      <c r="F65" s="533"/>
      <c r="G65" s="533"/>
      <c r="H65" s="533"/>
      <c r="I65" s="533"/>
      <c r="J65" s="533"/>
      <c r="K65" s="533"/>
      <c r="L65" s="533"/>
      <c r="M65" s="533"/>
      <c r="N65" s="533"/>
      <c r="O65" s="533"/>
      <c r="P65" s="533"/>
      <c r="Q65" s="533"/>
      <c r="R65" s="533"/>
      <c r="S65" s="533"/>
      <c r="T65" s="533"/>
      <c r="U65" s="533"/>
      <c r="V65" s="533"/>
      <c r="W65" s="533"/>
      <c r="X65" s="533"/>
      <c r="Y65" s="533"/>
    </row>
    <row r="66" spans="1:25" s="531" customFormat="1" ht="19.5" customHeight="1">
      <c r="A66" s="532"/>
      <c r="B66" s="533"/>
      <c r="C66" s="533"/>
      <c r="D66" s="533"/>
      <c r="E66" s="533"/>
      <c r="F66" s="533"/>
      <c r="G66" s="533"/>
      <c r="H66" s="533"/>
      <c r="I66" s="533"/>
      <c r="J66" s="533"/>
      <c r="K66" s="533"/>
      <c r="L66" s="533"/>
      <c r="M66" s="533"/>
      <c r="N66" s="533"/>
      <c r="O66" s="533"/>
      <c r="P66" s="533"/>
      <c r="Q66" s="533"/>
      <c r="R66" s="533"/>
      <c r="S66" s="533"/>
      <c r="T66" s="533"/>
      <c r="U66" s="533"/>
      <c r="V66" s="533"/>
      <c r="W66" s="533"/>
      <c r="X66" s="533"/>
      <c r="Y66" s="533"/>
    </row>
    <row r="67" spans="1:25" s="531" customFormat="1" ht="19.5" customHeight="1">
      <c r="A67" s="532"/>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3"/>
    </row>
    <row r="68" spans="1:25" s="531" customFormat="1" ht="19.5" customHeight="1">
      <c r="A68" s="532"/>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3"/>
    </row>
    <row r="69" spans="1:25" s="531" customFormat="1" ht="19.5" customHeight="1">
      <c r="A69" s="532"/>
      <c r="B69" s="533"/>
      <c r="C69" s="533"/>
      <c r="D69" s="533"/>
      <c r="E69" s="533"/>
      <c r="F69" s="533"/>
      <c r="G69" s="533"/>
      <c r="H69" s="533"/>
      <c r="I69" s="533"/>
      <c r="J69" s="533"/>
      <c r="K69" s="533"/>
      <c r="L69" s="533"/>
      <c r="M69" s="533"/>
      <c r="N69" s="533"/>
      <c r="O69" s="533"/>
      <c r="P69" s="533"/>
      <c r="Q69" s="533"/>
      <c r="R69" s="533"/>
      <c r="S69" s="533"/>
      <c r="T69" s="533"/>
      <c r="U69" s="533"/>
      <c r="V69" s="533"/>
      <c r="W69" s="533"/>
      <c r="X69" s="533"/>
      <c r="Y69" s="533"/>
    </row>
    <row r="70" spans="1:25" s="531" customFormat="1" ht="19.5" customHeight="1">
      <c r="A70" s="532"/>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row>
    <row r="71" spans="1:25" s="531" customFormat="1" ht="19.5" customHeight="1">
      <c r="A71" s="532"/>
      <c r="B71" s="533"/>
      <c r="C71" s="533"/>
      <c r="D71" s="533"/>
      <c r="E71" s="533"/>
      <c r="F71" s="533"/>
      <c r="G71" s="533"/>
      <c r="H71" s="533"/>
      <c r="I71" s="533"/>
      <c r="J71" s="533"/>
      <c r="K71" s="533"/>
      <c r="L71" s="533"/>
      <c r="M71" s="533"/>
      <c r="N71" s="533"/>
      <c r="O71" s="533"/>
      <c r="P71" s="533"/>
      <c r="Q71" s="533"/>
      <c r="R71" s="533"/>
      <c r="S71" s="533"/>
      <c r="T71" s="533"/>
      <c r="U71" s="533"/>
      <c r="V71" s="533"/>
      <c r="W71" s="533"/>
      <c r="X71" s="533"/>
      <c r="Y71" s="533"/>
    </row>
    <row r="72" spans="1:25" s="531" customFormat="1" ht="19.5" customHeight="1">
      <c r="A72" s="532"/>
      <c r="B72" s="533"/>
      <c r="C72" s="533"/>
      <c r="D72" s="533"/>
      <c r="E72" s="533"/>
      <c r="F72" s="533"/>
      <c r="G72" s="533"/>
      <c r="H72" s="533"/>
      <c r="I72" s="533"/>
      <c r="J72" s="533"/>
      <c r="K72" s="533"/>
      <c r="L72" s="533"/>
      <c r="M72" s="533"/>
      <c r="N72" s="533"/>
      <c r="O72" s="533"/>
      <c r="P72" s="533"/>
      <c r="Q72" s="533"/>
      <c r="R72" s="533"/>
      <c r="S72" s="533"/>
      <c r="T72" s="533"/>
      <c r="U72" s="533"/>
      <c r="V72" s="533"/>
      <c r="W72" s="533"/>
      <c r="X72" s="533"/>
      <c r="Y72" s="533"/>
    </row>
    <row r="73" spans="1:25" s="531" customFormat="1" ht="19.5" customHeight="1">
      <c r="A73" s="532"/>
      <c r="B73" s="533"/>
      <c r="C73" s="533"/>
      <c r="D73" s="533"/>
      <c r="E73" s="533"/>
      <c r="F73" s="533"/>
      <c r="G73" s="533"/>
      <c r="H73" s="533"/>
      <c r="I73" s="533"/>
      <c r="J73" s="533"/>
      <c r="K73" s="533"/>
      <c r="L73" s="533"/>
      <c r="M73" s="533"/>
      <c r="N73" s="533"/>
      <c r="O73" s="533"/>
      <c r="P73" s="533"/>
      <c r="Q73" s="533"/>
      <c r="R73" s="533"/>
      <c r="S73" s="533"/>
      <c r="T73" s="533"/>
      <c r="U73" s="533"/>
      <c r="V73" s="533"/>
      <c r="W73" s="533"/>
      <c r="X73" s="533"/>
      <c r="Y73" s="533"/>
    </row>
    <row r="74" spans="1:25" s="531" customFormat="1" ht="19.5" customHeight="1">
      <c r="A74" s="532"/>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row>
    <row r="75" ht="19.5" customHeight="1"/>
    <row r="76" ht="9.75" customHeight="1"/>
    <row r="77" ht="19.5" customHeight="1"/>
    <row r="78" ht="19.5" customHeight="1"/>
    <row r="79" ht="19.5" customHeight="1"/>
    <row r="80" spans="1:25" s="531" customFormat="1" ht="19.5" customHeight="1">
      <c r="A80" s="532"/>
      <c r="B80" s="533"/>
      <c r="C80" s="533"/>
      <c r="D80" s="533"/>
      <c r="E80" s="533"/>
      <c r="F80" s="533"/>
      <c r="G80" s="533"/>
      <c r="H80" s="533"/>
      <c r="I80" s="533"/>
      <c r="J80" s="533"/>
      <c r="K80" s="533"/>
      <c r="L80" s="533"/>
      <c r="M80" s="533"/>
      <c r="N80" s="533"/>
      <c r="O80" s="533"/>
      <c r="P80" s="533"/>
      <c r="Q80" s="533"/>
      <c r="R80" s="533"/>
      <c r="S80" s="533"/>
      <c r="T80" s="533"/>
      <c r="U80" s="533"/>
      <c r="V80" s="533"/>
      <c r="W80" s="533"/>
      <c r="X80" s="533"/>
      <c r="Y80" s="533"/>
    </row>
    <row r="81" spans="1:25" s="531" customFormat="1" ht="19.5" customHeight="1">
      <c r="A81" s="532"/>
      <c r="B81" s="533"/>
      <c r="C81" s="533"/>
      <c r="D81" s="533"/>
      <c r="E81" s="533"/>
      <c r="F81" s="533"/>
      <c r="G81" s="533"/>
      <c r="H81" s="533"/>
      <c r="I81" s="533"/>
      <c r="J81" s="533"/>
      <c r="K81" s="533"/>
      <c r="L81" s="533"/>
      <c r="M81" s="533"/>
      <c r="N81" s="533"/>
      <c r="O81" s="533"/>
      <c r="P81" s="533"/>
      <c r="Q81" s="533"/>
      <c r="R81" s="533"/>
      <c r="S81" s="533"/>
      <c r="T81" s="533"/>
      <c r="U81" s="533"/>
      <c r="V81" s="533"/>
      <c r="W81" s="533"/>
      <c r="X81" s="533"/>
      <c r="Y81" s="533"/>
    </row>
    <row r="82" spans="1:25" s="531" customFormat="1" ht="19.5" customHeight="1">
      <c r="A82" s="532"/>
      <c r="B82" s="533"/>
      <c r="C82" s="533"/>
      <c r="D82" s="533"/>
      <c r="E82" s="533"/>
      <c r="F82" s="533"/>
      <c r="G82" s="533"/>
      <c r="H82" s="533"/>
      <c r="I82" s="533"/>
      <c r="J82" s="533"/>
      <c r="K82" s="533"/>
      <c r="L82" s="533"/>
      <c r="M82" s="533"/>
      <c r="N82" s="533"/>
      <c r="O82" s="533"/>
      <c r="P82" s="533"/>
      <c r="Q82" s="533"/>
      <c r="R82" s="533"/>
      <c r="S82" s="533"/>
      <c r="T82" s="533"/>
      <c r="U82" s="533"/>
      <c r="V82" s="533"/>
      <c r="W82" s="533"/>
      <c r="X82" s="533"/>
      <c r="Y82" s="533"/>
    </row>
    <row r="83" spans="1:25" s="531" customFormat="1" ht="19.5" customHeight="1">
      <c r="A83" s="532"/>
      <c r="B83" s="533"/>
      <c r="C83" s="533"/>
      <c r="D83" s="533"/>
      <c r="E83" s="533"/>
      <c r="F83" s="533"/>
      <c r="G83" s="533"/>
      <c r="H83" s="533"/>
      <c r="I83" s="533"/>
      <c r="J83" s="533"/>
      <c r="K83" s="533"/>
      <c r="L83" s="533"/>
      <c r="M83" s="533"/>
      <c r="N83" s="533"/>
      <c r="O83" s="533"/>
      <c r="P83" s="533"/>
      <c r="Q83" s="533"/>
      <c r="R83" s="533"/>
      <c r="S83" s="533"/>
      <c r="T83" s="533"/>
      <c r="U83" s="533"/>
      <c r="V83" s="533"/>
      <c r="W83" s="533"/>
      <c r="X83" s="533"/>
      <c r="Y83" s="533"/>
    </row>
    <row r="84" spans="1:25" s="531" customFormat="1" ht="19.5" customHeight="1">
      <c r="A84" s="532"/>
      <c r="B84" s="533"/>
      <c r="C84" s="533"/>
      <c r="D84" s="533"/>
      <c r="E84" s="533"/>
      <c r="F84" s="533"/>
      <c r="G84" s="533"/>
      <c r="H84" s="533"/>
      <c r="I84" s="533"/>
      <c r="J84" s="533"/>
      <c r="K84" s="533"/>
      <c r="L84" s="533"/>
      <c r="M84" s="533"/>
      <c r="N84" s="533"/>
      <c r="O84" s="533"/>
      <c r="P84" s="533"/>
      <c r="Q84" s="533"/>
      <c r="R84" s="533"/>
      <c r="S84" s="533"/>
      <c r="T84" s="533"/>
      <c r="U84" s="533"/>
      <c r="V84" s="533"/>
      <c r="W84" s="533"/>
      <c r="X84" s="533"/>
      <c r="Y84" s="533"/>
    </row>
    <row r="85" spans="1:25" s="531" customFormat="1" ht="19.5" customHeight="1">
      <c r="A85" s="532"/>
      <c r="B85" s="533"/>
      <c r="C85" s="533"/>
      <c r="D85" s="533"/>
      <c r="E85" s="533"/>
      <c r="F85" s="533"/>
      <c r="G85" s="533"/>
      <c r="H85" s="533"/>
      <c r="I85" s="533"/>
      <c r="J85" s="533"/>
      <c r="K85" s="533"/>
      <c r="L85" s="533"/>
      <c r="M85" s="533"/>
      <c r="N85" s="533"/>
      <c r="O85" s="533"/>
      <c r="P85" s="533"/>
      <c r="Q85" s="533"/>
      <c r="R85" s="533"/>
      <c r="S85" s="533"/>
      <c r="T85" s="533"/>
      <c r="U85" s="533"/>
      <c r="V85" s="533"/>
      <c r="W85" s="533"/>
      <c r="X85" s="533"/>
      <c r="Y85" s="533"/>
    </row>
    <row r="86" spans="1:25" s="531" customFormat="1" ht="19.5" customHeight="1">
      <c r="A86" s="532"/>
      <c r="B86" s="533"/>
      <c r="C86" s="533"/>
      <c r="D86" s="533"/>
      <c r="E86" s="533"/>
      <c r="F86" s="533"/>
      <c r="G86" s="533"/>
      <c r="H86" s="533"/>
      <c r="I86" s="533"/>
      <c r="J86" s="533"/>
      <c r="K86" s="533"/>
      <c r="L86" s="533"/>
      <c r="M86" s="533"/>
      <c r="N86" s="533"/>
      <c r="O86" s="533"/>
      <c r="P86" s="533"/>
      <c r="Q86" s="533"/>
      <c r="R86" s="533"/>
      <c r="S86" s="533"/>
      <c r="T86" s="533"/>
      <c r="U86" s="533"/>
      <c r="V86" s="533"/>
      <c r="W86" s="533"/>
      <c r="X86" s="533"/>
      <c r="Y86" s="533"/>
    </row>
    <row r="87" spans="1:25" s="531" customFormat="1" ht="19.5" customHeight="1">
      <c r="A87" s="532"/>
      <c r="B87" s="533"/>
      <c r="C87" s="533"/>
      <c r="D87" s="533"/>
      <c r="E87" s="533"/>
      <c r="F87" s="533"/>
      <c r="G87" s="533"/>
      <c r="H87" s="533"/>
      <c r="I87" s="533"/>
      <c r="J87" s="533"/>
      <c r="K87" s="533"/>
      <c r="L87" s="533"/>
      <c r="M87" s="533"/>
      <c r="N87" s="533"/>
      <c r="O87" s="533"/>
      <c r="P87" s="533"/>
      <c r="Q87" s="533"/>
      <c r="R87" s="533"/>
      <c r="S87" s="533"/>
      <c r="T87" s="533"/>
      <c r="U87" s="533"/>
      <c r="V87" s="533"/>
      <c r="W87" s="533"/>
      <c r="X87" s="533"/>
      <c r="Y87" s="533"/>
    </row>
    <row r="88" spans="1:25" s="531" customFormat="1" ht="19.5" customHeight="1">
      <c r="A88" s="532"/>
      <c r="B88" s="533"/>
      <c r="C88" s="533"/>
      <c r="D88" s="533"/>
      <c r="E88" s="533"/>
      <c r="F88" s="533"/>
      <c r="G88" s="533"/>
      <c r="H88" s="533"/>
      <c r="I88" s="533"/>
      <c r="J88" s="533"/>
      <c r="K88" s="533"/>
      <c r="L88" s="533"/>
      <c r="M88" s="533"/>
      <c r="N88" s="533"/>
      <c r="O88" s="533"/>
      <c r="P88" s="533"/>
      <c r="Q88" s="533"/>
      <c r="R88" s="533"/>
      <c r="S88" s="533"/>
      <c r="T88" s="533"/>
      <c r="U88" s="533"/>
      <c r="V88" s="533"/>
      <c r="W88" s="533"/>
      <c r="X88" s="533"/>
      <c r="Y88" s="533"/>
    </row>
    <row r="89" spans="1:25" s="531" customFormat="1" ht="19.5" customHeight="1">
      <c r="A89" s="532"/>
      <c r="B89" s="533"/>
      <c r="C89" s="533"/>
      <c r="D89" s="533"/>
      <c r="E89" s="533"/>
      <c r="F89" s="533"/>
      <c r="G89" s="533"/>
      <c r="H89" s="533"/>
      <c r="I89" s="533"/>
      <c r="J89" s="533"/>
      <c r="K89" s="533"/>
      <c r="L89" s="533"/>
      <c r="M89" s="533"/>
      <c r="N89" s="533"/>
      <c r="O89" s="533"/>
      <c r="P89" s="533"/>
      <c r="Q89" s="533"/>
      <c r="R89" s="533"/>
      <c r="S89" s="533"/>
      <c r="T89" s="533"/>
      <c r="U89" s="533"/>
      <c r="V89" s="533"/>
      <c r="W89" s="533"/>
      <c r="X89" s="533"/>
      <c r="Y89" s="533"/>
    </row>
    <row r="90" spans="1:25" s="531" customFormat="1" ht="19.5" customHeight="1">
      <c r="A90" s="532"/>
      <c r="B90" s="533"/>
      <c r="C90" s="533"/>
      <c r="D90" s="533"/>
      <c r="E90" s="533"/>
      <c r="F90" s="533"/>
      <c r="G90" s="533"/>
      <c r="H90" s="533"/>
      <c r="I90" s="533"/>
      <c r="J90" s="533"/>
      <c r="K90" s="533"/>
      <c r="L90" s="533"/>
      <c r="M90" s="533"/>
      <c r="N90" s="533"/>
      <c r="O90" s="533"/>
      <c r="P90" s="533"/>
      <c r="Q90" s="533"/>
      <c r="R90" s="533"/>
      <c r="S90" s="533"/>
      <c r="T90" s="533"/>
      <c r="U90" s="533"/>
      <c r="V90" s="533"/>
      <c r="W90" s="533"/>
      <c r="X90" s="533"/>
      <c r="Y90" s="533"/>
    </row>
    <row r="91" spans="1:25" s="531" customFormat="1" ht="19.5" customHeight="1">
      <c r="A91" s="532"/>
      <c r="B91" s="533"/>
      <c r="C91" s="533"/>
      <c r="D91" s="533"/>
      <c r="E91" s="533"/>
      <c r="F91" s="533"/>
      <c r="G91" s="533"/>
      <c r="H91" s="533"/>
      <c r="I91" s="533"/>
      <c r="J91" s="533"/>
      <c r="K91" s="533"/>
      <c r="L91" s="533"/>
      <c r="M91" s="533"/>
      <c r="N91" s="533"/>
      <c r="O91" s="533"/>
      <c r="P91" s="533"/>
      <c r="Q91" s="533"/>
      <c r="R91" s="533"/>
      <c r="S91" s="533"/>
      <c r="T91" s="533"/>
      <c r="U91" s="533"/>
      <c r="V91" s="533"/>
      <c r="W91" s="533"/>
      <c r="X91" s="533"/>
      <c r="Y91" s="533"/>
    </row>
    <row r="92" spans="1:25" s="531" customFormat="1" ht="19.5" customHeight="1">
      <c r="A92" s="532"/>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row>
    <row r="93" spans="1:25" s="531" customFormat="1" ht="19.5" customHeight="1">
      <c r="A93" s="532"/>
      <c r="B93" s="533"/>
      <c r="C93" s="533"/>
      <c r="D93" s="533"/>
      <c r="E93" s="533"/>
      <c r="F93" s="533"/>
      <c r="G93" s="533"/>
      <c r="H93" s="533"/>
      <c r="I93" s="533"/>
      <c r="J93" s="533"/>
      <c r="K93" s="533"/>
      <c r="L93" s="533"/>
      <c r="M93" s="533"/>
      <c r="N93" s="533"/>
      <c r="O93" s="533"/>
      <c r="P93" s="533"/>
      <c r="Q93" s="533"/>
      <c r="R93" s="533"/>
      <c r="S93" s="533"/>
      <c r="T93" s="533"/>
      <c r="U93" s="533"/>
      <c r="V93" s="533"/>
      <c r="W93" s="533"/>
      <c r="X93" s="533"/>
      <c r="Y93" s="533"/>
    </row>
    <row r="94" spans="1:25" s="531" customFormat="1" ht="19.5" customHeight="1">
      <c r="A94" s="532"/>
      <c r="B94" s="533"/>
      <c r="C94" s="533"/>
      <c r="D94" s="533"/>
      <c r="E94" s="533"/>
      <c r="F94" s="533"/>
      <c r="G94" s="533"/>
      <c r="H94" s="533"/>
      <c r="I94" s="533"/>
      <c r="J94" s="533"/>
      <c r="K94" s="533"/>
      <c r="L94" s="533"/>
      <c r="M94" s="533"/>
      <c r="N94" s="533"/>
      <c r="O94" s="533"/>
      <c r="P94" s="533"/>
      <c r="Q94" s="533"/>
      <c r="R94" s="533"/>
      <c r="S94" s="533"/>
      <c r="T94" s="533"/>
      <c r="U94" s="533"/>
      <c r="V94" s="533"/>
      <c r="W94" s="533"/>
      <c r="X94" s="533"/>
      <c r="Y94" s="533"/>
    </row>
    <row r="95" spans="1:25" s="531" customFormat="1" ht="19.5" customHeight="1">
      <c r="A95" s="532"/>
      <c r="B95" s="533"/>
      <c r="C95" s="533"/>
      <c r="D95" s="533"/>
      <c r="E95" s="533"/>
      <c r="F95" s="533"/>
      <c r="G95" s="533"/>
      <c r="H95" s="533"/>
      <c r="I95" s="533"/>
      <c r="J95" s="533"/>
      <c r="K95" s="533"/>
      <c r="L95" s="533"/>
      <c r="M95" s="533"/>
      <c r="N95" s="533"/>
      <c r="O95" s="533"/>
      <c r="P95" s="533"/>
      <c r="Q95" s="533"/>
      <c r="R95" s="533"/>
      <c r="S95" s="533"/>
      <c r="T95" s="533"/>
      <c r="U95" s="533"/>
      <c r="V95" s="533"/>
      <c r="W95" s="533"/>
      <c r="X95" s="533"/>
      <c r="Y95" s="533"/>
    </row>
    <row r="96" spans="1:25" s="531" customFormat="1" ht="19.5" customHeight="1">
      <c r="A96" s="532"/>
      <c r="B96" s="533"/>
      <c r="C96" s="533"/>
      <c r="D96" s="533"/>
      <c r="E96" s="533"/>
      <c r="F96" s="533"/>
      <c r="G96" s="533"/>
      <c r="H96" s="533"/>
      <c r="I96" s="533"/>
      <c r="J96" s="533"/>
      <c r="K96" s="533"/>
      <c r="L96" s="533"/>
      <c r="M96" s="533"/>
      <c r="N96" s="533"/>
      <c r="O96" s="533"/>
      <c r="P96" s="533"/>
      <c r="Q96" s="533"/>
      <c r="R96" s="533"/>
      <c r="S96" s="533"/>
      <c r="T96" s="533"/>
      <c r="U96" s="533"/>
      <c r="V96" s="533"/>
      <c r="W96" s="533"/>
      <c r="X96" s="533"/>
      <c r="Y96" s="533"/>
    </row>
    <row r="97" spans="1:25" s="531" customFormat="1" ht="19.5" customHeight="1">
      <c r="A97" s="532"/>
      <c r="B97" s="533"/>
      <c r="C97" s="533"/>
      <c r="D97" s="533"/>
      <c r="E97" s="533"/>
      <c r="F97" s="533"/>
      <c r="G97" s="533"/>
      <c r="H97" s="533"/>
      <c r="I97" s="533"/>
      <c r="J97" s="533"/>
      <c r="K97" s="533"/>
      <c r="L97" s="533"/>
      <c r="M97" s="533"/>
      <c r="N97" s="533"/>
      <c r="O97" s="533"/>
      <c r="P97" s="533"/>
      <c r="Q97" s="533"/>
      <c r="R97" s="533"/>
      <c r="S97" s="533"/>
      <c r="T97" s="533"/>
      <c r="U97" s="533"/>
      <c r="V97" s="533"/>
      <c r="W97" s="533"/>
      <c r="X97" s="533"/>
      <c r="Y97" s="533"/>
    </row>
    <row r="98" spans="1:25" s="531" customFormat="1" ht="19.5" customHeight="1">
      <c r="A98" s="532"/>
      <c r="B98" s="533"/>
      <c r="C98" s="533"/>
      <c r="D98" s="533"/>
      <c r="E98" s="533"/>
      <c r="F98" s="533"/>
      <c r="G98" s="533"/>
      <c r="H98" s="533"/>
      <c r="I98" s="533"/>
      <c r="J98" s="533"/>
      <c r="K98" s="533"/>
      <c r="L98" s="533"/>
      <c r="M98" s="533"/>
      <c r="N98" s="533"/>
      <c r="O98" s="533"/>
      <c r="P98" s="533"/>
      <c r="Q98" s="533"/>
      <c r="R98" s="533"/>
      <c r="S98" s="533"/>
      <c r="T98" s="533"/>
      <c r="U98" s="533"/>
      <c r="V98" s="533"/>
      <c r="W98" s="533"/>
      <c r="X98" s="533"/>
      <c r="Y98" s="533"/>
    </row>
    <row r="99" spans="1:25" s="531" customFormat="1" ht="19.5" customHeight="1">
      <c r="A99" s="532"/>
      <c r="B99" s="533"/>
      <c r="C99" s="533"/>
      <c r="D99" s="533"/>
      <c r="E99" s="533"/>
      <c r="F99" s="533"/>
      <c r="G99" s="533"/>
      <c r="H99" s="533"/>
      <c r="I99" s="533"/>
      <c r="J99" s="533"/>
      <c r="K99" s="533"/>
      <c r="L99" s="533"/>
      <c r="M99" s="533"/>
      <c r="N99" s="533"/>
      <c r="O99" s="533"/>
      <c r="P99" s="533"/>
      <c r="Q99" s="533"/>
      <c r="R99" s="533"/>
      <c r="S99" s="533"/>
      <c r="T99" s="533"/>
      <c r="U99" s="533"/>
      <c r="V99" s="533"/>
      <c r="W99" s="533"/>
      <c r="X99" s="533"/>
      <c r="Y99" s="533"/>
    </row>
    <row r="100" spans="1:25" s="531" customFormat="1" ht="19.5" customHeight="1">
      <c r="A100" s="532"/>
      <c r="B100" s="533"/>
      <c r="C100" s="533"/>
      <c r="D100" s="533"/>
      <c r="E100" s="533"/>
      <c r="F100" s="533"/>
      <c r="G100" s="533"/>
      <c r="H100" s="533"/>
      <c r="I100" s="533"/>
      <c r="J100" s="533"/>
      <c r="K100" s="533"/>
      <c r="L100" s="533"/>
      <c r="M100" s="533"/>
      <c r="N100" s="533"/>
      <c r="O100" s="533"/>
      <c r="P100" s="533"/>
      <c r="Q100" s="533"/>
      <c r="R100" s="533"/>
      <c r="S100" s="533"/>
      <c r="T100" s="533"/>
      <c r="U100" s="533"/>
      <c r="V100" s="533"/>
      <c r="W100" s="533"/>
      <c r="X100" s="533"/>
      <c r="Y100" s="533"/>
    </row>
    <row r="101" spans="1:25" s="531" customFormat="1" ht="19.5" customHeight="1">
      <c r="A101" s="532"/>
      <c r="B101" s="533"/>
      <c r="C101" s="533"/>
      <c r="D101" s="533"/>
      <c r="E101" s="533"/>
      <c r="F101" s="533"/>
      <c r="G101" s="533"/>
      <c r="H101" s="533"/>
      <c r="I101" s="533"/>
      <c r="J101" s="533"/>
      <c r="K101" s="533"/>
      <c r="L101" s="533"/>
      <c r="M101" s="533"/>
      <c r="N101" s="533"/>
      <c r="O101" s="533"/>
      <c r="P101" s="533"/>
      <c r="Q101" s="533"/>
      <c r="R101" s="533"/>
      <c r="S101" s="533"/>
      <c r="T101" s="533"/>
      <c r="U101" s="533"/>
      <c r="V101" s="533"/>
      <c r="W101" s="533"/>
      <c r="X101" s="533"/>
      <c r="Y101" s="533"/>
    </row>
    <row r="102" spans="1:25" s="531" customFormat="1" ht="19.5" customHeight="1">
      <c r="A102" s="532"/>
      <c r="B102" s="533"/>
      <c r="C102" s="533"/>
      <c r="D102" s="533"/>
      <c r="E102" s="533"/>
      <c r="F102" s="533"/>
      <c r="G102" s="533"/>
      <c r="H102" s="533"/>
      <c r="I102" s="533"/>
      <c r="J102" s="533"/>
      <c r="K102" s="533"/>
      <c r="L102" s="533"/>
      <c r="M102" s="533"/>
      <c r="N102" s="533"/>
      <c r="O102" s="533"/>
      <c r="P102" s="533"/>
      <c r="Q102" s="533"/>
      <c r="R102" s="533"/>
      <c r="S102" s="533"/>
      <c r="T102" s="533"/>
      <c r="U102" s="533"/>
      <c r="V102" s="533"/>
      <c r="W102" s="533"/>
      <c r="X102" s="533"/>
      <c r="Y102" s="533"/>
    </row>
    <row r="103" spans="1:25" s="531" customFormat="1" ht="19.5" customHeight="1">
      <c r="A103" s="532"/>
      <c r="B103" s="533"/>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row>
    <row r="104" spans="1:25" s="531" customFormat="1" ht="19.5" customHeight="1">
      <c r="A104" s="532"/>
      <c r="B104" s="533"/>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row>
    <row r="105" spans="1:25" s="531" customFormat="1" ht="19.5" customHeight="1">
      <c r="A105" s="532"/>
      <c r="B105" s="533"/>
      <c r="C105" s="533"/>
      <c r="D105" s="533"/>
      <c r="E105" s="533"/>
      <c r="F105" s="533"/>
      <c r="G105" s="533"/>
      <c r="H105" s="533"/>
      <c r="I105" s="533"/>
      <c r="J105" s="533"/>
      <c r="K105" s="533"/>
      <c r="L105" s="533"/>
      <c r="M105" s="533"/>
      <c r="N105" s="533"/>
      <c r="O105" s="533"/>
      <c r="P105" s="533"/>
      <c r="Q105" s="533"/>
      <c r="R105" s="533"/>
      <c r="S105" s="533"/>
      <c r="T105" s="533"/>
      <c r="U105" s="533"/>
      <c r="V105" s="533"/>
      <c r="W105" s="533"/>
      <c r="X105" s="533"/>
      <c r="Y105" s="533"/>
    </row>
    <row r="106" spans="1:25" s="531" customFormat="1" ht="19.5" customHeight="1">
      <c r="A106" s="532"/>
      <c r="B106" s="533"/>
      <c r="C106" s="533"/>
      <c r="D106" s="533"/>
      <c r="E106" s="533"/>
      <c r="F106" s="533"/>
      <c r="G106" s="533"/>
      <c r="H106" s="533"/>
      <c r="I106" s="533"/>
      <c r="J106" s="533"/>
      <c r="K106" s="533"/>
      <c r="L106" s="533"/>
      <c r="M106" s="533"/>
      <c r="N106" s="533"/>
      <c r="O106" s="533"/>
      <c r="P106" s="533"/>
      <c r="Q106" s="533"/>
      <c r="R106" s="533"/>
      <c r="S106" s="533"/>
      <c r="T106" s="533"/>
      <c r="U106" s="533"/>
      <c r="V106" s="533"/>
      <c r="W106" s="533"/>
      <c r="X106" s="533"/>
      <c r="Y106" s="533"/>
    </row>
    <row r="107" spans="1:25" s="531" customFormat="1" ht="19.5" customHeight="1">
      <c r="A107" s="532"/>
      <c r="B107" s="533"/>
      <c r="C107" s="533"/>
      <c r="D107" s="533"/>
      <c r="E107" s="533"/>
      <c r="F107" s="533"/>
      <c r="G107" s="533"/>
      <c r="H107" s="533"/>
      <c r="I107" s="533"/>
      <c r="J107" s="533"/>
      <c r="K107" s="533"/>
      <c r="L107" s="533"/>
      <c r="M107" s="533"/>
      <c r="N107" s="533"/>
      <c r="O107" s="533"/>
      <c r="P107" s="533"/>
      <c r="Q107" s="533"/>
      <c r="R107" s="533"/>
      <c r="S107" s="533"/>
      <c r="T107" s="533"/>
      <c r="U107" s="533"/>
      <c r="V107" s="533"/>
      <c r="W107" s="533"/>
      <c r="X107" s="533"/>
      <c r="Y107" s="533"/>
    </row>
    <row r="108" spans="1:25" s="531" customFormat="1" ht="19.5" customHeight="1">
      <c r="A108" s="532"/>
      <c r="B108" s="533"/>
      <c r="C108" s="533"/>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row>
    <row r="109" spans="1:25" s="531" customFormat="1" ht="19.5" customHeight="1">
      <c r="A109" s="532"/>
      <c r="B109" s="533"/>
      <c r="C109" s="533"/>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row>
    <row r="110" spans="1:25" s="531" customFormat="1" ht="19.5" customHeight="1">
      <c r="A110" s="532"/>
      <c r="B110" s="533"/>
      <c r="C110" s="533"/>
      <c r="D110" s="533"/>
      <c r="E110" s="533"/>
      <c r="F110" s="533"/>
      <c r="G110" s="533"/>
      <c r="H110" s="533"/>
      <c r="I110" s="533"/>
      <c r="J110" s="533"/>
      <c r="K110" s="533"/>
      <c r="L110" s="533"/>
      <c r="M110" s="533"/>
      <c r="N110" s="533"/>
      <c r="O110" s="533"/>
      <c r="P110" s="533"/>
      <c r="Q110" s="533"/>
      <c r="R110" s="533"/>
      <c r="S110" s="533"/>
      <c r="T110" s="533"/>
      <c r="U110" s="533"/>
      <c r="V110" s="533"/>
      <c r="W110" s="533"/>
      <c r="X110" s="533"/>
      <c r="Y110" s="533"/>
    </row>
    <row r="111" spans="1:25" s="531" customFormat="1" ht="19.5" customHeight="1">
      <c r="A111" s="532"/>
      <c r="B111" s="533"/>
      <c r="C111" s="533"/>
      <c r="D111" s="533"/>
      <c r="E111" s="533"/>
      <c r="F111" s="533"/>
      <c r="G111" s="533"/>
      <c r="H111" s="533"/>
      <c r="I111" s="533"/>
      <c r="J111" s="533"/>
      <c r="K111" s="533"/>
      <c r="L111" s="533"/>
      <c r="M111" s="533"/>
      <c r="N111" s="533"/>
      <c r="O111" s="533"/>
      <c r="P111" s="533"/>
      <c r="Q111" s="533"/>
      <c r="R111" s="533"/>
      <c r="S111" s="533"/>
      <c r="T111" s="533"/>
      <c r="U111" s="533"/>
      <c r="V111" s="533"/>
      <c r="W111" s="533"/>
      <c r="X111" s="533"/>
      <c r="Y111" s="533"/>
    </row>
    <row r="112" spans="1:25" s="531" customFormat="1" ht="19.5" customHeight="1">
      <c r="A112" s="532"/>
      <c r="B112" s="533"/>
      <c r="C112" s="533"/>
      <c r="D112" s="533"/>
      <c r="E112" s="533"/>
      <c r="F112" s="533"/>
      <c r="G112" s="533"/>
      <c r="H112" s="533"/>
      <c r="I112" s="533"/>
      <c r="J112" s="533"/>
      <c r="K112" s="533"/>
      <c r="L112" s="533"/>
      <c r="M112" s="533"/>
      <c r="N112" s="533"/>
      <c r="O112" s="533"/>
      <c r="P112" s="533"/>
      <c r="Q112" s="533"/>
      <c r="R112" s="533"/>
      <c r="S112" s="533"/>
      <c r="T112" s="533"/>
      <c r="U112" s="533"/>
      <c r="V112" s="533"/>
      <c r="W112" s="533"/>
      <c r="X112" s="533"/>
      <c r="Y112" s="533"/>
    </row>
    <row r="113" spans="1:25" s="531" customFormat="1" ht="19.5" customHeight="1">
      <c r="A113" s="532"/>
      <c r="B113" s="533"/>
      <c r="C113" s="533"/>
      <c r="D113" s="533"/>
      <c r="E113" s="533"/>
      <c r="F113" s="533"/>
      <c r="G113" s="533"/>
      <c r="H113" s="533"/>
      <c r="I113" s="533"/>
      <c r="J113" s="533"/>
      <c r="K113" s="533"/>
      <c r="L113" s="533"/>
      <c r="M113" s="533"/>
      <c r="N113" s="533"/>
      <c r="O113" s="533"/>
      <c r="P113" s="533"/>
      <c r="Q113" s="533"/>
      <c r="R113" s="533"/>
      <c r="S113" s="533"/>
      <c r="T113" s="533"/>
      <c r="U113" s="533"/>
      <c r="V113" s="533"/>
      <c r="W113" s="533"/>
      <c r="X113" s="533"/>
      <c r="Y113" s="533"/>
    </row>
    <row r="114" spans="1:25" s="531" customFormat="1" ht="19.5" customHeight="1">
      <c r="A114" s="532"/>
      <c r="B114" s="533"/>
      <c r="C114" s="533"/>
      <c r="D114" s="533"/>
      <c r="E114" s="533"/>
      <c r="F114" s="533"/>
      <c r="G114" s="533"/>
      <c r="H114" s="533"/>
      <c r="I114" s="533"/>
      <c r="J114" s="533"/>
      <c r="K114" s="533"/>
      <c r="L114" s="533"/>
      <c r="M114" s="533"/>
      <c r="N114" s="533"/>
      <c r="O114" s="533"/>
      <c r="P114" s="533"/>
      <c r="Q114" s="533"/>
      <c r="R114" s="533"/>
      <c r="S114" s="533"/>
      <c r="T114" s="533"/>
      <c r="U114" s="533"/>
      <c r="V114" s="533"/>
      <c r="W114" s="533"/>
      <c r="X114" s="533"/>
      <c r="Y114" s="533"/>
    </row>
    <row r="115" spans="1:25" s="531" customFormat="1" ht="19.5" customHeight="1">
      <c r="A115" s="532"/>
      <c r="B115" s="533"/>
      <c r="C115" s="533"/>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row>
    <row r="116" spans="1:25" s="531" customFormat="1" ht="19.5" customHeight="1">
      <c r="A116" s="532"/>
      <c r="B116" s="533"/>
      <c r="C116" s="533"/>
      <c r="D116" s="533"/>
      <c r="E116" s="533"/>
      <c r="F116" s="533"/>
      <c r="G116" s="533"/>
      <c r="H116" s="533"/>
      <c r="I116" s="533"/>
      <c r="J116" s="533"/>
      <c r="K116" s="533"/>
      <c r="L116" s="533"/>
      <c r="M116" s="533"/>
      <c r="N116" s="533"/>
      <c r="O116" s="533"/>
      <c r="P116" s="533"/>
      <c r="Q116" s="533"/>
      <c r="R116" s="533"/>
      <c r="S116" s="533"/>
      <c r="T116" s="533"/>
      <c r="U116" s="533"/>
      <c r="V116" s="533"/>
      <c r="W116" s="533"/>
      <c r="X116" s="533"/>
      <c r="Y116" s="533"/>
    </row>
    <row r="117" ht="19.5" customHeight="1"/>
    <row r="118" ht="9.75" customHeight="1"/>
    <row r="119" ht="19.5" customHeight="1"/>
    <row r="120" ht="19.5" customHeight="1"/>
    <row r="121" ht="19.5" customHeight="1"/>
    <row r="122" ht="19.5" customHeight="1"/>
    <row r="123" spans="1:25" s="531" customFormat="1" ht="19.5" customHeight="1">
      <c r="A123" s="532"/>
      <c r="B123" s="533"/>
      <c r="C123" s="533"/>
      <c r="D123" s="533"/>
      <c r="E123" s="533"/>
      <c r="F123" s="533"/>
      <c r="G123" s="533"/>
      <c r="H123" s="533"/>
      <c r="I123" s="533"/>
      <c r="J123" s="533"/>
      <c r="K123" s="533"/>
      <c r="L123" s="533"/>
      <c r="M123" s="533"/>
      <c r="N123" s="533"/>
      <c r="O123" s="533"/>
      <c r="P123" s="533"/>
      <c r="Q123" s="533"/>
      <c r="R123" s="533"/>
      <c r="S123" s="533"/>
      <c r="T123" s="533"/>
      <c r="U123" s="533"/>
      <c r="V123" s="533"/>
      <c r="W123" s="533"/>
      <c r="X123" s="533"/>
      <c r="Y123" s="533"/>
    </row>
    <row r="124" spans="1:25" s="531" customFormat="1" ht="19.5" customHeight="1">
      <c r="A124" s="532"/>
      <c r="B124" s="533"/>
      <c r="C124" s="533"/>
      <c r="D124" s="533"/>
      <c r="E124" s="533"/>
      <c r="F124" s="533"/>
      <c r="G124" s="533"/>
      <c r="H124" s="533"/>
      <c r="I124" s="533"/>
      <c r="J124" s="533"/>
      <c r="K124" s="533"/>
      <c r="L124" s="533"/>
      <c r="M124" s="533"/>
      <c r="N124" s="533"/>
      <c r="O124" s="533"/>
      <c r="P124" s="533"/>
      <c r="Q124" s="533"/>
      <c r="R124" s="533"/>
      <c r="S124" s="533"/>
      <c r="T124" s="533"/>
      <c r="U124" s="533"/>
      <c r="V124" s="533"/>
      <c r="W124" s="533"/>
      <c r="X124" s="533"/>
      <c r="Y124" s="533"/>
    </row>
    <row r="125" spans="1:25" s="531" customFormat="1" ht="19.5" customHeight="1">
      <c r="A125" s="532"/>
      <c r="B125" s="533"/>
      <c r="C125" s="533"/>
      <c r="D125" s="533"/>
      <c r="E125" s="533"/>
      <c r="F125" s="533"/>
      <c r="G125" s="533"/>
      <c r="H125" s="533"/>
      <c r="I125" s="533"/>
      <c r="J125" s="533"/>
      <c r="K125" s="533"/>
      <c r="L125" s="533"/>
      <c r="M125" s="533"/>
      <c r="N125" s="533"/>
      <c r="O125" s="533"/>
      <c r="P125" s="533"/>
      <c r="Q125" s="533"/>
      <c r="R125" s="533"/>
      <c r="S125" s="533"/>
      <c r="T125" s="533"/>
      <c r="U125" s="533"/>
      <c r="V125" s="533"/>
      <c r="W125" s="533"/>
      <c r="X125" s="533"/>
      <c r="Y125" s="533"/>
    </row>
    <row r="126" spans="1:25" s="531" customFormat="1" ht="19.5" customHeight="1">
      <c r="A126" s="532"/>
      <c r="B126" s="533"/>
      <c r="C126" s="533"/>
      <c r="D126" s="533"/>
      <c r="E126" s="533"/>
      <c r="F126" s="533"/>
      <c r="G126" s="533"/>
      <c r="H126" s="533"/>
      <c r="I126" s="533"/>
      <c r="J126" s="533"/>
      <c r="K126" s="533"/>
      <c r="L126" s="533"/>
      <c r="M126" s="533"/>
      <c r="N126" s="533"/>
      <c r="O126" s="533"/>
      <c r="P126" s="533"/>
      <c r="Q126" s="533"/>
      <c r="R126" s="533"/>
      <c r="S126" s="533"/>
      <c r="T126" s="533"/>
      <c r="U126" s="533"/>
      <c r="V126" s="533"/>
      <c r="W126" s="533"/>
      <c r="X126" s="533"/>
      <c r="Y126" s="533"/>
    </row>
    <row r="127" spans="1:25" s="531" customFormat="1" ht="19.5" customHeight="1">
      <c r="A127" s="532"/>
      <c r="B127" s="533"/>
      <c r="C127" s="533"/>
      <c r="D127" s="533"/>
      <c r="E127" s="533"/>
      <c r="F127" s="533"/>
      <c r="G127" s="533"/>
      <c r="H127" s="533"/>
      <c r="I127" s="533"/>
      <c r="J127" s="533"/>
      <c r="K127" s="533"/>
      <c r="L127" s="533"/>
      <c r="M127" s="533"/>
      <c r="N127" s="533"/>
      <c r="O127" s="533"/>
      <c r="P127" s="533"/>
      <c r="Q127" s="533"/>
      <c r="R127" s="533"/>
      <c r="S127" s="533"/>
      <c r="T127" s="533"/>
      <c r="U127" s="533"/>
      <c r="V127" s="533"/>
      <c r="W127" s="533"/>
      <c r="X127" s="533"/>
      <c r="Y127" s="533"/>
    </row>
    <row r="128" spans="1:25" s="531" customFormat="1" ht="19.5" customHeight="1">
      <c r="A128" s="532"/>
      <c r="B128" s="533"/>
      <c r="C128" s="533"/>
      <c r="D128" s="533"/>
      <c r="E128" s="533"/>
      <c r="F128" s="533"/>
      <c r="G128" s="533"/>
      <c r="H128" s="533"/>
      <c r="I128" s="533"/>
      <c r="J128" s="533"/>
      <c r="K128" s="533"/>
      <c r="L128" s="533"/>
      <c r="M128" s="533"/>
      <c r="N128" s="533"/>
      <c r="O128" s="533"/>
      <c r="P128" s="533"/>
      <c r="Q128" s="533"/>
      <c r="R128" s="533"/>
      <c r="S128" s="533"/>
      <c r="T128" s="533"/>
      <c r="U128" s="533"/>
      <c r="V128" s="533"/>
      <c r="W128" s="533"/>
      <c r="X128" s="533"/>
      <c r="Y128" s="533"/>
    </row>
    <row r="129" spans="1:25" s="531" customFormat="1" ht="19.5" customHeight="1">
      <c r="A129" s="532"/>
      <c r="B129" s="533"/>
      <c r="C129" s="533"/>
      <c r="D129" s="533"/>
      <c r="E129" s="533"/>
      <c r="F129" s="533"/>
      <c r="G129" s="533"/>
      <c r="H129" s="533"/>
      <c r="I129" s="533"/>
      <c r="J129" s="533"/>
      <c r="K129" s="533"/>
      <c r="L129" s="533"/>
      <c r="M129" s="533"/>
      <c r="N129" s="533"/>
      <c r="O129" s="533"/>
      <c r="P129" s="533"/>
      <c r="Q129" s="533"/>
      <c r="R129" s="533"/>
      <c r="S129" s="533"/>
      <c r="T129" s="533"/>
      <c r="U129" s="533"/>
      <c r="V129" s="533"/>
      <c r="W129" s="533"/>
      <c r="X129" s="533"/>
      <c r="Y129" s="533"/>
    </row>
    <row r="130" spans="1:25" s="531" customFormat="1" ht="19.5" customHeight="1">
      <c r="A130" s="532"/>
      <c r="B130" s="533"/>
      <c r="C130" s="533"/>
      <c r="D130" s="533"/>
      <c r="E130" s="533"/>
      <c r="F130" s="533"/>
      <c r="G130" s="533"/>
      <c r="H130" s="533"/>
      <c r="I130" s="533"/>
      <c r="J130" s="533"/>
      <c r="K130" s="533"/>
      <c r="L130" s="533"/>
      <c r="M130" s="533"/>
      <c r="N130" s="533"/>
      <c r="O130" s="533"/>
      <c r="P130" s="533"/>
      <c r="Q130" s="533"/>
      <c r="R130" s="533"/>
      <c r="S130" s="533"/>
      <c r="T130" s="533"/>
      <c r="U130" s="533"/>
      <c r="V130" s="533"/>
      <c r="W130" s="533"/>
      <c r="X130" s="533"/>
      <c r="Y130" s="533"/>
    </row>
    <row r="131" spans="1:25" s="531" customFormat="1" ht="19.5" customHeight="1">
      <c r="A131" s="532"/>
      <c r="B131" s="533"/>
      <c r="C131" s="533"/>
      <c r="D131" s="533"/>
      <c r="E131" s="533"/>
      <c r="F131" s="533"/>
      <c r="G131" s="533"/>
      <c r="H131" s="533"/>
      <c r="I131" s="533"/>
      <c r="J131" s="533"/>
      <c r="K131" s="533"/>
      <c r="L131" s="533"/>
      <c r="M131" s="533"/>
      <c r="N131" s="533"/>
      <c r="O131" s="533"/>
      <c r="P131" s="533"/>
      <c r="Q131" s="533"/>
      <c r="R131" s="533"/>
      <c r="S131" s="533"/>
      <c r="T131" s="533"/>
      <c r="U131" s="533"/>
      <c r="V131" s="533"/>
      <c r="W131" s="533"/>
      <c r="X131" s="533"/>
      <c r="Y131" s="533"/>
    </row>
    <row r="132" spans="1:25" s="531" customFormat="1" ht="19.5" customHeight="1">
      <c r="A132" s="532"/>
      <c r="B132" s="533"/>
      <c r="C132" s="533"/>
      <c r="D132" s="533"/>
      <c r="E132" s="533"/>
      <c r="F132" s="533"/>
      <c r="G132" s="533"/>
      <c r="H132" s="533"/>
      <c r="I132" s="533"/>
      <c r="J132" s="533"/>
      <c r="K132" s="533"/>
      <c r="L132" s="533"/>
      <c r="M132" s="533"/>
      <c r="N132" s="533"/>
      <c r="O132" s="533"/>
      <c r="P132" s="533"/>
      <c r="Q132" s="533"/>
      <c r="R132" s="533"/>
      <c r="S132" s="533"/>
      <c r="T132" s="533"/>
      <c r="U132" s="533"/>
      <c r="V132" s="533"/>
      <c r="W132" s="533"/>
      <c r="X132" s="533"/>
      <c r="Y132" s="533"/>
    </row>
    <row r="133" spans="1:25" s="531" customFormat="1" ht="19.5" customHeight="1">
      <c r="A133" s="532"/>
      <c r="B133" s="533"/>
      <c r="C133" s="533"/>
      <c r="D133" s="533"/>
      <c r="E133" s="533"/>
      <c r="F133" s="533"/>
      <c r="G133" s="533"/>
      <c r="H133" s="533"/>
      <c r="I133" s="533"/>
      <c r="J133" s="533"/>
      <c r="K133" s="533"/>
      <c r="L133" s="533"/>
      <c r="M133" s="533"/>
      <c r="N133" s="533"/>
      <c r="O133" s="533"/>
      <c r="P133" s="533"/>
      <c r="Q133" s="533"/>
      <c r="R133" s="533"/>
      <c r="S133" s="533"/>
      <c r="T133" s="533"/>
      <c r="U133" s="533"/>
      <c r="V133" s="533"/>
      <c r="W133" s="533"/>
      <c r="X133" s="533"/>
      <c r="Y133" s="533"/>
    </row>
    <row r="134" spans="1:25" s="531" customFormat="1" ht="19.5" customHeight="1">
      <c r="A134" s="532"/>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533"/>
      <c r="X134" s="533"/>
      <c r="Y134" s="533"/>
    </row>
    <row r="135" spans="1:25" s="531" customFormat="1" ht="19.5" customHeight="1">
      <c r="A135" s="532"/>
      <c r="B135" s="533"/>
      <c r="C135" s="533"/>
      <c r="D135" s="533"/>
      <c r="E135" s="533"/>
      <c r="F135" s="533"/>
      <c r="G135" s="533"/>
      <c r="H135" s="533"/>
      <c r="I135" s="533"/>
      <c r="J135" s="533"/>
      <c r="K135" s="533"/>
      <c r="L135" s="533"/>
      <c r="M135" s="533"/>
      <c r="N135" s="533"/>
      <c r="O135" s="533"/>
      <c r="P135" s="533"/>
      <c r="Q135" s="533"/>
      <c r="R135" s="533"/>
      <c r="S135" s="533"/>
      <c r="T135" s="533"/>
      <c r="U135" s="533"/>
      <c r="V135" s="533"/>
      <c r="W135" s="533"/>
      <c r="X135" s="533"/>
      <c r="Y135" s="533"/>
    </row>
    <row r="136" spans="1:25" s="531" customFormat="1" ht="19.5" customHeight="1">
      <c r="A136" s="532"/>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row>
    <row r="137" spans="1:25" s="531" customFormat="1" ht="19.5" customHeight="1">
      <c r="A137" s="532"/>
      <c r="B137" s="533"/>
      <c r="C137" s="533"/>
      <c r="D137" s="533"/>
      <c r="E137" s="533"/>
      <c r="F137" s="533"/>
      <c r="G137" s="533"/>
      <c r="H137" s="533"/>
      <c r="I137" s="533"/>
      <c r="J137" s="533"/>
      <c r="K137" s="533"/>
      <c r="L137" s="533"/>
      <c r="M137" s="533"/>
      <c r="N137" s="533"/>
      <c r="O137" s="533"/>
      <c r="P137" s="533"/>
      <c r="Q137" s="533"/>
      <c r="R137" s="533"/>
      <c r="S137" s="533"/>
      <c r="T137" s="533"/>
      <c r="U137" s="533"/>
      <c r="V137" s="533"/>
      <c r="W137" s="533"/>
      <c r="X137" s="533"/>
      <c r="Y137" s="533"/>
    </row>
    <row r="138" spans="1:25" s="531" customFormat="1" ht="19.5" customHeight="1">
      <c r="A138" s="532"/>
      <c r="B138" s="533"/>
      <c r="C138" s="533"/>
      <c r="D138" s="533"/>
      <c r="E138" s="533"/>
      <c r="F138" s="533"/>
      <c r="G138" s="533"/>
      <c r="H138" s="533"/>
      <c r="I138" s="533"/>
      <c r="J138" s="533"/>
      <c r="K138" s="533"/>
      <c r="L138" s="533"/>
      <c r="M138" s="533"/>
      <c r="N138" s="533"/>
      <c r="O138" s="533"/>
      <c r="P138" s="533"/>
      <c r="Q138" s="533"/>
      <c r="R138" s="533"/>
      <c r="S138" s="533"/>
      <c r="T138" s="533"/>
      <c r="U138" s="533"/>
      <c r="V138" s="533"/>
      <c r="W138" s="533"/>
      <c r="X138" s="533"/>
      <c r="Y138" s="533"/>
    </row>
    <row r="139" spans="1:25" s="531" customFormat="1" ht="19.5" customHeight="1">
      <c r="A139" s="532"/>
      <c r="B139" s="533"/>
      <c r="C139" s="533"/>
      <c r="D139" s="533"/>
      <c r="E139" s="533"/>
      <c r="F139" s="533"/>
      <c r="G139" s="533"/>
      <c r="H139" s="533"/>
      <c r="I139" s="533"/>
      <c r="J139" s="533"/>
      <c r="K139" s="533"/>
      <c r="L139" s="533"/>
      <c r="M139" s="533"/>
      <c r="N139" s="533"/>
      <c r="O139" s="533"/>
      <c r="P139" s="533"/>
      <c r="Q139" s="533"/>
      <c r="R139" s="533"/>
      <c r="S139" s="533"/>
      <c r="T139" s="533"/>
      <c r="U139" s="533"/>
      <c r="V139" s="533"/>
      <c r="W139" s="533"/>
      <c r="X139" s="533"/>
      <c r="Y139" s="533"/>
    </row>
    <row r="140" spans="1:25" s="531" customFormat="1" ht="19.5" customHeight="1">
      <c r="A140" s="532"/>
      <c r="B140" s="533"/>
      <c r="C140" s="533"/>
      <c r="D140" s="533"/>
      <c r="E140" s="533"/>
      <c r="F140" s="533"/>
      <c r="G140" s="533"/>
      <c r="H140" s="533"/>
      <c r="I140" s="533"/>
      <c r="J140" s="533"/>
      <c r="K140" s="533"/>
      <c r="L140" s="533"/>
      <c r="M140" s="533"/>
      <c r="N140" s="533"/>
      <c r="O140" s="533"/>
      <c r="P140" s="533"/>
      <c r="Q140" s="533"/>
      <c r="R140" s="533"/>
      <c r="S140" s="533"/>
      <c r="T140" s="533"/>
      <c r="U140" s="533"/>
      <c r="V140" s="533"/>
      <c r="W140" s="533"/>
      <c r="X140" s="533"/>
      <c r="Y140" s="533"/>
    </row>
    <row r="141" spans="1:25" s="531" customFormat="1" ht="19.5" customHeight="1">
      <c r="A141" s="532"/>
      <c r="B141" s="533"/>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row>
    <row r="142" spans="1:25" s="531" customFormat="1" ht="19.5" customHeight="1">
      <c r="A142" s="532"/>
      <c r="B142" s="533"/>
      <c r="C142" s="533"/>
      <c r="D142" s="533"/>
      <c r="E142" s="533"/>
      <c r="F142" s="533"/>
      <c r="G142" s="533"/>
      <c r="H142" s="533"/>
      <c r="I142" s="533"/>
      <c r="J142" s="533"/>
      <c r="K142" s="533"/>
      <c r="L142" s="533"/>
      <c r="M142" s="533"/>
      <c r="N142" s="533"/>
      <c r="O142" s="533"/>
      <c r="P142" s="533"/>
      <c r="Q142" s="533"/>
      <c r="R142" s="533"/>
      <c r="S142" s="533"/>
      <c r="T142" s="533"/>
      <c r="U142" s="533"/>
      <c r="V142" s="533"/>
      <c r="W142" s="533"/>
      <c r="X142" s="533"/>
      <c r="Y142" s="533"/>
    </row>
    <row r="143" spans="1:25" s="531" customFormat="1" ht="19.5" customHeight="1">
      <c r="A143" s="532"/>
      <c r="B143" s="533"/>
      <c r="C143" s="533"/>
      <c r="D143" s="533"/>
      <c r="E143" s="533"/>
      <c r="F143" s="533"/>
      <c r="G143" s="533"/>
      <c r="H143" s="533"/>
      <c r="I143" s="533"/>
      <c r="J143" s="533"/>
      <c r="K143" s="533"/>
      <c r="L143" s="533"/>
      <c r="M143" s="533"/>
      <c r="N143" s="533"/>
      <c r="O143" s="533"/>
      <c r="P143" s="533"/>
      <c r="Q143" s="533"/>
      <c r="R143" s="533"/>
      <c r="S143" s="533"/>
      <c r="T143" s="533"/>
      <c r="U143" s="533"/>
      <c r="V143" s="533"/>
      <c r="W143" s="533"/>
      <c r="X143" s="533"/>
      <c r="Y143" s="533"/>
    </row>
    <row r="144" spans="1:25" s="531" customFormat="1" ht="19.5" customHeight="1">
      <c r="A144" s="532"/>
      <c r="B144" s="533"/>
      <c r="C144" s="533"/>
      <c r="D144" s="533"/>
      <c r="E144" s="533"/>
      <c r="F144" s="533"/>
      <c r="G144" s="533"/>
      <c r="H144" s="533"/>
      <c r="I144" s="533"/>
      <c r="J144" s="533"/>
      <c r="K144" s="533"/>
      <c r="L144" s="533"/>
      <c r="M144" s="533"/>
      <c r="N144" s="533"/>
      <c r="O144" s="533"/>
      <c r="P144" s="533"/>
      <c r="Q144" s="533"/>
      <c r="R144" s="533"/>
      <c r="S144" s="533"/>
      <c r="T144" s="533"/>
      <c r="U144" s="533"/>
      <c r="V144" s="533"/>
      <c r="W144" s="533"/>
      <c r="X144" s="533"/>
      <c r="Y144" s="533"/>
    </row>
    <row r="145" spans="1:25" s="531" customFormat="1" ht="19.5" customHeight="1">
      <c r="A145" s="532"/>
      <c r="B145" s="533"/>
      <c r="C145" s="533"/>
      <c r="D145" s="533"/>
      <c r="E145" s="533"/>
      <c r="F145" s="533"/>
      <c r="G145" s="533"/>
      <c r="H145" s="533"/>
      <c r="I145" s="533"/>
      <c r="J145" s="533"/>
      <c r="K145" s="533"/>
      <c r="L145" s="533"/>
      <c r="M145" s="533"/>
      <c r="N145" s="533"/>
      <c r="O145" s="533"/>
      <c r="P145" s="533"/>
      <c r="Q145" s="533"/>
      <c r="R145" s="533"/>
      <c r="S145" s="533"/>
      <c r="T145" s="533"/>
      <c r="U145" s="533"/>
      <c r="V145" s="533"/>
      <c r="W145" s="533"/>
      <c r="X145" s="533"/>
      <c r="Y145" s="533"/>
    </row>
    <row r="146" spans="1:25" s="531" customFormat="1" ht="19.5" customHeight="1">
      <c r="A146" s="532"/>
      <c r="B146" s="533"/>
      <c r="C146" s="533"/>
      <c r="D146" s="533"/>
      <c r="E146" s="533"/>
      <c r="F146" s="533"/>
      <c r="G146" s="533"/>
      <c r="H146" s="533"/>
      <c r="I146" s="533"/>
      <c r="J146" s="533"/>
      <c r="K146" s="533"/>
      <c r="L146" s="533"/>
      <c r="M146" s="533"/>
      <c r="N146" s="533"/>
      <c r="O146" s="533"/>
      <c r="P146" s="533"/>
      <c r="Q146" s="533"/>
      <c r="R146" s="533"/>
      <c r="S146" s="533"/>
      <c r="T146" s="533"/>
      <c r="U146" s="533"/>
      <c r="V146" s="533"/>
      <c r="W146" s="533"/>
      <c r="X146" s="533"/>
      <c r="Y146" s="533"/>
    </row>
    <row r="147" spans="1:25" s="531" customFormat="1" ht="19.5" customHeight="1">
      <c r="A147" s="532"/>
      <c r="B147" s="533"/>
      <c r="C147" s="533"/>
      <c r="D147" s="533"/>
      <c r="E147" s="533"/>
      <c r="F147" s="533"/>
      <c r="G147" s="533"/>
      <c r="H147" s="533"/>
      <c r="I147" s="533"/>
      <c r="J147" s="533"/>
      <c r="K147" s="533"/>
      <c r="L147" s="533"/>
      <c r="M147" s="533"/>
      <c r="N147" s="533"/>
      <c r="O147" s="533"/>
      <c r="P147" s="533"/>
      <c r="Q147" s="533"/>
      <c r="R147" s="533"/>
      <c r="S147" s="533"/>
      <c r="T147" s="533"/>
      <c r="U147" s="533"/>
      <c r="V147" s="533"/>
      <c r="W147" s="533"/>
      <c r="X147" s="533"/>
      <c r="Y147" s="533"/>
    </row>
    <row r="148" spans="1:25" s="531" customFormat="1" ht="19.5" customHeight="1">
      <c r="A148" s="532"/>
      <c r="B148" s="533"/>
      <c r="C148" s="533"/>
      <c r="D148" s="533"/>
      <c r="E148" s="533"/>
      <c r="F148" s="533"/>
      <c r="G148" s="533"/>
      <c r="H148" s="533"/>
      <c r="I148" s="533"/>
      <c r="J148" s="533"/>
      <c r="K148" s="533"/>
      <c r="L148" s="533"/>
      <c r="M148" s="533"/>
      <c r="N148" s="533"/>
      <c r="O148" s="533"/>
      <c r="P148" s="533"/>
      <c r="Q148" s="533"/>
      <c r="R148" s="533"/>
      <c r="S148" s="533"/>
      <c r="T148" s="533"/>
      <c r="U148" s="533"/>
      <c r="V148" s="533"/>
      <c r="W148" s="533"/>
      <c r="X148" s="533"/>
      <c r="Y148" s="533"/>
    </row>
    <row r="149" spans="1:25" s="531" customFormat="1" ht="19.5" customHeight="1">
      <c r="A149" s="532"/>
      <c r="B149" s="533"/>
      <c r="C149" s="533"/>
      <c r="D149" s="533"/>
      <c r="E149" s="533"/>
      <c r="F149" s="533"/>
      <c r="G149" s="533"/>
      <c r="H149" s="533"/>
      <c r="I149" s="533"/>
      <c r="J149" s="533"/>
      <c r="K149" s="533"/>
      <c r="L149" s="533"/>
      <c r="M149" s="533"/>
      <c r="N149" s="533"/>
      <c r="O149" s="533"/>
      <c r="P149" s="533"/>
      <c r="Q149" s="533"/>
      <c r="R149" s="533"/>
      <c r="S149" s="533"/>
      <c r="T149" s="533"/>
      <c r="U149" s="533"/>
      <c r="V149" s="533"/>
      <c r="W149" s="533"/>
      <c r="X149" s="533"/>
      <c r="Y149" s="533"/>
    </row>
    <row r="150" spans="1:25" s="531" customFormat="1" ht="19.5" customHeight="1">
      <c r="A150" s="532"/>
      <c r="B150" s="533"/>
      <c r="C150" s="533"/>
      <c r="D150" s="533"/>
      <c r="E150" s="533"/>
      <c r="F150" s="533"/>
      <c r="G150" s="533"/>
      <c r="H150" s="533"/>
      <c r="I150" s="533"/>
      <c r="J150" s="533"/>
      <c r="K150" s="533"/>
      <c r="L150" s="533"/>
      <c r="M150" s="533"/>
      <c r="N150" s="533"/>
      <c r="O150" s="533"/>
      <c r="P150" s="533"/>
      <c r="Q150" s="533"/>
      <c r="R150" s="533"/>
      <c r="S150" s="533"/>
      <c r="T150" s="533"/>
      <c r="U150" s="533"/>
      <c r="V150" s="533"/>
      <c r="W150" s="533"/>
      <c r="X150" s="533"/>
      <c r="Y150" s="533"/>
    </row>
    <row r="151" spans="1:25" s="531" customFormat="1" ht="19.5" customHeight="1">
      <c r="A151" s="532"/>
      <c r="B151" s="533"/>
      <c r="C151" s="533"/>
      <c r="D151" s="533"/>
      <c r="E151" s="533"/>
      <c r="F151" s="533"/>
      <c r="G151" s="533"/>
      <c r="H151" s="533"/>
      <c r="I151" s="533"/>
      <c r="J151" s="533"/>
      <c r="K151" s="533"/>
      <c r="L151" s="533"/>
      <c r="M151" s="533"/>
      <c r="N151" s="533"/>
      <c r="O151" s="533"/>
      <c r="P151" s="533"/>
      <c r="Q151" s="533"/>
      <c r="R151" s="533"/>
      <c r="S151" s="533"/>
      <c r="T151" s="533"/>
      <c r="U151" s="533"/>
      <c r="V151" s="533"/>
      <c r="W151" s="533"/>
      <c r="X151" s="533"/>
      <c r="Y151" s="533"/>
    </row>
    <row r="152" spans="1:25" s="531" customFormat="1" ht="19.5" customHeight="1">
      <c r="A152" s="532"/>
      <c r="B152" s="533"/>
      <c r="C152" s="533"/>
      <c r="D152" s="533"/>
      <c r="E152" s="533"/>
      <c r="F152" s="533"/>
      <c r="G152" s="533"/>
      <c r="H152" s="533"/>
      <c r="I152" s="533"/>
      <c r="J152" s="533"/>
      <c r="K152" s="533"/>
      <c r="L152" s="533"/>
      <c r="M152" s="533"/>
      <c r="N152" s="533"/>
      <c r="O152" s="533"/>
      <c r="P152" s="533"/>
      <c r="Q152" s="533"/>
      <c r="R152" s="533"/>
      <c r="S152" s="533"/>
      <c r="T152" s="533"/>
      <c r="U152" s="533"/>
      <c r="V152" s="533"/>
      <c r="W152" s="533"/>
      <c r="X152" s="533"/>
      <c r="Y152" s="533"/>
    </row>
    <row r="153" spans="1:25" s="531" customFormat="1" ht="19.5" customHeight="1">
      <c r="A153" s="532"/>
      <c r="B153" s="533"/>
      <c r="C153" s="533"/>
      <c r="D153" s="533"/>
      <c r="E153" s="533"/>
      <c r="F153" s="533"/>
      <c r="G153" s="533"/>
      <c r="H153" s="533"/>
      <c r="I153" s="533"/>
      <c r="J153" s="533"/>
      <c r="K153" s="533"/>
      <c r="L153" s="533"/>
      <c r="M153" s="533"/>
      <c r="N153" s="533"/>
      <c r="O153" s="533"/>
      <c r="P153" s="533"/>
      <c r="Q153" s="533"/>
      <c r="R153" s="533"/>
      <c r="S153" s="533"/>
      <c r="T153" s="533"/>
      <c r="U153" s="533"/>
      <c r="V153" s="533"/>
      <c r="W153" s="533"/>
      <c r="X153" s="533"/>
      <c r="Y153" s="533"/>
    </row>
    <row r="154" spans="1:25" s="531" customFormat="1" ht="19.5" customHeight="1">
      <c r="A154" s="532"/>
      <c r="B154" s="533"/>
      <c r="C154" s="533"/>
      <c r="D154" s="533"/>
      <c r="E154" s="533"/>
      <c r="F154" s="533"/>
      <c r="G154" s="533"/>
      <c r="H154" s="533"/>
      <c r="I154" s="533"/>
      <c r="J154" s="533"/>
      <c r="K154" s="533"/>
      <c r="L154" s="533"/>
      <c r="M154" s="533"/>
      <c r="N154" s="533"/>
      <c r="O154" s="533"/>
      <c r="P154" s="533"/>
      <c r="Q154" s="533"/>
      <c r="R154" s="533"/>
      <c r="S154" s="533"/>
      <c r="T154" s="533"/>
      <c r="U154" s="533"/>
      <c r="V154" s="533"/>
      <c r="W154" s="533"/>
      <c r="X154" s="533"/>
      <c r="Y154" s="533"/>
    </row>
    <row r="155" spans="1:25" s="531" customFormat="1" ht="19.5" customHeight="1">
      <c r="A155" s="532"/>
      <c r="B155" s="533"/>
      <c r="C155" s="533"/>
      <c r="D155" s="533"/>
      <c r="E155" s="533"/>
      <c r="F155" s="533"/>
      <c r="G155" s="533"/>
      <c r="H155" s="533"/>
      <c r="I155" s="533"/>
      <c r="J155" s="533"/>
      <c r="K155" s="533"/>
      <c r="L155" s="533"/>
      <c r="M155" s="533"/>
      <c r="N155" s="533"/>
      <c r="O155" s="533"/>
      <c r="P155" s="533"/>
      <c r="Q155" s="533"/>
      <c r="R155" s="533"/>
      <c r="S155" s="533"/>
      <c r="T155" s="533"/>
      <c r="U155" s="533"/>
      <c r="V155" s="533"/>
      <c r="W155" s="533"/>
      <c r="X155" s="533"/>
      <c r="Y155" s="533"/>
    </row>
    <row r="156" spans="1:25" s="531" customFormat="1" ht="19.5" customHeight="1">
      <c r="A156" s="532"/>
      <c r="B156" s="533"/>
      <c r="C156" s="533"/>
      <c r="D156" s="533"/>
      <c r="E156" s="533"/>
      <c r="F156" s="533"/>
      <c r="G156" s="533"/>
      <c r="H156" s="533"/>
      <c r="I156" s="533"/>
      <c r="J156" s="533"/>
      <c r="K156" s="533"/>
      <c r="L156" s="533"/>
      <c r="M156" s="533"/>
      <c r="N156" s="533"/>
      <c r="O156" s="533"/>
      <c r="P156" s="533"/>
      <c r="Q156" s="533"/>
      <c r="R156" s="533"/>
      <c r="S156" s="533"/>
      <c r="T156" s="533"/>
      <c r="U156" s="533"/>
      <c r="V156" s="533"/>
      <c r="W156" s="533"/>
      <c r="X156" s="533"/>
      <c r="Y156" s="533"/>
    </row>
    <row r="157" spans="1:25" s="531" customFormat="1" ht="19.5" customHeight="1">
      <c r="A157" s="532"/>
      <c r="B157" s="533"/>
      <c r="C157" s="533"/>
      <c r="D157" s="533"/>
      <c r="E157" s="533"/>
      <c r="F157" s="533"/>
      <c r="G157" s="533"/>
      <c r="H157" s="533"/>
      <c r="I157" s="533"/>
      <c r="J157" s="533"/>
      <c r="K157" s="533"/>
      <c r="L157" s="533"/>
      <c r="M157" s="533"/>
      <c r="N157" s="533"/>
      <c r="O157" s="533"/>
      <c r="P157" s="533"/>
      <c r="Q157" s="533"/>
      <c r="R157" s="533"/>
      <c r="S157" s="533"/>
      <c r="T157" s="533"/>
      <c r="U157" s="533"/>
      <c r="V157" s="533"/>
      <c r="W157" s="533"/>
      <c r="X157" s="533"/>
      <c r="Y157" s="533"/>
    </row>
    <row r="158" spans="1:25" s="531" customFormat="1" ht="19.5" customHeight="1">
      <c r="A158" s="532"/>
      <c r="B158" s="533"/>
      <c r="C158" s="533"/>
      <c r="D158" s="533"/>
      <c r="E158" s="533"/>
      <c r="F158" s="533"/>
      <c r="G158" s="533"/>
      <c r="H158" s="533"/>
      <c r="I158" s="533"/>
      <c r="J158" s="533"/>
      <c r="K158" s="533"/>
      <c r="L158" s="533"/>
      <c r="M158" s="533"/>
      <c r="N158" s="533"/>
      <c r="O158" s="533"/>
      <c r="P158" s="533"/>
      <c r="Q158" s="533"/>
      <c r="R158" s="533"/>
      <c r="S158" s="533"/>
      <c r="T158" s="533"/>
      <c r="U158" s="533"/>
      <c r="V158" s="533"/>
      <c r="W158" s="533"/>
      <c r="X158" s="533"/>
      <c r="Y158" s="533"/>
    </row>
    <row r="159" spans="1:25" s="531" customFormat="1" ht="19.5" customHeight="1">
      <c r="A159" s="532"/>
      <c r="B159" s="533"/>
      <c r="C159" s="533"/>
      <c r="D159" s="533"/>
      <c r="E159" s="533"/>
      <c r="F159" s="533"/>
      <c r="G159" s="533"/>
      <c r="H159" s="533"/>
      <c r="I159" s="533"/>
      <c r="J159" s="533"/>
      <c r="K159" s="533"/>
      <c r="L159" s="533"/>
      <c r="M159" s="533"/>
      <c r="N159" s="533"/>
      <c r="O159" s="533"/>
      <c r="P159" s="533"/>
      <c r="Q159" s="533"/>
      <c r="R159" s="533"/>
      <c r="S159" s="533"/>
      <c r="T159" s="533"/>
      <c r="U159" s="533"/>
      <c r="V159" s="533"/>
      <c r="W159" s="533"/>
      <c r="X159" s="533"/>
      <c r="Y159" s="533"/>
    </row>
    <row r="160" ht="19.5" customHeight="1"/>
    <row r="161" ht="9.75" customHeight="1"/>
    <row r="162" ht="19.5" customHeight="1"/>
    <row r="163" ht="19.5" customHeight="1"/>
    <row r="164" ht="19.5" customHeight="1"/>
    <row r="165" spans="1:25" s="531" customFormat="1" ht="19.5" customHeight="1">
      <c r="A165" s="532"/>
      <c r="B165" s="533"/>
      <c r="C165" s="533"/>
      <c r="D165" s="533"/>
      <c r="E165" s="533"/>
      <c r="F165" s="533"/>
      <c r="G165" s="533"/>
      <c r="H165" s="533"/>
      <c r="I165" s="533"/>
      <c r="J165" s="533"/>
      <c r="K165" s="533"/>
      <c r="L165" s="533"/>
      <c r="M165" s="533"/>
      <c r="N165" s="533"/>
      <c r="O165" s="533"/>
      <c r="P165" s="533"/>
      <c r="Q165" s="533"/>
      <c r="R165" s="533"/>
      <c r="S165" s="533"/>
      <c r="T165" s="533"/>
      <c r="U165" s="533"/>
      <c r="V165" s="533"/>
      <c r="W165" s="533"/>
      <c r="X165" s="533"/>
      <c r="Y165" s="533"/>
    </row>
    <row r="166" spans="1:25" s="531" customFormat="1" ht="19.5" customHeight="1">
      <c r="A166" s="532"/>
      <c r="B166" s="533"/>
      <c r="C166" s="533"/>
      <c r="D166" s="533"/>
      <c r="E166" s="533"/>
      <c r="F166" s="533"/>
      <c r="G166" s="533"/>
      <c r="H166" s="533"/>
      <c r="I166" s="533"/>
      <c r="J166" s="533"/>
      <c r="K166" s="533"/>
      <c r="L166" s="533"/>
      <c r="M166" s="533"/>
      <c r="N166" s="533"/>
      <c r="O166" s="533"/>
      <c r="P166" s="533"/>
      <c r="Q166" s="533"/>
      <c r="R166" s="533"/>
      <c r="S166" s="533"/>
      <c r="T166" s="533"/>
      <c r="U166" s="533"/>
      <c r="V166" s="533"/>
      <c r="W166" s="533"/>
      <c r="X166" s="533"/>
      <c r="Y166" s="533"/>
    </row>
    <row r="167" spans="1:25" s="531" customFormat="1" ht="19.5" customHeight="1">
      <c r="A167" s="532"/>
      <c r="B167" s="533"/>
      <c r="C167" s="533"/>
      <c r="D167" s="533"/>
      <c r="E167" s="533"/>
      <c r="F167" s="533"/>
      <c r="G167" s="533"/>
      <c r="H167" s="533"/>
      <c r="I167" s="533"/>
      <c r="J167" s="533"/>
      <c r="K167" s="533"/>
      <c r="L167" s="533"/>
      <c r="M167" s="533"/>
      <c r="N167" s="533"/>
      <c r="O167" s="533"/>
      <c r="P167" s="533"/>
      <c r="Q167" s="533"/>
      <c r="R167" s="533"/>
      <c r="S167" s="533"/>
      <c r="T167" s="533"/>
      <c r="U167" s="533"/>
      <c r="V167" s="533"/>
      <c r="W167" s="533"/>
      <c r="X167" s="533"/>
      <c r="Y167" s="533"/>
    </row>
    <row r="168" spans="1:25" s="531" customFormat="1" ht="19.5" customHeight="1">
      <c r="A168" s="532"/>
      <c r="B168" s="533"/>
      <c r="C168" s="533"/>
      <c r="D168" s="533"/>
      <c r="E168" s="533"/>
      <c r="F168" s="533"/>
      <c r="G168" s="533"/>
      <c r="H168" s="533"/>
      <c r="I168" s="533"/>
      <c r="J168" s="533"/>
      <c r="K168" s="533"/>
      <c r="L168" s="533"/>
      <c r="M168" s="533"/>
      <c r="N168" s="533"/>
      <c r="O168" s="533"/>
      <c r="P168" s="533"/>
      <c r="Q168" s="533"/>
      <c r="R168" s="533"/>
      <c r="S168" s="533"/>
      <c r="T168" s="533"/>
      <c r="U168" s="533"/>
      <c r="V168" s="533"/>
      <c r="W168" s="533"/>
      <c r="X168" s="533"/>
      <c r="Y168" s="533"/>
    </row>
    <row r="169" spans="1:25" s="531" customFormat="1" ht="19.5" customHeight="1">
      <c r="A169" s="532"/>
      <c r="B169" s="533"/>
      <c r="C169" s="533"/>
      <c r="D169" s="533"/>
      <c r="E169" s="533"/>
      <c r="F169" s="533"/>
      <c r="G169" s="533"/>
      <c r="H169" s="533"/>
      <c r="I169" s="533"/>
      <c r="J169" s="533"/>
      <c r="K169" s="533"/>
      <c r="L169" s="533"/>
      <c r="M169" s="533"/>
      <c r="N169" s="533"/>
      <c r="O169" s="533"/>
      <c r="P169" s="533"/>
      <c r="Q169" s="533"/>
      <c r="R169" s="533"/>
      <c r="S169" s="533"/>
      <c r="T169" s="533"/>
      <c r="U169" s="533"/>
      <c r="V169" s="533"/>
      <c r="W169" s="533"/>
      <c r="X169" s="533"/>
      <c r="Y169" s="533"/>
    </row>
    <row r="170" spans="1:25" s="531" customFormat="1" ht="19.5" customHeight="1">
      <c r="A170" s="532"/>
      <c r="B170" s="533"/>
      <c r="C170" s="533"/>
      <c r="D170" s="533"/>
      <c r="E170" s="533"/>
      <c r="F170" s="533"/>
      <c r="G170" s="533"/>
      <c r="H170" s="533"/>
      <c r="I170" s="533"/>
      <c r="J170" s="533"/>
      <c r="K170" s="533"/>
      <c r="L170" s="533"/>
      <c r="M170" s="533"/>
      <c r="N170" s="533"/>
      <c r="O170" s="533"/>
      <c r="P170" s="533"/>
      <c r="Q170" s="533"/>
      <c r="R170" s="533"/>
      <c r="S170" s="533"/>
      <c r="T170" s="533"/>
      <c r="U170" s="533"/>
      <c r="V170" s="533"/>
      <c r="W170" s="533"/>
      <c r="X170" s="533"/>
      <c r="Y170" s="533"/>
    </row>
    <row r="171" spans="1:25" s="531" customFormat="1" ht="19.5" customHeight="1">
      <c r="A171" s="532"/>
      <c r="B171" s="533"/>
      <c r="C171" s="533"/>
      <c r="D171" s="533"/>
      <c r="E171" s="533"/>
      <c r="F171" s="533"/>
      <c r="G171" s="533"/>
      <c r="H171" s="533"/>
      <c r="I171" s="533"/>
      <c r="J171" s="533"/>
      <c r="K171" s="533"/>
      <c r="L171" s="533"/>
      <c r="M171" s="533"/>
      <c r="N171" s="533"/>
      <c r="O171" s="533"/>
      <c r="P171" s="533"/>
      <c r="Q171" s="533"/>
      <c r="R171" s="533"/>
      <c r="S171" s="533"/>
      <c r="T171" s="533"/>
      <c r="U171" s="533"/>
      <c r="V171" s="533"/>
      <c r="W171" s="533"/>
      <c r="X171" s="533"/>
      <c r="Y171" s="533"/>
    </row>
    <row r="172" spans="1:25" s="531" customFormat="1" ht="19.5" customHeight="1">
      <c r="A172" s="532"/>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row>
    <row r="173" spans="1:25" s="531" customFormat="1" ht="19.5" customHeight="1">
      <c r="A173" s="532"/>
      <c r="B173" s="533"/>
      <c r="C173" s="533"/>
      <c r="D173" s="533"/>
      <c r="E173" s="533"/>
      <c r="F173" s="533"/>
      <c r="G173" s="533"/>
      <c r="H173" s="533"/>
      <c r="I173" s="533"/>
      <c r="J173" s="533"/>
      <c r="K173" s="533"/>
      <c r="L173" s="533"/>
      <c r="M173" s="533"/>
      <c r="N173" s="533"/>
      <c r="O173" s="533"/>
      <c r="P173" s="533"/>
      <c r="Q173" s="533"/>
      <c r="R173" s="533"/>
      <c r="S173" s="533"/>
      <c r="T173" s="533"/>
      <c r="U173" s="533"/>
      <c r="V173" s="533"/>
      <c r="W173" s="533"/>
      <c r="X173" s="533"/>
      <c r="Y173" s="533"/>
    </row>
    <row r="174" spans="1:25" s="531" customFormat="1" ht="19.5" customHeight="1">
      <c r="A174" s="532"/>
      <c r="B174" s="533"/>
      <c r="C174" s="533"/>
      <c r="D174" s="533"/>
      <c r="E174" s="533"/>
      <c r="F174" s="533"/>
      <c r="G174" s="533"/>
      <c r="H174" s="533"/>
      <c r="I174" s="533"/>
      <c r="J174" s="533"/>
      <c r="K174" s="533"/>
      <c r="L174" s="533"/>
      <c r="M174" s="533"/>
      <c r="N174" s="533"/>
      <c r="O174" s="533"/>
      <c r="P174" s="533"/>
      <c r="Q174" s="533"/>
      <c r="R174" s="533"/>
      <c r="S174" s="533"/>
      <c r="T174" s="533"/>
      <c r="U174" s="533"/>
      <c r="V174" s="533"/>
      <c r="W174" s="533"/>
      <c r="X174" s="533"/>
      <c r="Y174" s="533"/>
    </row>
    <row r="175" spans="1:25" s="531" customFormat="1" ht="19.5" customHeight="1">
      <c r="A175" s="532"/>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row>
    <row r="176" spans="1:25" s="531" customFormat="1" ht="19.5" customHeight="1">
      <c r="A176" s="532"/>
      <c r="B176" s="533"/>
      <c r="C176" s="533"/>
      <c r="D176" s="533"/>
      <c r="E176" s="533"/>
      <c r="F176" s="533"/>
      <c r="G176" s="533"/>
      <c r="H176" s="533"/>
      <c r="I176" s="533"/>
      <c r="J176" s="533"/>
      <c r="K176" s="533"/>
      <c r="L176" s="533"/>
      <c r="M176" s="533"/>
      <c r="N176" s="533"/>
      <c r="O176" s="533"/>
      <c r="P176" s="533"/>
      <c r="Q176" s="533"/>
      <c r="R176" s="533"/>
      <c r="S176" s="533"/>
      <c r="T176" s="533"/>
      <c r="U176" s="533"/>
      <c r="V176" s="533"/>
      <c r="W176" s="533"/>
      <c r="X176" s="533"/>
      <c r="Y176" s="533"/>
    </row>
    <row r="177" spans="1:25" s="531" customFormat="1" ht="19.5" customHeight="1">
      <c r="A177" s="532"/>
      <c r="B177" s="533"/>
      <c r="C177" s="533"/>
      <c r="D177" s="533"/>
      <c r="E177" s="533"/>
      <c r="F177" s="533"/>
      <c r="G177" s="533"/>
      <c r="H177" s="533"/>
      <c r="I177" s="533"/>
      <c r="J177" s="533"/>
      <c r="K177" s="533"/>
      <c r="L177" s="533"/>
      <c r="M177" s="533"/>
      <c r="N177" s="533"/>
      <c r="O177" s="533"/>
      <c r="P177" s="533"/>
      <c r="Q177" s="533"/>
      <c r="R177" s="533"/>
      <c r="S177" s="533"/>
      <c r="T177" s="533"/>
      <c r="U177" s="533"/>
      <c r="V177" s="533"/>
      <c r="W177" s="533"/>
      <c r="X177" s="533"/>
      <c r="Y177" s="533"/>
    </row>
    <row r="178" spans="1:25" s="531" customFormat="1" ht="19.5" customHeight="1">
      <c r="A178" s="532"/>
      <c r="B178" s="533"/>
      <c r="C178" s="533"/>
      <c r="D178" s="533"/>
      <c r="E178" s="533"/>
      <c r="F178" s="533"/>
      <c r="G178" s="533"/>
      <c r="H178" s="533"/>
      <c r="I178" s="533"/>
      <c r="J178" s="533"/>
      <c r="K178" s="533"/>
      <c r="L178" s="533"/>
      <c r="M178" s="533"/>
      <c r="N178" s="533"/>
      <c r="O178" s="533"/>
      <c r="P178" s="533"/>
      <c r="Q178" s="533"/>
      <c r="R178" s="533"/>
      <c r="S178" s="533"/>
      <c r="T178" s="533"/>
      <c r="U178" s="533"/>
      <c r="V178" s="533"/>
      <c r="W178" s="533"/>
      <c r="X178" s="533"/>
      <c r="Y178" s="533"/>
    </row>
    <row r="179" spans="1:25" s="531" customFormat="1" ht="19.5" customHeight="1">
      <c r="A179" s="532"/>
      <c r="B179" s="533"/>
      <c r="C179" s="533"/>
      <c r="D179" s="533"/>
      <c r="E179" s="533"/>
      <c r="F179" s="533"/>
      <c r="G179" s="533"/>
      <c r="H179" s="533"/>
      <c r="I179" s="533"/>
      <c r="J179" s="533"/>
      <c r="K179" s="533"/>
      <c r="L179" s="533"/>
      <c r="M179" s="533"/>
      <c r="N179" s="533"/>
      <c r="O179" s="533"/>
      <c r="P179" s="533"/>
      <c r="Q179" s="533"/>
      <c r="R179" s="533"/>
      <c r="S179" s="533"/>
      <c r="T179" s="533"/>
      <c r="U179" s="533"/>
      <c r="V179" s="533"/>
      <c r="W179" s="533"/>
      <c r="X179" s="533"/>
      <c r="Y179" s="533"/>
    </row>
    <row r="180" spans="1:25" s="531" customFormat="1" ht="19.5" customHeight="1">
      <c r="A180" s="532"/>
      <c r="B180" s="533"/>
      <c r="C180" s="533"/>
      <c r="D180" s="533"/>
      <c r="E180" s="533"/>
      <c r="F180" s="533"/>
      <c r="G180" s="533"/>
      <c r="H180" s="533"/>
      <c r="I180" s="533"/>
      <c r="J180" s="533"/>
      <c r="K180" s="533"/>
      <c r="L180" s="533"/>
      <c r="M180" s="533"/>
      <c r="N180" s="533"/>
      <c r="O180" s="533"/>
      <c r="P180" s="533"/>
      <c r="Q180" s="533"/>
      <c r="R180" s="533"/>
      <c r="S180" s="533"/>
      <c r="T180" s="533"/>
      <c r="U180" s="533"/>
      <c r="V180" s="533"/>
      <c r="W180" s="533"/>
      <c r="X180" s="533"/>
      <c r="Y180" s="533"/>
    </row>
    <row r="181" spans="1:25" s="531" customFormat="1" ht="19.5" customHeight="1">
      <c r="A181" s="532"/>
      <c r="B181" s="533"/>
      <c r="C181" s="533"/>
      <c r="D181" s="533"/>
      <c r="E181" s="533"/>
      <c r="F181" s="533"/>
      <c r="G181" s="533"/>
      <c r="H181" s="533"/>
      <c r="I181" s="533"/>
      <c r="J181" s="533"/>
      <c r="K181" s="533"/>
      <c r="L181" s="533"/>
      <c r="M181" s="533"/>
      <c r="N181" s="533"/>
      <c r="O181" s="533"/>
      <c r="P181" s="533"/>
      <c r="Q181" s="533"/>
      <c r="R181" s="533"/>
      <c r="S181" s="533"/>
      <c r="T181" s="533"/>
      <c r="U181" s="533"/>
      <c r="V181" s="533"/>
      <c r="W181" s="533"/>
      <c r="X181" s="533"/>
      <c r="Y181" s="533"/>
    </row>
    <row r="182" spans="1:25" s="531" customFormat="1" ht="19.5" customHeight="1">
      <c r="A182" s="532"/>
      <c r="B182" s="533"/>
      <c r="C182" s="533"/>
      <c r="D182" s="533"/>
      <c r="E182" s="533"/>
      <c r="F182" s="533"/>
      <c r="G182" s="533"/>
      <c r="H182" s="533"/>
      <c r="I182" s="533"/>
      <c r="J182" s="533"/>
      <c r="K182" s="533"/>
      <c r="L182" s="533"/>
      <c r="M182" s="533"/>
      <c r="N182" s="533"/>
      <c r="O182" s="533"/>
      <c r="P182" s="533"/>
      <c r="Q182" s="533"/>
      <c r="R182" s="533"/>
      <c r="S182" s="533"/>
      <c r="T182" s="533"/>
      <c r="U182" s="533"/>
      <c r="V182" s="533"/>
      <c r="W182" s="533"/>
      <c r="X182" s="533"/>
      <c r="Y182" s="533"/>
    </row>
    <row r="183" spans="1:25" s="531" customFormat="1" ht="19.5" customHeight="1">
      <c r="A183" s="532"/>
      <c r="B183" s="533"/>
      <c r="C183" s="533"/>
      <c r="D183" s="533"/>
      <c r="E183" s="533"/>
      <c r="F183" s="533"/>
      <c r="G183" s="533"/>
      <c r="H183" s="533"/>
      <c r="I183" s="533"/>
      <c r="J183" s="533"/>
      <c r="K183" s="533"/>
      <c r="L183" s="533"/>
      <c r="M183" s="533"/>
      <c r="N183" s="533"/>
      <c r="O183" s="533"/>
      <c r="P183" s="533"/>
      <c r="Q183" s="533"/>
      <c r="R183" s="533"/>
      <c r="S183" s="533"/>
      <c r="T183" s="533"/>
      <c r="U183" s="533"/>
      <c r="V183" s="533"/>
      <c r="W183" s="533"/>
      <c r="X183" s="533"/>
      <c r="Y183" s="533"/>
    </row>
    <row r="184" spans="1:25" s="531" customFormat="1" ht="19.5" customHeight="1">
      <c r="A184" s="532"/>
      <c r="B184" s="533"/>
      <c r="C184" s="533"/>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3"/>
    </row>
    <row r="185" spans="1:25" s="531" customFormat="1" ht="19.5" customHeight="1">
      <c r="A185" s="532"/>
      <c r="B185" s="533"/>
      <c r="C185" s="533"/>
      <c r="D185" s="533"/>
      <c r="E185" s="533"/>
      <c r="F185" s="533"/>
      <c r="G185" s="533"/>
      <c r="H185" s="533"/>
      <c r="I185" s="533"/>
      <c r="J185" s="533"/>
      <c r="K185" s="533"/>
      <c r="L185" s="533"/>
      <c r="M185" s="533"/>
      <c r="N185" s="533"/>
      <c r="O185" s="533"/>
      <c r="P185" s="533"/>
      <c r="Q185" s="533"/>
      <c r="R185" s="533"/>
      <c r="S185" s="533"/>
      <c r="T185" s="533"/>
      <c r="U185" s="533"/>
      <c r="V185" s="533"/>
      <c r="W185" s="533"/>
      <c r="X185" s="533"/>
      <c r="Y185" s="533"/>
    </row>
    <row r="186" spans="1:25" s="531" customFormat="1" ht="19.5" customHeight="1">
      <c r="A186" s="532"/>
      <c r="B186" s="533"/>
      <c r="C186" s="533"/>
      <c r="D186" s="533"/>
      <c r="E186" s="533"/>
      <c r="F186" s="533"/>
      <c r="G186" s="533"/>
      <c r="H186" s="533"/>
      <c r="I186" s="533"/>
      <c r="J186" s="533"/>
      <c r="K186" s="533"/>
      <c r="L186" s="533"/>
      <c r="M186" s="533"/>
      <c r="N186" s="533"/>
      <c r="O186" s="533"/>
      <c r="P186" s="533"/>
      <c r="Q186" s="533"/>
      <c r="R186" s="533"/>
      <c r="S186" s="533"/>
      <c r="T186" s="533"/>
      <c r="U186" s="533"/>
      <c r="V186" s="533"/>
      <c r="W186" s="533"/>
      <c r="X186" s="533"/>
      <c r="Y186" s="533"/>
    </row>
    <row r="187" spans="1:25" s="531" customFormat="1" ht="19.5" customHeight="1">
      <c r="A187" s="532"/>
      <c r="B187" s="533"/>
      <c r="C187" s="533"/>
      <c r="D187" s="533"/>
      <c r="E187" s="533"/>
      <c r="F187" s="533"/>
      <c r="G187" s="533"/>
      <c r="H187" s="533"/>
      <c r="I187" s="533"/>
      <c r="J187" s="533"/>
      <c r="K187" s="533"/>
      <c r="L187" s="533"/>
      <c r="M187" s="533"/>
      <c r="N187" s="533"/>
      <c r="O187" s="533"/>
      <c r="P187" s="533"/>
      <c r="Q187" s="533"/>
      <c r="R187" s="533"/>
      <c r="S187" s="533"/>
      <c r="T187" s="533"/>
      <c r="U187" s="533"/>
      <c r="V187" s="533"/>
      <c r="W187" s="533"/>
      <c r="X187" s="533"/>
      <c r="Y187" s="533"/>
    </row>
    <row r="188" spans="1:25" s="531" customFormat="1" ht="19.5" customHeight="1">
      <c r="A188" s="532"/>
      <c r="B188" s="533"/>
      <c r="C188" s="533"/>
      <c r="D188" s="533"/>
      <c r="E188" s="533"/>
      <c r="F188" s="533"/>
      <c r="G188" s="533"/>
      <c r="H188" s="533"/>
      <c r="I188" s="533"/>
      <c r="J188" s="533"/>
      <c r="K188" s="533"/>
      <c r="L188" s="533"/>
      <c r="M188" s="533"/>
      <c r="N188" s="533"/>
      <c r="O188" s="533"/>
      <c r="P188" s="533"/>
      <c r="Q188" s="533"/>
      <c r="R188" s="533"/>
      <c r="S188" s="533"/>
      <c r="T188" s="533"/>
      <c r="U188" s="533"/>
      <c r="V188" s="533"/>
      <c r="W188" s="533"/>
      <c r="X188" s="533"/>
      <c r="Y188" s="533"/>
    </row>
    <row r="189" spans="1:25" s="531" customFormat="1" ht="19.5" customHeight="1">
      <c r="A189" s="532"/>
      <c r="B189" s="533"/>
      <c r="C189" s="533"/>
      <c r="D189" s="533"/>
      <c r="E189" s="533"/>
      <c r="F189" s="533"/>
      <c r="G189" s="533"/>
      <c r="H189" s="533"/>
      <c r="I189" s="533"/>
      <c r="J189" s="533"/>
      <c r="K189" s="533"/>
      <c r="L189" s="533"/>
      <c r="M189" s="533"/>
      <c r="N189" s="533"/>
      <c r="O189" s="533"/>
      <c r="P189" s="533"/>
      <c r="Q189" s="533"/>
      <c r="R189" s="533"/>
      <c r="S189" s="533"/>
      <c r="T189" s="533"/>
      <c r="U189" s="533"/>
      <c r="V189" s="533"/>
      <c r="W189" s="533"/>
      <c r="X189" s="533"/>
      <c r="Y189" s="533"/>
    </row>
    <row r="190" spans="1:25" s="531" customFormat="1" ht="19.5" customHeight="1">
      <c r="A190" s="532"/>
      <c r="B190" s="533"/>
      <c r="C190" s="533"/>
      <c r="D190" s="533"/>
      <c r="E190" s="533"/>
      <c r="F190" s="533"/>
      <c r="G190" s="533"/>
      <c r="H190" s="533"/>
      <c r="I190" s="533"/>
      <c r="J190" s="533"/>
      <c r="K190" s="533"/>
      <c r="L190" s="533"/>
      <c r="M190" s="533"/>
      <c r="N190" s="533"/>
      <c r="O190" s="533"/>
      <c r="P190" s="533"/>
      <c r="Q190" s="533"/>
      <c r="R190" s="533"/>
      <c r="S190" s="533"/>
      <c r="T190" s="533"/>
      <c r="U190" s="533"/>
      <c r="V190" s="533"/>
      <c r="W190" s="533"/>
      <c r="X190" s="533"/>
      <c r="Y190" s="533"/>
    </row>
    <row r="191" spans="1:25" s="531" customFormat="1" ht="19.5" customHeight="1">
      <c r="A191" s="532"/>
      <c r="B191" s="533"/>
      <c r="C191" s="533"/>
      <c r="D191" s="533"/>
      <c r="E191" s="533"/>
      <c r="F191" s="533"/>
      <c r="G191" s="533"/>
      <c r="H191" s="533"/>
      <c r="I191" s="533"/>
      <c r="J191" s="533"/>
      <c r="K191" s="533"/>
      <c r="L191" s="533"/>
      <c r="M191" s="533"/>
      <c r="N191" s="533"/>
      <c r="O191" s="533"/>
      <c r="P191" s="533"/>
      <c r="Q191" s="533"/>
      <c r="R191" s="533"/>
      <c r="S191" s="533"/>
      <c r="T191" s="533"/>
      <c r="U191" s="533"/>
      <c r="V191" s="533"/>
      <c r="W191" s="533"/>
      <c r="X191" s="533"/>
      <c r="Y191" s="533"/>
    </row>
    <row r="192" spans="1:25" s="531" customFormat="1" ht="19.5" customHeight="1">
      <c r="A192" s="532"/>
      <c r="B192" s="533"/>
      <c r="C192" s="533"/>
      <c r="D192" s="533"/>
      <c r="E192" s="533"/>
      <c r="F192" s="533"/>
      <c r="G192" s="533"/>
      <c r="H192" s="533"/>
      <c r="I192" s="533"/>
      <c r="J192" s="533"/>
      <c r="K192" s="533"/>
      <c r="L192" s="533"/>
      <c r="M192" s="533"/>
      <c r="N192" s="533"/>
      <c r="O192" s="533"/>
      <c r="P192" s="533"/>
      <c r="Q192" s="533"/>
      <c r="R192" s="533"/>
      <c r="S192" s="533"/>
      <c r="T192" s="533"/>
      <c r="U192" s="533"/>
      <c r="V192" s="533"/>
      <c r="W192" s="533"/>
      <c r="X192" s="533"/>
      <c r="Y192" s="533"/>
    </row>
    <row r="193" spans="1:25" s="531" customFormat="1" ht="19.5" customHeight="1">
      <c r="A193" s="532"/>
      <c r="B193" s="533"/>
      <c r="C193" s="533"/>
      <c r="D193" s="533"/>
      <c r="E193" s="533"/>
      <c r="F193" s="533"/>
      <c r="G193" s="533"/>
      <c r="H193" s="533"/>
      <c r="I193" s="533"/>
      <c r="J193" s="533"/>
      <c r="K193" s="533"/>
      <c r="L193" s="533"/>
      <c r="M193" s="533"/>
      <c r="N193" s="533"/>
      <c r="O193" s="533"/>
      <c r="P193" s="533"/>
      <c r="Q193" s="533"/>
      <c r="R193" s="533"/>
      <c r="S193" s="533"/>
      <c r="T193" s="533"/>
      <c r="U193" s="533"/>
      <c r="V193" s="533"/>
      <c r="W193" s="533"/>
      <c r="X193" s="533"/>
      <c r="Y193" s="533"/>
    </row>
    <row r="194" spans="1:25" s="531" customFormat="1" ht="19.5" customHeight="1">
      <c r="A194" s="532"/>
      <c r="B194" s="533"/>
      <c r="C194" s="533"/>
      <c r="D194" s="533"/>
      <c r="E194" s="533"/>
      <c r="F194" s="533"/>
      <c r="G194" s="533"/>
      <c r="H194" s="533"/>
      <c r="I194" s="533"/>
      <c r="J194" s="533"/>
      <c r="K194" s="533"/>
      <c r="L194" s="533"/>
      <c r="M194" s="533"/>
      <c r="N194" s="533"/>
      <c r="O194" s="533"/>
      <c r="P194" s="533"/>
      <c r="Q194" s="533"/>
      <c r="R194" s="533"/>
      <c r="S194" s="533"/>
      <c r="T194" s="533"/>
      <c r="U194" s="533"/>
      <c r="V194" s="533"/>
      <c r="W194" s="533"/>
      <c r="X194" s="533"/>
      <c r="Y194" s="533"/>
    </row>
    <row r="195" spans="1:25" s="531" customFormat="1" ht="19.5" customHeight="1">
      <c r="A195" s="532"/>
      <c r="B195" s="533"/>
      <c r="C195" s="533"/>
      <c r="D195" s="533"/>
      <c r="E195" s="533"/>
      <c r="F195" s="533"/>
      <c r="G195" s="533"/>
      <c r="H195" s="533"/>
      <c r="I195" s="533"/>
      <c r="J195" s="533"/>
      <c r="K195" s="533"/>
      <c r="L195" s="533"/>
      <c r="M195" s="533"/>
      <c r="N195" s="533"/>
      <c r="O195" s="533"/>
      <c r="P195" s="533"/>
      <c r="Q195" s="533"/>
      <c r="R195" s="533"/>
      <c r="S195" s="533"/>
      <c r="T195" s="533"/>
      <c r="U195" s="533"/>
      <c r="V195" s="533"/>
      <c r="W195" s="533"/>
      <c r="X195" s="533"/>
      <c r="Y195" s="533"/>
    </row>
    <row r="196" spans="1:25" s="531" customFormat="1" ht="19.5" customHeight="1">
      <c r="A196" s="532"/>
      <c r="B196" s="533"/>
      <c r="C196" s="533"/>
      <c r="D196" s="533"/>
      <c r="E196" s="533"/>
      <c r="F196" s="533"/>
      <c r="G196" s="533"/>
      <c r="H196" s="533"/>
      <c r="I196" s="533"/>
      <c r="J196" s="533"/>
      <c r="K196" s="533"/>
      <c r="L196" s="533"/>
      <c r="M196" s="533"/>
      <c r="N196" s="533"/>
      <c r="O196" s="533"/>
      <c r="P196" s="533"/>
      <c r="Q196" s="533"/>
      <c r="R196" s="533"/>
      <c r="S196" s="533"/>
      <c r="T196" s="533"/>
      <c r="U196" s="533"/>
      <c r="V196" s="533"/>
      <c r="W196" s="533"/>
      <c r="X196" s="533"/>
      <c r="Y196" s="533"/>
    </row>
    <row r="197" spans="1:25" s="531" customFormat="1" ht="19.5" customHeight="1">
      <c r="A197" s="532"/>
      <c r="B197" s="533"/>
      <c r="C197" s="533"/>
      <c r="D197" s="533"/>
      <c r="E197" s="533"/>
      <c r="F197" s="533"/>
      <c r="G197" s="533"/>
      <c r="H197" s="533"/>
      <c r="I197" s="533"/>
      <c r="J197" s="533"/>
      <c r="K197" s="533"/>
      <c r="L197" s="533"/>
      <c r="M197" s="533"/>
      <c r="N197" s="533"/>
      <c r="O197" s="533"/>
      <c r="P197" s="533"/>
      <c r="Q197" s="533"/>
      <c r="R197" s="533"/>
      <c r="S197" s="533"/>
      <c r="T197" s="533"/>
      <c r="U197" s="533"/>
      <c r="V197" s="533"/>
      <c r="W197" s="533"/>
      <c r="X197" s="533"/>
      <c r="Y197" s="533"/>
    </row>
    <row r="198" spans="1:25" s="531" customFormat="1" ht="19.5" customHeight="1">
      <c r="A198" s="532"/>
      <c r="B198" s="533"/>
      <c r="C198" s="533"/>
      <c r="D198" s="533"/>
      <c r="E198" s="533"/>
      <c r="F198" s="533"/>
      <c r="G198" s="533"/>
      <c r="H198" s="533"/>
      <c r="I198" s="533"/>
      <c r="J198" s="533"/>
      <c r="K198" s="533"/>
      <c r="L198" s="533"/>
      <c r="M198" s="533"/>
      <c r="N198" s="533"/>
      <c r="O198" s="533"/>
      <c r="P198" s="533"/>
      <c r="Q198" s="533"/>
      <c r="R198" s="533"/>
      <c r="S198" s="533"/>
      <c r="T198" s="533"/>
      <c r="U198" s="533"/>
      <c r="V198" s="533"/>
      <c r="W198" s="533"/>
      <c r="X198" s="533"/>
      <c r="Y198" s="533"/>
    </row>
    <row r="199" spans="1:25" s="531" customFormat="1" ht="19.5" customHeight="1">
      <c r="A199" s="532"/>
      <c r="B199" s="533"/>
      <c r="C199" s="533"/>
      <c r="D199" s="533"/>
      <c r="E199" s="533"/>
      <c r="F199" s="533"/>
      <c r="G199" s="533"/>
      <c r="H199" s="533"/>
      <c r="I199" s="533"/>
      <c r="J199" s="533"/>
      <c r="K199" s="533"/>
      <c r="L199" s="533"/>
      <c r="M199" s="533"/>
      <c r="N199" s="533"/>
      <c r="O199" s="533"/>
      <c r="P199" s="533"/>
      <c r="Q199" s="533"/>
      <c r="R199" s="533"/>
      <c r="S199" s="533"/>
      <c r="T199" s="533"/>
      <c r="U199" s="533"/>
      <c r="V199" s="533"/>
      <c r="W199" s="533"/>
      <c r="X199" s="533"/>
      <c r="Y199" s="533"/>
    </row>
    <row r="200" spans="1:25" s="531" customFormat="1" ht="19.5" customHeight="1">
      <c r="A200" s="532"/>
      <c r="B200" s="533"/>
      <c r="C200" s="533"/>
      <c r="D200" s="533"/>
      <c r="E200" s="533"/>
      <c r="F200" s="533"/>
      <c r="G200" s="533"/>
      <c r="H200" s="533"/>
      <c r="I200" s="533"/>
      <c r="J200" s="533"/>
      <c r="K200" s="533"/>
      <c r="L200" s="533"/>
      <c r="M200" s="533"/>
      <c r="N200" s="533"/>
      <c r="O200" s="533"/>
      <c r="P200" s="533"/>
      <c r="Q200" s="533"/>
      <c r="R200" s="533"/>
      <c r="S200" s="533"/>
      <c r="T200" s="533"/>
      <c r="U200" s="533"/>
      <c r="V200" s="533"/>
      <c r="W200" s="533"/>
      <c r="X200" s="533"/>
      <c r="Y200" s="533"/>
    </row>
    <row r="201" spans="1:25" s="531" customFormat="1" ht="19.5" customHeight="1">
      <c r="A201" s="532"/>
      <c r="B201" s="533"/>
      <c r="C201" s="533"/>
      <c r="D201" s="533"/>
      <c r="E201" s="533"/>
      <c r="F201" s="533"/>
      <c r="G201" s="533"/>
      <c r="H201" s="533"/>
      <c r="I201" s="533"/>
      <c r="J201" s="533"/>
      <c r="K201" s="533"/>
      <c r="L201" s="533"/>
      <c r="M201" s="533"/>
      <c r="N201" s="533"/>
      <c r="O201" s="533"/>
      <c r="P201" s="533"/>
      <c r="Q201" s="533"/>
      <c r="R201" s="533"/>
      <c r="S201" s="533"/>
      <c r="T201" s="533"/>
      <c r="U201" s="533"/>
      <c r="V201" s="533"/>
      <c r="W201" s="533"/>
      <c r="X201" s="533"/>
      <c r="Y201" s="533"/>
    </row>
    <row r="202" ht="19.5" customHeight="1"/>
    <row r="203" ht="9.75" customHeight="1"/>
    <row r="204" ht="19.5" customHeight="1"/>
    <row r="205" ht="19.5" customHeight="1"/>
    <row r="206" ht="19.5" customHeight="1"/>
    <row r="207" spans="1:25" s="531" customFormat="1" ht="19.5" customHeight="1">
      <c r="A207" s="532"/>
      <c r="B207" s="533"/>
      <c r="C207" s="533"/>
      <c r="D207" s="533"/>
      <c r="E207" s="533"/>
      <c r="F207" s="533"/>
      <c r="G207" s="533"/>
      <c r="H207" s="533"/>
      <c r="I207" s="533"/>
      <c r="J207" s="533"/>
      <c r="K207" s="533"/>
      <c r="L207" s="533"/>
      <c r="M207" s="533"/>
      <c r="N207" s="533"/>
      <c r="O207" s="533"/>
      <c r="P207" s="533"/>
      <c r="Q207" s="533"/>
      <c r="R207" s="533"/>
      <c r="S207" s="533"/>
      <c r="T207" s="533"/>
      <c r="U207" s="533"/>
      <c r="V207" s="533"/>
      <c r="W207" s="533"/>
      <c r="X207" s="533"/>
      <c r="Y207" s="533"/>
    </row>
    <row r="208" spans="1:25" s="531" customFormat="1" ht="19.5" customHeight="1">
      <c r="A208" s="532"/>
      <c r="B208" s="533"/>
      <c r="C208" s="533"/>
      <c r="D208" s="533"/>
      <c r="E208" s="533"/>
      <c r="F208" s="533"/>
      <c r="G208" s="533"/>
      <c r="H208" s="533"/>
      <c r="I208" s="533"/>
      <c r="J208" s="533"/>
      <c r="K208" s="533"/>
      <c r="L208" s="533"/>
      <c r="M208" s="533"/>
      <c r="N208" s="533"/>
      <c r="O208" s="533"/>
      <c r="P208" s="533"/>
      <c r="Q208" s="533"/>
      <c r="R208" s="533"/>
      <c r="S208" s="533"/>
      <c r="T208" s="533"/>
      <c r="U208" s="533"/>
      <c r="V208" s="533"/>
      <c r="W208" s="533"/>
      <c r="X208" s="533"/>
      <c r="Y208" s="533"/>
    </row>
    <row r="209" spans="1:25" s="531" customFormat="1" ht="19.5" customHeight="1">
      <c r="A209" s="532"/>
      <c r="B209" s="533"/>
      <c r="C209" s="533"/>
      <c r="D209" s="533"/>
      <c r="E209" s="533"/>
      <c r="F209" s="533"/>
      <c r="G209" s="533"/>
      <c r="H209" s="533"/>
      <c r="I209" s="533"/>
      <c r="J209" s="533"/>
      <c r="K209" s="533"/>
      <c r="L209" s="533"/>
      <c r="M209" s="533"/>
      <c r="N209" s="533"/>
      <c r="O209" s="533"/>
      <c r="P209" s="533"/>
      <c r="Q209" s="533"/>
      <c r="R209" s="533"/>
      <c r="S209" s="533"/>
      <c r="T209" s="533"/>
      <c r="U209" s="533"/>
      <c r="V209" s="533"/>
      <c r="W209" s="533"/>
      <c r="X209" s="533"/>
      <c r="Y209" s="533"/>
    </row>
    <row r="210" spans="1:25" s="531" customFormat="1" ht="19.5" customHeight="1">
      <c r="A210" s="532"/>
      <c r="B210" s="533"/>
      <c r="C210" s="533"/>
      <c r="D210" s="533"/>
      <c r="E210" s="533"/>
      <c r="F210" s="533"/>
      <c r="G210" s="533"/>
      <c r="H210" s="533"/>
      <c r="I210" s="533"/>
      <c r="J210" s="533"/>
      <c r="K210" s="533"/>
      <c r="L210" s="533"/>
      <c r="M210" s="533"/>
      <c r="N210" s="533"/>
      <c r="O210" s="533"/>
      <c r="P210" s="533"/>
      <c r="Q210" s="533"/>
      <c r="R210" s="533"/>
      <c r="S210" s="533"/>
      <c r="T210" s="533"/>
      <c r="U210" s="533"/>
      <c r="V210" s="533"/>
      <c r="W210" s="533"/>
      <c r="X210" s="533"/>
      <c r="Y210" s="533"/>
    </row>
    <row r="211" spans="1:25" s="531" customFormat="1" ht="19.5" customHeight="1">
      <c r="A211" s="532"/>
      <c r="B211" s="533"/>
      <c r="C211" s="533"/>
      <c r="D211" s="533"/>
      <c r="E211" s="533"/>
      <c r="F211" s="533"/>
      <c r="G211" s="533"/>
      <c r="H211" s="533"/>
      <c r="I211" s="533"/>
      <c r="J211" s="533"/>
      <c r="K211" s="533"/>
      <c r="L211" s="533"/>
      <c r="M211" s="533"/>
      <c r="N211" s="533"/>
      <c r="O211" s="533"/>
      <c r="P211" s="533"/>
      <c r="Q211" s="533"/>
      <c r="R211" s="533"/>
      <c r="S211" s="533"/>
      <c r="T211" s="533"/>
      <c r="U211" s="533"/>
      <c r="V211" s="533"/>
      <c r="W211" s="533"/>
      <c r="X211" s="533"/>
      <c r="Y211" s="533"/>
    </row>
    <row r="212" spans="1:25" s="531" customFormat="1" ht="19.5" customHeight="1">
      <c r="A212" s="532"/>
      <c r="B212" s="533"/>
      <c r="C212" s="533"/>
      <c r="D212" s="533"/>
      <c r="E212" s="533"/>
      <c r="F212" s="533"/>
      <c r="G212" s="533"/>
      <c r="H212" s="533"/>
      <c r="I212" s="533"/>
      <c r="J212" s="533"/>
      <c r="K212" s="533"/>
      <c r="L212" s="533"/>
      <c r="M212" s="533"/>
      <c r="N212" s="533"/>
      <c r="O212" s="533"/>
      <c r="P212" s="533"/>
      <c r="Q212" s="533"/>
      <c r="R212" s="533"/>
      <c r="S212" s="533"/>
      <c r="T212" s="533"/>
      <c r="U212" s="533"/>
      <c r="V212" s="533"/>
      <c r="W212" s="533"/>
      <c r="X212" s="533"/>
      <c r="Y212" s="533"/>
    </row>
    <row r="213" spans="1:25" s="531" customFormat="1" ht="19.5" customHeight="1">
      <c r="A213" s="532"/>
      <c r="B213" s="533"/>
      <c r="C213" s="533"/>
      <c r="D213" s="533"/>
      <c r="E213" s="533"/>
      <c r="F213" s="533"/>
      <c r="G213" s="533"/>
      <c r="H213" s="533"/>
      <c r="I213" s="533"/>
      <c r="J213" s="533"/>
      <c r="K213" s="533"/>
      <c r="L213" s="533"/>
      <c r="M213" s="533"/>
      <c r="N213" s="533"/>
      <c r="O213" s="533"/>
      <c r="P213" s="533"/>
      <c r="Q213" s="533"/>
      <c r="R213" s="533"/>
      <c r="S213" s="533"/>
      <c r="T213" s="533"/>
      <c r="U213" s="533"/>
      <c r="V213" s="533"/>
      <c r="W213" s="533"/>
      <c r="X213" s="533"/>
      <c r="Y213" s="533"/>
    </row>
    <row r="214" spans="1:25" s="531" customFormat="1" ht="19.5" customHeight="1">
      <c r="A214" s="532"/>
      <c r="B214" s="533"/>
      <c r="C214" s="533"/>
      <c r="D214" s="533"/>
      <c r="E214" s="533"/>
      <c r="F214" s="533"/>
      <c r="G214" s="533"/>
      <c r="H214" s="533"/>
      <c r="I214" s="533"/>
      <c r="J214" s="533"/>
      <c r="K214" s="533"/>
      <c r="L214" s="533"/>
      <c r="M214" s="533"/>
      <c r="N214" s="533"/>
      <c r="O214" s="533"/>
      <c r="P214" s="533"/>
      <c r="Q214" s="533"/>
      <c r="R214" s="533"/>
      <c r="S214" s="533"/>
      <c r="T214" s="533"/>
      <c r="U214" s="533"/>
      <c r="V214" s="533"/>
      <c r="W214" s="533"/>
      <c r="X214" s="533"/>
      <c r="Y214" s="533"/>
    </row>
    <row r="215" spans="1:25" s="531" customFormat="1" ht="19.5" customHeight="1">
      <c r="A215" s="532"/>
      <c r="B215" s="533"/>
      <c r="C215" s="533"/>
      <c r="D215" s="533"/>
      <c r="E215" s="533"/>
      <c r="F215" s="533"/>
      <c r="G215" s="533"/>
      <c r="H215" s="533"/>
      <c r="I215" s="533"/>
      <c r="J215" s="533"/>
      <c r="K215" s="533"/>
      <c r="L215" s="533"/>
      <c r="M215" s="533"/>
      <c r="N215" s="533"/>
      <c r="O215" s="533"/>
      <c r="P215" s="533"/>
      <c r="Q215" s="533"/>
      <c r="R215" s="533"/>
      <c r="S215" s="533"/>
      <c r="T215" s="533"/>
      <c r="U215" s="533"/>
      <c r="V215" s="533"/>
      <c r="W215" s="533"/>
      <c r="X215" s="533"/>
      <c r="Y215" s="533"/>
    </row>
    <row r="216" spans="1:25" s="531" customFormat="1" ht="19.5" customHeight="1">
      <c r="A216" s="532"/>
      <c r="B216" s="533"/>
      <c r="C216" s="533"/>
      <c r="D216" s="533"/>
      <c r="E216" s="533"/>
      <c r="F216" s="533"/>
      <c r="G216" s="533"/>
      <c r="H216" s="533"/>
      <c r="I216" s="533"/>
      <c r="J216" s="533"/>
      <c r="K216" s="533"/>
      <c r="L216" s="533"/>
      <c r="M216" s="533"/>
      <c r="N216" s="533"/>
      <c r="O216" s="533"/>
      <c r="P216" s="533"/>
      <c r="Q216" s="533"/>
      <c r="R216" s="533"/>
      <c r="S216" s="533"/>
      <c r="T216" s="533"/>
      <c r="U216" s="533"/>
      <c r="V216" s="533"/>
      <c r="W216" s="533"/>
      <c r="X216" s="533"/>
      <c r="Y216" s="533"/>
    </row>
    <row r="217" spans="1:25" s="531" customFormat="1" ht="19.5" customHeight="1">
      <c r="A217" s="532"/>
      <c r="B217" s="533"/>
      <c r="C217" s="533"/>
      <c r="D217" s="533"/>
      <c r="E217" s="533"/>
      <c r="F217" s="533"/>
      <c r="G217" s="533"/>
      <c r="H217" s="533"/>
      <c r="I217" s="533"/>
      <c r="J217" s="533"/>
      <c r="K217" s="533"/>
      <c r="L217" s="533"/>
      <c r="M217" s="533"/>
      <c r="N217" s="533"/>
      <c r="O217" s="533"/>
      <c r="P217" s="533"/>
      <c r="Q217" s="533"/>
      <c r="R217" s="533"/>
      <c r="S217" s="533"/>
      <c r="T217" s="533"/>
      <c r="U217" s="533"/>
      <c r="V217" s="533"/>
      <c r="W217" s="533"/>
      <c r="X217" s="533"/>
      <c r="Y217" s="533"/>
    </row>
    <row r="218" spans="1:25" s="531" customFormat="1" ht="19.5" customHeight="1">
      <c r="A218" s="532"/>
      <c r="B218" s="533"/>
      <c r="C218" s="533"/>
      <c r="D218" s="533"/>
      <c r="E218" s="533"/>
      <c r="F218" s="533"/>
      <c r="G218" s="533"/>
      <c r="H218" s="533"/>
      <c r="I218" s="533"/>
      <c r="J218" s="533"/>
      <c r="K218" s="533"/>
      <c r="L218" s="533"/>
      <c r="M218" s="533"/>
      <c r="N218" s="533"/>
      <c r="O218" s="533"/>
      <c r="P218" s="533"/>
      <c r="Q218" s="533"/>
      <c r="R218" s="533"/>
      <c r="S218" s="533"/>
      <c r="T218" s="533"/>
      <c r="U218" s="533"/>
      <c r="V218" s="533"/>
      <c r="W218" s="533"/>
      <c r="X218" s="533"/>
      <c r="Y218" s="533"/>
    </row>
    <row r="219" spans="1:25" s="531" customFormat="1" ht="19.5" customHeight="1">
      <c r="A219" s="532"/>
      <c r="B219" s="533"/>
      <c r="C219" s="533"/>
      <c r="D219" s="533"/>
      <c r="E219" s="533"/>
      <c r="F219" s="533"/>
      <c r="G219" s="533"/>
      <c r="H219" s="533"/>
      <c r="I219" s="533"/>
      <c r="J219" s="533"/>
      <c r="K219" s="533"/>
      <c r="L219" s="533"/>
      <c r="M219" s="533"/>
      <c r="N219" s="533"/>
      <c r="O219" s="533"/>
      <c r="P219" s="533"/>
      <c r="Q219" s="533"/>
      <c r="R219" s="533"/>
      <c r="S219" s="533"/>
      <c r="T219" s="533"/>
      <c r="U219" s="533"/>
      <c r="V219" s="533"/>
      <c r="W219" s="533"/>
      <c r="X219" s="533"/>
      <c r="Y219" s="533"/>
    </row>
    <row r="220" spans="1:25" s="531" customFormat="1" ht="19.5" customHeight="1">
      <c r="A220" s="532"/>
      <c r="B220" s="533"/>
      <c r="C220" s="533"/>
      <c r="D220" s="533"/>
      <c r="E220" s="533"/>
      <c r="F220" s="533"/>
      <c r="G220" s="533"/>
      <c r="H220" s="533"/>
      <c r="I220" s="533"/>
      <c r="J220" s="533"/>
      <c r="K220" s="533"/>
      <c r="L220" s="533"/>
      <c r="M220" s="533"/>
      <c r="N220" s="533"/>
      <c r="O220" s="533"/>
      <c r="P220" s="533"/>
      <c r="Q220" s="533"/>
      <c r="R220" s="533"/>
      <c r="S220" s="533"/>
      <c r="T220" s="533"/>
      <c r="U220" s="533"/>
      <c r="V220" s="533"/>
      <c r="W220" s="533"/>
      <c r="X220" s="533"/>
      <c r="Y220" s="533"/>
    </row>
    <row r="221" spans="1:25" s="531" customFormat="1" ht="19.5" customHeight="1">
      <c r="A221" s="532"/>
      <c r="B221" s="533"/>
      <c r="C221" s="533"/>
      <c r="D221" s="533"/>
      <c r="E221" s="533"/>
      <c r="F221" s="533"/>
      <c r="G221" s="533"/>
      <c r="H221" s="533"/>
      <c r="I221" s="533"/>
      <c r="J221" s="533"/>
      <c r="K221" s="533"/>
      <c r="L221" s="533"/>
      <c r="M221" s="533"/>
      <c r="N221" s="533"/>
      <c r="O221" s="533"/>
      <c r="P221" s="533"/>
      <c r="Q221" s="533"/>
      <c r="R221" s="533"/>
      <c r="S221" s="533"/>
      <c r="T221" s="533"/>
      <c r="U221" s="533"/>
      <c r="V221" s="533"/>
      <c r="W221" s="533"/>
      <c r="X221" s="533"/>
      <c r="Y221" s="533"/>
    </row>
    <row r="222" spans="1:25" s="531" customFormat="1" ht="19.5" customHeight="1">
      <c r="A222" s="532"/>
      <c r="B222" s="533"/>
      <c r="C222" s="533"/>
      <c r="D222" s="533"/>
      <c r="E222" s="533"/>
      <c r="F222" s="533"/>
      <c r="G222" s="533"/>
      <c r="H222" s="533"/>
      <c r="I222" s="533"/>
      <c r="J222" s="533"/>
      <c r="K222" s="533"/>
      <c r="L222" s="533"/>
      <c r="M222" s="533"/>
      <c r="N222" s="533"/>
      <c r="O222" s="533"/>
      <c r="P222" s="533"/>
      <c r="Q222" s="533"/>
      <c r="R222" s="533"/>
      <c r="S222" s="533"/>
      <c r="T222" s="533"/>
      <c r="U222" s="533"/>
      <c r="V222" s="533"/>
      <c r="W222" s="533"/>
      <c r="X222" s="533"/>
      <c r="Y222" s="533"/>
    </row>
    <row r="223" spans="1:25" s="531" customFormat="1" ht="19.5" customHeight="1">
      <c r="A223" s="532"/>
      <c r="B223" s="533"/>
      <c r="C223" s="533"/>
      <c r="D223" s="533"/>
      <c r="E223" s="533"/>
      <c r="F223" s="533"/>
      <c r="G223" s="533"/>
      <c r="H223" s="533"/>
      <c r="I223" s="533"/>
      <c r="J223" s="533"/>
      <c r="K223" s="533"/>
      <c r="L223" s="533"/>
      <c r="M223" s="533"/>
      <c r="N223" s="533"/>
      <c r="O223" s="533"/>
      <c r="P223" s="533"/>
      <c r="Q223" s="533"/>
      <c r="R223" s="533"/>
      <c r="S223" s="533"/>
      <c r="T223" s="533"/>
      <c r="U223" s="533"/>
      <c r="V223" s="533"/>
      <c r="W223" s="533"/>
      <c r="X223" s="533"/>
      <c r="Y223" s="533"/>
    </row>
    <row r="224" spans="1:25" s="531" customFormat="1" ht="19.5" customHeight="1">
      <c r="A224" s="532"/>
      <c r="B224" s="533"/>
      <c r="C224" s="533"/>
      <c r="D224" s="533"/>
      <c r="E224" s="533"/>
      <c r="F224" s="533"/>
      <c r="G224" s="533"/>
      <c r="H224" s="533"/>
      <c r="I224" s="533"/>
      <c r="J224" s="533"/>
      <c r="K224" s="533"/>
      <c r="L224" s="533"/>
      <c r="M224" s="533"/>
      <c r="N224" s="533"/>
      <c r="O224" s="533"/>
      <c r="P224" s="533"/>
      <c r="Q224" s="533"/>
      <c r="R224" s="533"/>
      <c r="S224" s="533"/>
      <c r="T224" s="533"/>
      <c r="U224" s="533"/>
      <c r="V224" s="533"/>
      <c r="W224" s="533"/>
      <c r="X224" s="533"/>
      <c r="Y224" s="533"/>
    </row>
    <row r="225" spans="1:25" s="531" customFormat="1" ht="19.5" customHeight="1">
      <c r="A225" s="532"/>
      <c r="B225" s="533"/>
      <c r="C225" s="533"/>
      <c r="D225" s="533"/>
      <c r="E225" s="533"/>
      <c r="F225" s="533"/>
      <c r="G225" s="533"/>
      <c r="H225" s="533"/>
      <c r="I225" s="533"/>
      <c r="J225" s="533"/>
      <c r="K225" s="533"/>
      <c r="L225" s="533"/>
      <c r="M225" s="533"/>
      <c r="N225" s="533"/>
      <c r="O225" s="533"/>
      <c r="P225" s="533"/>
      <c r="Q225" s="533"/>
      <c r="R225" s="533"/>
      <c r="S225" s="533"/>
      <c r="T225" s="533"/>
      <c r="U225" s="533"/>
      <c r="V225" s="533"/>
      <c r="W225" s="533"/>
      <c r="X225" s="533"/>
      <c r="Y225" s="533"/>
    </row>
    <row r="226" spans="1:25" s="531" customFormat="1" ht="19.5" customHeight="1">
      <c r="A226" s="532"/>
      <c r="B226" s="533"/>
      <c r="C226" s="533"/>
      <c r="D226" s="533"/>
      <c r="E226" s="533"/>
      <c r="F226" s="533"/>
      <c r="G226" s="533"/>
      <c r="H226" s="533"/>
      <c r="I226" s="533"/>
      <c r="J226" s="533"/>
      <c r="K226" s="533"/>
      <c r="L226" s="533"/>
      <c r="M226" s="533"/>
      <c r="N226" s="533"/>
      <c r="O226" s="533"/>
      <c r="P226" s="533"/>
      <c r="Q226" s="533"/>
      <c r="R226" s="533"/>
      <c r="S226" s="533"/>
      <c r="T226" s="533"/>
      <c r="U226" s="533"/>
      <c r="V226" s="533"/>
      <c r="W226" s="533"/>
      <c r="X226" s="533"/>
      <c r="Y226" s="533"/>
    </row>
    <row r="227" spans="1:25" s="531" customFormat="1" ht="19.5" customHeight="1">
      <c r="A227" s="532"/>
      <c r="B227" s="533"/>
      <c r="C227" s="533"/>
      <c r="D227" s="533"/>
      <c r="E227" s="533"/>
      <c r="F227" s="533"/>
      <c r="G227" s="533"/>
      <c r="H227" s="533"/>
      <c r="I227" s="533"/>
      <c r="J227" s="533"/>
      <c r="K227" s="533"/>
      <c r="L227" s="533"/>
      <c r="M227" s="533"/>
      <c r="N227" s="533"/>
      <c r="O227" s="533"/>
      <c r="P227" s="533"/>
      <c r="Q227" s="533"/>
      <c r="R227" s="533"/>
      <c r="S227" s="533"/>
      <c r="T227" s="533"/>
      <c r="U227" s="533"/>
      <c r="V227" s="533"/>
      <c r="W227" s="533"/>
      <c r="X227" s="533"/>
      <c r="Y227" s="533"/>
    </row>
    <row r="228" spans="1:25" s="531" customFormat="1" ht="19.5" customHeight="1">
      <c r="A228" s="532"/>
      <c r="B228" s="533"/>
      <c r="C228" s="533"/>
      <c r="D228" s="533"/>
      <c r="E228" s="533"/>
      <c r="F228" s="533"/>
      <c r="G228" s="533"/>
      <c r="H228" s="533"/>
      <c r="I228" s="533"/>
      <c r="J228" s="533"/>
      <c r="K228" s="533"/>
      <c r="L228" s="533"/>
      <c r="M228" s="533"/>
      <c r="N228" s="533"/>
      <c r="O228" s="533"/>
      <c r="P228" s="533"/>
      <c r="Q228" s="533"/>
      <c r="R228" s="533"/>
      <c r="S228" s="533"/>
      <c r="T228" s="533"/>
      <c r="U228" s="533"/>
      <c r="V228" s="533"/>
      <c r="W228" s="533"/>
      <c r="X228" s="533"/>
      <c r="Y228" s="533"/>
    </row>
    <row r="229" spans="1:25" s="531" customFormat="1" ht="19.5" customHeight="1">
      <c r="A229" s="532"/>
      <c r="B229" s="533"/>
      <c r="C229" s="533"/>
      <c r="D229" s="533"/>
      <c r="E229" s="533"/>
      <c r="F229" s="533"/>
      <c r="G229" s="533"/>
      <c r="H229" s="533"/>
      <c r="I229" s="533"/>
      <c r="J229" s="533"/>
      <c r="K229" s="533"/>
      <c r="L229" s="533"/>
      <c r="M229" s="533"/>
      <c r="N229" s="533"/>
      <c r="O229" s="533"/>
      <c r="P229" s="533"/>
      <c r="Q229" s="533"/>
      <c r="R229" s="533"/>
      <c r="S229" s="533"/>
      <c r="T229" s="533"/>
      <c r="U229" s="533"/>
      <c r="V229" s="533"/>
      <c r="W229" s="533"/>
      <c r="X229" s="533"/>
      <c r="Y229" s="533"/>
    </row>
    <row r="230" spans="1:25" s="531" customFormat="1" ht="19.5" customHeight="1">
      <c r="A230" s="532"/>
      <c r="B230" s="533"/>
      <c r="C230" s="533"/>
      <c r="D230" s="533"/>
      <c r="E230" s="533"/>
      <c r="F230" s="533"/>
      <c r="G230" s="533"/>
      <c r="H230" s="533"/>
      <c r="I230" s="533"/>
      <c r="J230" s="533"/>
      <c r="K230" s="533"/>
      <c r="L230" s="533"/>
      <c r="M230" s="533"/>
      <c r="N230" s="533"/>
      <c r="O230" s="533"/>
      <c r="P230" s="533"/>
      <c r="Q230" s="533"/>
      <c r="R230" s="533"/>
      <c r="S230" s="533"/>
      <c r="T230" s="533"/>
      <c r="U230" s="533"/>
      <c r="V230" s="533"/>
      <c r="W230" s="533"/>
      <c r="X230" s="533"/>
      <c r="Y230" s="533"/>
    </row>
    <row r="231" spans="1:25" s="531" customFormat="1" ht="19.5" customHeight="1">
      <c r="A231" s="532"/>
      <c r="B231" s="533"/>
      <c r="C231" s="533"/>
      <c r="D231" s="533"/>
      <c r="E231" s="533"/>
      <c r="F231" s="533"/>
      <c r="G231" s="533"/>
      <c r="H231" s="533"/>
      <c r="I231" s="533"/>
      <c r="J231" s="533"/>
      <c r="K231" s="533"/>
      <c r="L231" s="533"/>
      <c r="M231" s="533"/>
      <c r="N231" s="533"/>
      <c r="O231" s="533"/>
      <c r="P231" s="533"/>
      <c r="Q231" s="533"/>
      <c r="R231" s="533"/>
      <c r="S231" s="533"/>
      <c r="T231" s="533"/>
      <c r="U231" s="533"/>
      <c r="V231" s="533"/>
      <c r="W231" s="533"/>
      <c r="X231" s="533"/>
      <c r="Y231" s="533"/>
    </row>
    <row r="232" spans="1:25" s="531" customFormat="1" ht="19.5" customHeight="1">
      <c r="A232" s="532"/>
      <c r="B232" s="533"/>
      <c r="C232" s="533"/>
      <c r="D232" s="533"/>
      <c r="E232" s="533"/>
      <c r="F232" s="533"/>
      <c r="G232" s="533"/>
      <c r="H232" s="533"/>
      <c r="I232" s="533"/>
      <c r="J232" s="533"/>
      <c r="K232" s="533"/>
      <c r="L232" s="533"/>
      <c r="M232" s="533"/>
      <c r="N232" s="533"/>
      <c r="O232" s="533"/>
      <c r="P232" s="533"/>
      <c r="Q232" s="533"/>
      <c r="R232" s="533"/>
      <c r="S232" s="533"/>
      <c r="T232" s="533"/>
      <c r="U232" s="533"/>
      <c r="V232" s="533"/>
      <c r="W232" s="533"/>
      <c r="X232" s="533"/>
      <c r="Y232" s="533"/>
    </row>
    <row r="233" spans="1:25" s="531" customFormat="1" ht="19.5" customHeight="1">
      <c r="A233" s="532"/>
      <c r="B233" s="533"/>
      <c r="C233" s="533"/>
      <c r="D233" s="533"/>
      <c r="E233" s="533"/>
      <c r="F233" s="533"/>
      <c r="G233" s="533"/>
      <c r="H233" s="533"/>
      <c r="I233" s="533"/>
      <c r="J233" s="533"/>
      <c r="K233" s="533"/>
      <c r="L233" s="533"/>
      <c r="M233" s="533"/>
      <c r="N233" s="533"/>
      <c r="O233" s="533"/>
      <c r="P233" s="533"/>
      <c r="Q233" s="533"/>
      <c r="R233" s="533"/>
      <c r="S233" s="533"/>
      <c r="T233" s="533"/>
      <c r="U233" s="533"/>
      <c r="V233" s="533"/>
      <c r="W233" s="533"/>
      <c r="X233" s="533"/>
      <c r="Y233" s="533"/>
    </row>
    <row r="234" spans="1:25" s="531" customFormat="1" ht="19.5" customHeight="1">
      <c r="A234" s="532"/>
      <c r="B234" s="533"/>
      <c r="C234" s="533"/>
      <c r="D234" s="533"/>
      <c r="E234" s="533"/>
      <c r="F234" s="533"/>
      <c r="G234" s="533"/>
      <c r="H234" s="533"/>
      <c r="I234" s="533"/>
      <c r="J234" s="533"/>
      <c r="K234" s="533"/>
      <c r="L234" s="533"/>
      <c r="M234" s="533"/>
      <c r="N234" s="533"/>
      <c r="O234" s="533"/>
      <c r="P234" s="533"/>
      <c r="Q234" s="533"/>
      <c r="R234" s="533"/>
      <c r="S234" s="533"/>
      <c r="T234" s="533"/>
      <c r="U234" s="533"/>
      <c r="V234" s="533"/>
      <c r="W234" s="533"/>
      <c r="X234" s="533"/>
      <c r="Y234" s="533"/>
    </row>
    <row r="235" spans="1:25" s="531" customFormat="1" ht="19.5" customHeight="1">
      <c r="A235" s="532"/>
      <c r="B235" s="533"/>
      <c r="C235" s="533"/>
      <c r="D235" s="533"/>
      <c r="E235" s="533"/>
      <c r="F235" s="533"/>
      <c r="G235" s="533"/>
      <c r="H235" s="533"/>
      <c r="I235" s="533"/>
      <c r="J235" s="533"/>
      <c r="K235" s="533"/>
      <c r="L235" s="533"/>
      <c r="M235" s="533"/>
      <c r="N235" s="533"/>
      <c r="O235" s="533"/>
      <c r="P235" s="533"/>
      <c r="Q235" s="533"/>
      <c r="R235" s="533"/>
      <c r="S235" s="533"/>
      <c r="T235" s="533"/>
      <c r="U235" s="533"/>
      <c r="V235" s="533"/>
      <c r="W235" s="533"/>
      <c r="X235" s="533"/>
      <c r="Y235" s="533"/>
    </row>
    <row r="236" spans="1:25" s="531" customFormat="1" ht="19.5" customHeight="1">
      <c r="A236" s="532"/>
      <c r="B236" s="533"/>
      <c r="C236" s="533"/>
      <c r="D236" s="533"/>
      <c r="E236" s="533"/>
      <c r="F236" s="533"/>
      <c r="G236" s="533"/>
      <c r="H236" s="533"/>
      <c r="I236" s="533"/>
      <c r="J236" s="533"/>
      <c r="K236" s="533"/>
      <c r="L236" s="533"/>
      <c r="M236" s="533"/>
      <c r="N236" s="533"/>
      <c r="O236" s="533"/>
      <c r="P236" s="533"/>
      <c r="Q236" s="533"/>
      <c r="R236" s="533"/>
      <c r="S236" s="533"/>
      <c r="T236" s="533"/>
      <c r="U236" s="533"/>
      <c r="V236" s="533"/>
      <c r="W236" s="533"/>
      <c r="X236" s="533"/>
      <c r="Y236" s="533"/>
    </row>
    <row r="237" spans="1:25" s="531" customFormat="1" ht="19.5" customHeight="1">
      <c r="A237" s="532"/>
      <c r="B237" s="533"/>
      <c r="C237" s="533"/>
      <c r="D237" s="533"/>
      <c r="E237" s="533"/>
      <c r="F237" s="533"/>
      <c r="G237" s="533"/>
      <c r="H237" s="533"/>
      <c r="I237" s="533"/>
      <c r="J237" s="533"/>
      <c r="K237" s="533"/>
      <c r="L237" s="533"/>
      <c r="M237" s="533"/>
      <c r="N237" s="533"/>
      <c r="O237" s="533"/>
      <c r="P237" s="533"/>
      <c r="Q237" s="533"/>
      <c r="R237" s="533"/>
      <c r="S237" s="533"/>
      <c r="T237" s="533"/>
      <c r="U237" s="533"/>
      <c r="V237" s="533"/>
      <c r="W237" s="533"/>
      <c r="X237" s="533"/>
      <c r="Y237" s="533"/>
    </row>
    <row r="238" spans="1:25" s="531" customFormat="1" ht="19.5" customHeight="1">
      <c r="A238" s="532"/>
      <c r="B238" s="533"/>
      <c r="C238" s="533"/>
      <c r="D238" s="533"/>
      <c r="E238" s="533"/>
      <c r="F238" s="533"/>
      <c r="G238" s="533"/>
      <c r="H238" s="533"/>
      <c r="I238" s="533"/>
      <c r="J238" s="533"/>
      <c r="K238" s="533"/>
      <c r="L238" s="533"/>
      <c r="M238" s="533"/>
      <c r="N238" s="533"/>
      <c r="O238" s="533"/>
      <c r="P238" s="533"/>
      <c r="Q238" s="533"/>
      <c r="R238" s="533"/>
      <c r="S238" s="533"/>
      <c r="T238" s="533"/>
      <c r="U238" s="533"/>
      <c r="V238" s="533"/>
      <c r="W238" s="533"/>
      <c r="X238" s="533"/>
      <c r="Y238" s="533"/>
    </row>
    <row r="239" spans="1:25" s="531" customFormat="1" ht="19.5" customHeight="1">
      <c r="A239" s="532"/>
      <c r="B239" s="533"/>
      <c r="C239" s="533"/>
      <c r="D239" s="533"/>
      <c r="E239" s="533"/>
      <c r="F239" s="533"/>
      <c r="G239" s="533"/>
      <c r="H239" s="533"/>
      <c r="I239" s="533"/>
      <c r="J239" s="533"/>
      <c r="K239" s="533"/>
      <c r="L239" s="533"/>
      <c r="M239" s="533"/>
      <c r="N239" s="533"/>
      <c r="O239" s="533"/>
      <c r="P239" s="533"/>
      <c r="Q239" s="533"/>
      <c r="R239" s="533"/>
      <c r="S239" s="533"/>
      <c r="T239" s="533"/>
      <c r="U239" s="533"/>
      <c r="V239" s="533"/>
      <c r="W239" s="533"/>
      <c r="X239" s="533"/>
      <c r="Y239" s="533"/>
    </row>
    <row r="240" spans="1:25" s="531" customFormat="1" ht="19.5" customHeight="1">
      <c r="A240" s="532"/>
      <c r="B240" s="533"/>
      <c r="C240" s="533"/>
      <c r="D240" s="533"/>
      <c r="E240" s="533"/>
      <c r="F240" s="533"/>
      <c r="G240" s="533"/>
      <c r="H240" s="533"/>
      <c r="I240" s="533"/>
      <c r="J240" s="533"/>
      <c r="K240" s="533"/>
      <c r="L240" s="533"/>
      <c r="M240" s="533"/>
      <c r="N240" s="533"/>
      <c r="O240" s="533"/>
      <c r="P240" s="533"/>
      <c r="Q240" s="533"/>
      <c r="R240" s="533"/>
      <c r="S240" s="533"/>
      <c r="T240" s="533"/>
      <c r="U240" s="533"/>
      <c r="V240" s="533"/>
      <c r="W240" s="533"/>
      <c r="X240" s="533"/>
      <c r="Y240" s="533"/>
    </row>
    <row r="241" spans="1:25" s="531" customFormat="1" ht="19.5" customHeight="1">
      <c r="A241" s="532"/>
      <c r="B241" s="533"/>
      <c r="C241" s="533"/>
      <c r="D241" s="533"/>
      <c r="E241" s="533"/>
      <c r="F241" s="533"/>
      <c r="G241" s="533"/>
      <c r="H241" s="533"/>
      <c r="I241" s="533"/>
      <c r="J241" s="533"/>
      <c r="K241" s="533"/>
      <c r="L241" s="533"/>
      <c r="M241" s="533"/>
      <c r="N241" s="533"/>
      <c r="O241" s="533"/>
      <c r="P241" s="533"/>
      <c r="Q241" s="533"/>
      <c r="R241" s="533"/>
      <c r="S241" s="533"/>
      <c r="T241" s="533"/>
      <c r="U241" s="533"/>
      <c r="V241" s="533"/>
      <c r="W241" s="533"/>
      <c r="X241" s="533"/>
      <c r="Y241" s="533"/>
    </row>
    <row r="242" spans="1:25" s="531" customFormat="1" ht="19.5" customHeight="1">
      <c r="A242" s="532"/>
      <c r="B242" s="533"/>
      <c r="C242" s="533"/>
      <c r="D242" s="533"/>
      <c r="E242" s="533"/>
      <c r="F242" s="533"/>
      <c r="G242" s="533"/>
      <c r="H242" s="533"/>
      <c r="I242" s="533"/>
      <c r="J242" s="533"/>
      <c r="K242" s="533"/>
      <c r="L242" s="533"/>
      <c r="M242" s="533"/>
      <c r="N242" s="533"/>
      <c r="O242" s="533"/>
      <c r="P242" s="533"/>
      <c r="Q242" s="533"/>
      <c r="R242" s="533"/>
      <c r="S242" s="533"/>
      <c r="T242" s="533"/>
      <c r="U242" s="533"/>
      <c r="V242" s="533"/>
      <c r="W242" s="533"/>
      <c r="X242" s="533"/>
      <c r="Y242" s="533"/>
    </row>
    <row r="243" spans="1:25" s="531" customFormat="1" ht="19.5" customHeight="1">
      <c r="A243" s="532"/>
      <c r="B243" s="533"/>
      <c r="C243" s="533"/>
      <c r="D243" s="533"/>
      <c r="E243" s="533"/>
      <c r="F243" s="533"/>
      <c r="G243" s="533"/>
      <c r="H243" s="533"/>
      <c r="I243" s="533"/>
      <c r="J243" s="533"/>
      <c r="K243" s="533"/>
      <c r="L243" s="533"/>
      <c r="M243" s="533"/>
      <c r="N243" s="533"/>
      <c r="O243" s="533"/>
      <c r="P243" s="533"/>
      <c r="Q243" s="533"/>
      <c r="R243" s="533"/>
      <c r="S243" s="533"/>
      <c r="T243" s="533"/>
      <c r="U243" s="533"/>
      <c r="V243" s="533"/>
      <c r="W243" s="533"/>
      <c r="X243" s="533"/>
      <c r="Y243" s="533"/>
    </row>
    <row r="244" ht="19.5" customHeight="1"/>
    <row r="245" ht="9.75" customHeight="1"/>
    <row r="246" ht="19.5" customHeight="1"/>
    <row r="247" ht="19.5" customHeight="1"/>
    <row r="248" ht="19.5" customHeight="1"/>
    <row r="249" ht="19.5" customHeight="1"/>
    <row r="250" spans="1:25" s="531" customFormat="1" ht="19.5" customHeight="1">
      <c r="A250" s="532"/>
      <c r="B250" s="533"/>
      <c r="C250" s="533"/>
      <c r="D250" s="533"/>
      <c r="E250" s="533"/>
      <c r="F250" s="533"/>
      <c r="G250" s="533"/>
      <c r="H250" s="533"/>
      <c r="I250" s="533"/>
      <c r="J250" s="533"/>
      <c r="K250" s="533"/>
      <c r="L250" s="533"/>
      <c r="M250" s="533"/>
      <c r="N250" s="533"/>
      <c r="O250" s="533"/>
      <c r="P250" s="533"/>
      <c r="Q250" s="533"/>
      <c r="R250" s="533"/>
      <c r="S250" s="533"/>
      <c r="T250" s="533"/>
      <c r="U250" s="533"/>
      <c r="V250" s="533"/>
      <c r="W250" s="533"/>
      <c r="X250" s="533"/>
      <c r="Y250" s="533"/>
    </row>
    <row r="251" spans="1:25" s="531" customFormat="1" ht="19.5" customHeight="1">
      <c r="A251" s="532"/>
      <c r="B251" s="533"/>
      <c r="C251" s="533"/>
      <c r="D251" s="533"/>
      <c r="E251" s="533"/>
      <c r="F251" s="533"/>
      <c r="G251" s="533"/>
      <c r="H251" s="533"/>
      <c r="I251" s="533"/>
      <c r="J251" s="533"/>
      <c r="K251" s="533"/>
      <c r="L251" s="533"/>
      <c r="M251" s="533"/>
      <c r="N251" s="533"/>
      <c r="O251" s="533"/>
      <c r="P251" s="533"/>
      <c r="Q251" s="533"/>
      <c r="R251" s="533"/>
      <c r="S251" s="533"/>
      <c r="T251" s="533"/>
      <c r="U251" s="533"/>
      <c r="V251" s="533"/>
      <c r="W251" s="533"/>
      <c r="X251" s="533"/>
      <c r="Y251" s="533"/>
    </row>
    <row r="252" spans="1:25" s="531" customFormat="1" ht="19.5" customHeight="1">
      <c r="A252" s="532"/>
      <c r="B252" s="533"/>
      <c r="C252" s="533"/>
      <c r="D252" s="533"/>
      <c r="E252" s="533"/>
      <c r="F252" s="533"/>
      <c r="G252" s="533"/>
      <c r="H252" s="533"/>
      <c r="I252" s="533"/>
      <c r="J252" s="533"/>
      <c r="K252" s="533"/>
      <c r="L252" s="533"/>
      <c r="M252" s="533"/>
      <c r="N252" s="533"/>
      <c r="O252" s="533"/>
      <c r="P252" s="533"/>
      <c r="Q252" s="533"/>
      <c r="R252" s="533"/>
      <c r="S252" s="533"/>
      <c r="T252" s="533"/>
      <c r="U252" s="533"/>
      <c r="V252" s="533"/>
      <c r="W252" s="533"/>
      <c r="X252" s="533"/>
      <c r="Y252" s="533"/>
    </row>
    <row r="253" spans="1:25" s="531" customFormat="1" ht="19.5" customHeight="1">
      <c r="A253" s="532"/>
      <c r="B253" s="533"/>
      <c r="C253" s="533"/>
      <c r="D253" s="533"/>
      <c r="E253" s="533"/>
      <c r="F253" s="533"/>
      <c r="G253" s="533"/>
      <c r="H253" s="533"/>
      <c r="I253" s="533"/>
      <c r="J253" s="533"/>
      <c r="K253" s="533"/>
      <c r="L253" s="533"/>
      <c r="M253" s="533"/>
      <c r="N253" s="533"/>
      <c r="O253" s="533"/>
      <c r="P253" s="533"/>
      <c r="Q253" s="533"/>
      <c r="R253" s="533"/>
      <c r="S253" s="533"/>
      <c r="T253" s="533"/>
      <c r="U253" s="533"/>
      <c r="V253" s="533"/>
      <c r="W253" s="533"/>
      <c r="X253" s="533"/>
      <c r="Y253" s="533"/>
    </row>
    <row r="254" spans="1:25" s="531" customFormat="1" ht="19.5" customHeight="1">
      <c r="A254" s="532"/>
      <c r="B254" s="533"/>
      <c r="C254" s="533"/>
      <c r="D254" s="533"/>
      <c r="E254" s="533"/>
      <c r="F254" s="533"/>
      <c r="G254" s="533"/>
      <c r="H254" s="533"/>
      <c r="I254" s="533"/>
      <c r="J254" s="533"/>
      <c r="K254" s="533"/>
      <c r="L254" s="533"/>
      <c r="M254" s="533"/>
      <c r="N254" s="533"/>
      <c r="O254" s="533"/>
      <c r="P254" s="533"/>
      <c r="Q254" s="533"/>
      <c r="R254" s="533"/>
      <c r="S254" s="533"/>
      <c r="T254" s="533"/>
      <c r="U254" s="533"/>
      <c r="V254" s="533"/>
      <c r="W254" s="533"/>
      <c r="X254" s="533"/>
      <c r="Y254" s="533"/>
    </row>
    <row r="255" spans="1:25" s="531" customFormat="1" ht="19.5" customHeight="1">
      <c r="A255" s="532"/>
      <c r="B255" s="533"/>
      <c r="C255" s="533"/>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row>
    <row r="256" spans="1:25" s="531" customFormat="1" ht="19.5" customHeight="1">
      <c r="A256" s="532"/>
      <c r="B256" s="533"/>
      <c r="C256" s="533"/>
      <c r="D256" s="533"/>
      <c r="E256" s="533"/>
      <c r="F256" s="533"/>
      <c r="G256" s="533"/>
      <c r="H256" s="533"/>
      <c r="I256" s="533"/>
      <c r="J256" s="533"/>
      <c r="K256" s="533"/>
      <c r="L256" s="533"/>
      <c r="M256" s="533"/>
      <c r="N256" s="533"/>
      <c r="O256" s="533"/>
      <c r="P256" s="533"/>
      <c r="Q256" s="533"/>
      <c r="R256" s="533"/>
      <c r="S256" s="533"/>
      <c r="T256" s="533"/>
      <c r="U256" s="533"/>
      <c r="V256" s="533"/>
      <c r="W256" s="533"/>
      <c r="X256" s="533"/>
      <c r="Y256" s="533"/>
    </row>
    <row r="257" spans="1:25" s="531" customFormat="1" ht="19.5" customHeight="1">
      <c r="A257" s="532"/>
      <c r="B257" s="533"/>
      <c r="C257" s="533"/>
      <c r="D257" s="533"/>
      <c r="E257" s="533"/>
      <c r="F257" s="533"/>
      <c r="G257" s="533"/>
      <c r="H257" s="533"/>
      <c r="I257" s="533"/>
      <c r="J257" s="533"/>
      <c r="K257" s="533"/>
      <c r="L257" s="533"/>
      <c r="M257" s="533"/>
      <c r="N257" s="533"/>
      <c r="O257" s="533"/>
      <c r="P257" s="533"/>
      <c r="Q257" s="533"/>
      <c r="R257" s="533"/>
      <c r="S257" s="533"/>
      <c r="T257" s="533"/>
      <c r="U257" s="533"/>
      <c r="V257" s="533"/>
      <c r="W257" s="533"/>
      <c r="X257" s="533"/>
      <c r="Y257" s="533"/>
    </row>
    <row r="258" spans="1:25" s="531" customFormat="1" ht="19.5" customHeight="1">
      <c r="A258" s="532"/>
      <c r="B258" s="533"/>
      <c r="C258" s="533"/>
      <c r="D258" s="533"/>
      <c r="E258" s="533"/>
      <c r="F258" s="533"/>
      <c r="G258" s="533"/>
      <c r="H258" s="533"/>
      <c r="I258" s="533"/>
      <c r="J258" s="533"/>
      <c r="K258" s="533"/>
      <c r="L258" s="533"/>
      <c r="M258" s="533"/>
      <c r="N258" s="533"/>
      <c r="O258" s="533"/>
      <c r="P258" s="533"/>
      <c r="Q258" s="533"/>
      <c r="R258" s="533"/>
      <c r="S258" s="533"/>
      <c r="T258" s="533"/>
      <c r="U258" s="533"/>
      <c r="V258" s="533"/>
      <c r="W258" s="533"/>
      <c r="X258" s="533"/>
      <c r="Y258" s="533"/>
    </row>
    <row r="259" spans="1:25" s="531" customFormat="1" ht="19.5" customHeight="1">
      <c r="A259" s="532"/>
      <c r="B259" s="533"/>
      <c r="C259" s="533"/>
      <c r="D259" s="533"/>
      <c r="E259" s="533"/>
      <c r="F259" s="533"/>
      <c r="G259" s="533"/>
      <c r="H259" s="533"/>
      <c r="I259" s="533"/>
      <c r="J259" s="533"/>
      <c r="K259" s="533"/>
      <c r="L259" s="533"/>
      <c r="M259" s="533"/>
      <c r="N259" s="533"/>
      <c r="O259" s="533"/>
      <c r="P259" s="533"/>
      <c r="Q259" s="533"/>
      <c r="R259" s="533"/>
      <c r="S259" s="533"/>
      <c r="T259" s="533"/>
      <c r="U259" s="533"/>
      <c r="V259" s="533"/>
      <c r="W259" s="533"/>
      <c r="X259" s="533"/>
      <c r="Y259" s="533"/>
    </row>
    <row r="260" spans="1:25" s="531" customFormat="1" ht="19.5" customHeight="1">
      <c r="A260" s="532"/>
      <c r="B260" s="533"/>
      <c r="C260" s="533"/>
      <c r="D260" s="533"/>
      <c r="E260" s="533"/>
      <c r="F260" s="533"/>
      <c r="G260" s="533"/>
      <c r="H260" s="533"/>
      <c r="I260" s="533"/>
      <c r="J260" s="533"/>
      <c r="K260" s="533"/>
      <c r="L260" s="533"/>
      <c r="M260" s="533"/>
      <c r="N260" s="533"/>
      <c r="O260" s="533"/>
      <c r="P260" s="533"/>
      <c r="Q260" s="533"/>
      <c r="R260" s="533"/>
      <c r="S260" s="533"/>
      <c r="T260" s="533"/>
      <c r="U260" s="533"/>
      <c r="V260" s="533"/>
      <c r="W260" s="533"/>
      <c r="X260" s="533"/>
      <c r="Y260" s="533"/>
    </row>
    <row r="261" spans="1:25" s="531" customFormat="1" ht="19.5" customHeight="1">
      <c r="A261" s="532"/>
      <c r="B261" s="533"/>
      <c r="C261" s="533"/>
      <c r="D261" s="533"/>
      <c r="E261" s="533"/>
      <c r="F261" s="533"/>
      <c r="G261" s="533"/>
      <c r="H261" s="533"/>
      <c r="I261" s="533"/>
      <c r="J261" s="533"/>
      <c r="K261" s="533"/>
      <c r="L261" s="533"/>
      <c r="M261" s="533"/>
      <c r="N261" s="533"/>
      <c r="O261" s="533"/>
      <c r="P261" s="533"/>
      <c r="Q261" s="533"/>
      <c r="R261" s="533"/>
      <c r="S261" s="533"/>
      <c r="T261" s="533"/>
      <c r="U261" s="533"/>
      <c r="V261" s="533"/>
      <c r="W261" s="533"/>
      <c r="X261" s="533"/>
      <c r="Y261" s="533"/>
    </row>
    <row r="262" spans="1:25" s="531" customFormat="1" ht="19.5" customHeight="1">
      <c r="A262" s="532"/>
      <c r="B262" s="533"/>
      <c r="C262" s="533"/>
      <c r="D262" s="533"/>
      <c r="E262" s="533"/>
      <c r="F262" s="533"/>
      <c r="G262" s="533"/>
      <c r="H262" s="533"/>
      <c r="I262" s="533"/>
      <c r="J262" s="533"/>
      <c r="K262" s="533"/>
      <c r="L262" s="533"/>
      <c r="M262" s="533"/>
      <c r="N262" s="533"/>
      <c r="O262" s="533"/>
      <c r="P262" s="533"/>
      <c r="Q262" s="533"/>
      <c r="R262" s="533"/>
      <c r="S262" s="533"/>
      <c r="T262" s="533"/>
      <c r="U262" s="533"/>
      <c r="V262" s="533"/>
      <c r="W262" s="533"/>
      <c r="X262" s="533"/>
      <c r="Y262" s="533"/>
    </row>
    <row r="263" spans="1:25" s="531" customFormat="1" ht="19.5" customHeight="1">
      <c r="A263" s="532"/>
      <c r="B263" s="533"/>
      <c r="C263" s="533"/>
      <c r="D263" s="533"/>
      <c r="E263" s="533"/>
      <c r="F263" s="533"/>
      <c r="G263" s="533"/>
      <c r="H263" s="533"/>
      <c r="I263" s="533"/>
      <c r="J263" s="533"/>
      <c r="K263" s="533"/>
      <c r="L263" s="533"/>
      <c r="M263" s="533"/>
      <c r="N263" s="533"/>
      <c r="O263" s="533"/>
      <c r="P263" s="533"/>
      <c r="Q263" s="533"/>
      <c r="R263" s="533"/>
      <c r="S263" s="533"/>
      <c r="T263" s="533"/>
      <c r="U263" s="533"/>
      <c r="V263" s="533"/>
      <c r="W263" s="533"/>
      <c r="X263" s="533"/>
      <c r="Y263" s="533"/>
    </row>
    <row r="264" spans="1:25" s="531" customFormat="1" ht="19.5" customHeight="1">
      <c r="A264" s="532"/>
      <c r="B264" s="533"/>
      <c r="C264" s="533"/>
      <c r="D264" s="533"/>
      <c r="E264" s="533"/>
      <c r="F264" s="533"/>
      <c r="G264" s="533"/>
      <c r="H264" s="533"/>
      <c r="I264" s="533"/>
      <c r="J264" s="533"/>
      <c r="K264" s="533"/>
      <c r="L264" s="533"/>
      <c r="M264" s="533"/>
      <c r="N264" s="533"/>
      <c r="O264" s="533"/>
      <c r="P264" s="533"/>
      <c r="Q264" s="533"/>
      <c r="R264" s="533"/>
      <c r="S264" s="533"/>
      <c r="T264" s="533"/>
      <c r="U264" s="533"/>
      <c r="V264" s="533"/>
      <c r="W264" s="533"/>
      <c r="X264" s="533"/>
      <c r="Y264" s="533"/>
    </row>
    <row r="265" spans="1:25" s="531" customFormat="1" ht="19.5" customHeight="1">
      <c r="A265" s="532"/>
      <c r="B265" s="533"/>
      <c r="C265" s="533"/>
      <c r="D265" s="533"/>
      <c r="E265" s="533"/>
      <c r="F265" s="533"/>
      <c r="G265" s="533"/>
      <c r="H265" s="533"/>
      <c r="I265" s="533"/>
      <c r="J265" s="533"/>
      <c r="K265" s="533"/>
      <c r="L265" s="533"/>
      <c r="M265" s="533"/>
      <c r="N265" s="533"/>
      <c r="O265" s="533"/>
      <c r="P265" s="533"/>
      <c r="Q265" s="533"/>
      <c r="R265" s="533"/>
      <c r="S265" s="533"/>
      <c r="T265" s="533"/>
      <c r="U265" s="533"/>
      <c r="V265" s="533"/>
      <c r="W265" s="533"/>
      <c r="X265" s="533"/>
      <c r="Y265" s="533"/>
    </row>
    <row r="266" spans="1:25" s="531" customFormat="1" ht="19.5" customHeight="1">
      <c r="A266" s="532"/>
      <c r="B266" s="533"/>
      <c r="C266" s="533"/>
      <c r="D266" s="533"/>
      <c r="E266" s="533"/>
      <c r="F266" s="533"/>
      <c r="G266" s="533"/>
      <c r="H266" s="533"/>
      <c r="I266" s="533"/>
      <c r="J266" s="533"/>
      <c r="K266" s="533"/>
      <c r="L266" s="533"/>
      <c r="M266" s="533"/>
      <c r="N266" s="533"/>
      <c r="O266" s="533"/>
      <c r="P266" s="533"/>
      <c r="Q266" s="533"/>
      <c r="R266" s="533"/>
      <c r="S266" s="533"/>
      <c r="T266" s="533"/>
      <c r="U266" s="533"/>
      <c r="V266" s="533"/>
      <c r="W266" s="533"/>
      <c r="X266" s="533"/>
      <c r="Y266" s="533"/>
    </row>
    <row r="267" spans="1:25" s="531" customFormat="1" ht="19.5" customHeight="1">
      <c r="A267" s="532"/>
      <c r="B267" s="533"/>
      <c r="C267" s="533"/>
      <c r="D267" s="533"/>
      <c r="E267" s="533"/>
      <c r="F267" s="533"/>
      <c r="G267" s="533"/>
      <c r="H267" s="533"/>
      <c r="I267" s="533"/>
      <c r="J267" s="533"/>
      <c r="K267" s="533"/>
      <c r="L267" s="533"/>
      <c r="M267" s="533"/>
      <c r="N267" s="533"/>
      <c r="O267" s="533"/>
      <c r="P267" s="533"/>
      <c r="Q267" s="533"/>
      <c r="R267" s="533"/>
      <c r="S267" s="533"/>
      <c r="T267" s="533"/>
      <c r="U267" s="533"/>
      <c r="V267" s="533"/>
      <c r="W267" s="533"/>
      <c r="X267" s="533"/>
      <c r="Y267" s="533"/>
    </row>
    <row r="268" spans="1:25" s="531" customFormat="1" ht="19.5" customHeight="1">
      <c r="A268" s="532"/>
      <c r="B268" s="533"/>
      <c r="C268" s="533"/>
      <c r="D268" s="533"/>
      <c r="E268" s="533"/>
      <c r="F268" s="533"/>
      <c r="G268" s="533"/>
      <c r="H268" s="533"/>
      <c r="I268" s="533"/>
      <c r="J268" s="533"/>
      <c r="K268" s="533"/>
      <c r="L268" s="533"/>
      <c r="M268" s="533"/>
      <c r="N268" s="533"/>
      <c r="O268" s="533"/>
      <c r="P268" s="533"/>
      <c r="Q268" s="533"/>
      <c r="R268" s="533"/>
      <c r="S268" s="533"/>
      <c r="T268" s="533"/>
      <c r="U268" s="533"/>
      <c r="V268" s="533"/>
      <c r="W268" s="533"/>
      <c r="X268" s="533"/>
      <c r="Y268" s="533"/>
    </row>
    <row r="269" spans="1:25" s="531" customFormat="1" ht="19.5" customHeight="1">
      <c r="A269" s="532"/>
      <c r="B269" s="533"/>
      <c r="C269" s="533"/>
      <c r="D269" s="533"/>
      <c r="E269" s="533"/>
      <c r="F269" s="533"/>
      <c r="G269" s="533"/>
      <c r="H269" s="533"/>
      <c r="I269" s="533"/>
      <c r="J269" s="533"/>
      <c r="K269" s="533"/>
      <c r="L269" s="533"/>
      <c r="M269" s="533"/>
      <c r="N269" s="533"/>
      <c r="O269" s="533"/>
      <c r="P269" s="533"/>
      <c r="Q269" s="533"/>
      <c r="R269" s="533"/>
      <c r="S269" s="533"/>
      <c r="T269" s="533"/>
      <c r="U269" s="533"/>
      <c r="V269" s="533"/>
      <c r="W269" s="533"/>
      <c r="X269" s="533"/>
      <c r="Y269" s="533"/>
    </row>
    <row r="270" spans="1:25" s="531" customFormat="1" ht="19.5" customHeight="1">
      <c r="A270" s="532"/>
      <c r="B270" s="533"/>
      <c r="C270" s="533"/>
      <c r="D270" s="533"/>
      <c r="E270" s="533"/>
      <c r="F270" s="533"/>
      <c r="G270" s="533"/>
      <c r="H270" s="533"/>
      <c r="I270" s="533"/>
      <c r="J270" s="533"/>
      <c r="K270" s="533"/>
      <c r="L270" s="533"/>
      <c r="M270" s="533"/>
      <c r="N270" s="533"/>
      <c r="O270" s="533"/>
      <c r="P270" s="533"/>
      <c r="Q270" s="533"/>
      <c r="R270" s="533"/>
      <c r="S270" s="533"/>
      <c r="T270" s="533"/>
      <c r="U270" s="533"/>
      <c r="V270" s="533"/>
      <c r="W270" s="533"/>
      <c r="X270" s="533"/>
      <c r="Y270" s="533"/>
    </row>
    <row r="271" spans="1:25" s="531" customFormat="1" ht="19.5" customHeight="1">
      <c r="A271" s="532"/>
      <c r="B271" s="533"/>
      <c r="C271" s="533"/>
      <c r="D271" s="533"/>
      <c r="E271" s="533"/>
      <c r="F271" s="533"/>
      <c r="G271" s="533"/>
      <c r="H271" s="533"/>
      <c r="I271" s="533"/>
      <c r="J271" s="533"/>
      <c r="K271" s="533"/>
      <c r="L271" s="533"/>
      <c r="M271" s="533"/>
      <c r="N271" s="533"/>
      <c r="O271" s="533"/>
      <c r="P271" s="533"/>
      <c r="Q271" s="533"/>
      <c r="R271" s="533"/>
      <c r="S271" s="533"/>
      <c r="T271" s="533"/>
      <c r="U271" s="533"/>
      <c r="V271" s="533"/>
      <c r="W271" s="533"/>
      <c r="X271" s="533"/>
      <c r="Y271" s="533"/>
    </row>
    <row r="272" spans="1:25" s="531" customFormat="1" ht="19.5" customHeight="1">
      <c r="A272" s="532"/>
      <c r="B272" s="533"/>
      <c r="C272" s="533"/>
      <c r="D272" s="533"/>
      <c r="E272" s="533"/>
      <c r="F272" s="533"/>
      <c r="G272" s="533"/>
      <c r="H272" s="533"/>
      <c r="I272" s="533"/>
      <c r="J272" s="533"/>
      <c r="K272" s="533"/>
      <c r="L272" s="533"/>
      <c r="M272" s="533"/>
      <c r="N272" s="533"/>
      <c r="O272" s="533"/>
      <c r="P272" s="533"/>
      <c r="Q272" s="533"/>
      <c r="R272" s="533"/>
      <c r="S272" s="533"/>
      <c r="T272" s="533"/>
      <c r="U272" s="533"/>
      <c r="V272" s="533"/>
      <c r="W272" s="533"/>
      <c r="X272" s="533"/>
      <c r="Y272" s="533"/>
    </row>
    <row r="273" spans="1:25" s="531" customFormat="1" ht="19.5" customHeight="1">
      <c r="A273" s="532"/>
      <c r="B273" s="533"/>
      <c r="C273" s="533"/>
      <c r="D273" s="533"/>
      <c r="E273" s="533"/>
      <c r="F273" s="533"/>
      <c r="G273" s="533"/>
      <c r="H273" s="533"/>
      <c r="I273" s="533"/>
      <c r="J273" s="533"/>
      <c r="K273" s="533"/>
      <c r="L273" s="533"/>
      <c r="M273" s="533"/>
      <c r="N273" s="533"/>
      <c r="O273" s="533"/>
      <c r="P273" s="533"/>
      <c r="Q273" s="533"/>
      <c r="R273" s="533"/>
      <c r="S273" s="533"/>
      <c r="T273" s="533"/>
      <c r="U273" s="533"/>
      <c r="V273" s="533"/>
      <c r="W273" s="533"/>
      <c r="X273" s="533"/>
      <c r="Y273" s="533"/>
    </row>
    <row r="274" spans="1:25" s="531" customFormat="1" ht="19.5" customHeight="1">
      <c r="A274" s="532"/>
      <c r="B274" s="533"/>
      <c r="C274" s="533"/>
      <c r="D274" s="533"/>
      <c r="E274" s="533"/>
      <c r="F274" s="533"/>
      <c r="G274" s="533"/>
      <c r="H274" s="533"/>
      <c r="I274" s="533"/>
      <c r="J274" s="533"/>
      <c r="K274" s="533"/>
      <c r="L274" s="533"/>
      <c r="M274" s="533"/>
      <c r="N274" s="533"/>
      <c r="O274" s="533"/>
      <c r="P274" s="533"/>
      <c r="Q274" s="533"/>
      <c r="R274" s="533"/>
      <c r="S274" s="533"/>
      <c r="T274" s="533"/>
      <c r="U274" s="533"/>
      <c r="V274" s="533"/>
      <c r="W274" s="533"/>
      <c r="X274" s="533"/>
      <c r="Y274" s="533"/>
    </row>
    <row r="275" spans="1:25" s="531" customFormat="1" ht="19.5" customHeight="1">
      <c r="A275" s="532"/>
      <c r="B275" s="533"/>
      <c r="C275" s="533"/>
      <c r="D275" s="533"/>
      <c r="E275" s="533"/>
      <c r="F275" s="533"/>
      <c r="G275" s="533"/>
      <c r="H275" s="533"/>
      <c r="I275" s="533"/>
      <c r="J275" s="533"/>
      <c r="K275" s="533"/>
      <c r="L275" s="533"/>
      <c r="M275" s="533"/>
      <c r="N275" s="533"/>
      <c r="O275" s="533"/>
      <c r="P275" s="533"/>
      <c r="Q275" s="533"/>
      <c r="R275" s="533"/>
      <c r="S275" s="533"/>
      <c r="T275" s="533"/>
      <c r="U275" s="533"/>
      <c r="V275" s="533"/>
      <c r="W275" s="533"/>
      <c r="X275" s="533"/>
      <c r="Y275" s="533"/>
    </row>
    <row r="276" spans="1:25" s="531" customFormat="1" ht="19.5" customHeight="1">
      <c r="A276" s="532"/>
      <c r="B276" s="533"/>
      <c r="C276" s="533"/>
      <c r="D276" s="533"/>
      <c r="E276" s="533"/>
      <c r="F276" s="533"/>
      <c r="G276" s="533"/>
      <c r="H276" s="533"/>
      <c r="I276" s="533"/>
      <c r="J276" s="533"/>
      <c r="K276" s="533"/>
      <c r="L276" s="533"/>
      <c r="M276" s="533"/>
      <c r="N276" s="533"/>
      <c r="O276" s="533"/>
      <c r="P276" s="533"/>
      <c r="Q276" s="533"/>
      <c r="R276" s="533"/>
      <c r="S276" s="533"/>
      <c r="T276" s="533"/>
      <c r="U276" s="533"/>
      <c r="V276" s="533"/>
      <c r="W276" s="533"/>
      <c r="X276" s="533"/>
      <c r="Y276" s="533"/>
    </row>
    <row r="277" spans="1:25" s="531" customFormat="1" ht="19.5" customHeight="1">
      <c r="A277" s="532"/>
      <c r="B277" s="533"/>
      <c r="C277" s="533"/>
      <c r="D277" s="533"/>
      <c r="E277" s="533"/>
      <c r="F277" s="533"/>
      <c r="G277" s="533"/>
      <c r="H277" s="533"/>
      <c r="I277" s="533"/>
      <c r="J277" s="533"/>
      <c r="K277" s="533"/>
      <c r="L277" s="533"/>
      <c r="M277" s="533"/>
      <c r="N277" s="533"/>
      <c r="O277" s="533"/>
      <c r="P277" s="533"/>
      <c r="Q277" s="533"/>
      <c r="R277" s="533"/>
      <c r="S277" s="533"/>
      <c r="T277" s="533"/>
      <c r="U277" s="533"/>
      <c r="V277" s="533"/>
      <c r="W277" s="533"/>
      <c r="X277" s="533"/>
      <c r="Y277" s="533"/>
    </row>
    <row r="278" spans="1:25" s="531" customFormat="1" ht="19.5" customHeight="1">
      <c r="A278" s="532"/>
      <c r="B278" s="533"/>
      <c r="C278" s="533"/>
      <c r="D278" s="533"/>
      <c r="E278" s="533"/>
      <c r="F278" s="533"/>
      <c r="G278" s="533"/>
      <c r="H278" s="533"/>
      <c r="I278" s="533"/>
      <c r="J278" s="533"/>
      <c r="K278" s="533"/>
      <c r="L278" s="533"/>
      <c r="M278" s="533"/>
      <c r="N278" s="533"/>
      <c r="O278" s="533"/>
      <c r="P278" s="533"/>
      <c r="Q278" s="533"/>
      <c r="R278" s="533"/>
      <c r="S278" s="533"/>
      <c r="T278" s="533"/>
      <c r="U278" s="533"/>
      <c r="V278" s="533"/>
      <c r="W278" s="533"/>
      <c r="X278" s="533"/>
      <c r="Y278" s="533"/>
    </row>
    <row r="279" spans="1:25" s="531" customFormat="1" ht="19.5" customHeight="1">
      <c r="A279" s="532"/>
      <c r="B279" s="533"/>
      <c r="C279" s="533"/>
      <c r="D279" s="533"/>
      <c r="E279" s="533"/>
      <c r="F279" s="533"/>
      <c r="G279" s="533"/>
      <c r="H279" s="533"/>
      <c r="I279" s="533"/>
      <c r="J279" s="533"/>
      <c r="K279" s="533"/>
      <c r="L279" s="533"/>
      <c r="M279" s="533"/>
      <c r="N279" s="533"/>
      <c r="O279" s="533"/>
      <c r="P279" s="533"/>
      <c r="Q279" s="533"/>
      <c r="R279" s="533"/>
      <c r="S279" s="533"/>
      <c r="T279" s="533"/>
      <c r="U279" s="533"/>
      <c r="V279" s="533"/>
      <c r="W279" s="533"/>
      <c r="X279" s="533"/>
      <c r="Y279" s="533"/>
    </row>
    <row r="280" spans="1:25" s="531" customFormat="1" ht="19.5" customHeight="1">
      <c r="A280" s="532"/>
      <c r="B280" s="533"/>
      <c r="C280" s="533"/>
      <c r="D280" s="533"/>
      <c r="E280" s="533"/>
      <c r="F280" s="533"/>
      <c r="G280" s="533"/>
      <c r="H280" s="533"/>
      <c r="I280" s="533"/>
      <c r="J280" s="533"/>
      <c r="K280" s="533"/>
      <c r="L280" s="533"/>
      <c r="M280" s="533"/>
      <c r="N280" s="533"/>
      <c r="O280" s="533"/>
      <c r="P280" s="533"/>
      <c r="Q280" s="533"/>
      <c r="R280" s="533"/>
      <c r="S280" s="533"/>
      <c r="T280" s="533"/>
      <c r="U280" s="533"/>
      <c r="V280" s="533"/>
      <c r="W280" s="533"/>
      <c r="X280" s="533"/>
      <c r="Y280" s="533"/>
    </row>
    <row r="281" spans="1:25" s="531" customFormat="1" ht="19.5" customHeight="1">
      <c r="A281" s="532"/>
      <c r="B281" s="533"/>
      <c r="C281" s="533"/>
      <c r="D281" s="533"/>
      <c r="E281" s="533"/>
      <c r="F281" s="533"/>
      <c r="G281" s="533"/>
      <c r="H281" s="533"/>
      <c r="I281" s="533"/>
      <c r="J281" s="533"/>
      <c r="K281" s="533"/>
      <c r="L281" s="533"/>
      <c r="M281" s="533"/>
      <c r="N281" s="533"/>
      <c r="O281" s="533"/>
      <c r="P281" s="533"/>
      <c r="Q281" s="533"/>
      <c r="R281" s="533"/>
      <c r="S281" s="533"/>
      <c r="T281" s="533"/>
      <c r="U281" s="533"/>
      <c r="V281" s="533"/>
      <c r="W281" s="533"/>
      <c r="X281" s="533"/>
      <c r="Y281" s="533"/>
    </row>
    <row r="282" spans="1:25" s="531" customFormat="1" ht="19.5" customHeight="1">
      <c r="A282" s="532"/>
      <c r="B282" s="533"/>
      <c r="C282" s="533"/>
      <c r="D282" s="533"/>
      <c r="E282" s="533"/>
      <c r="F282" s="533"/>
      <c r="G282" s="533"/>
      <c r="H282" s="533"/>
      <c r="I282" s="533"/>
      <c r="J282" s="533"/>
      <c r="K282" s="533"/>
      <c r="L282" s="533"/>
      <c r="M282" s="533"/>
      <c r="N282" s="533"/>
      <c r="O282" s="533"/>
      <c r="P282" s="533"/>
      <c r="Q282" s="533"/>
      <c r="R282" s="533"/>
      <c r="S282" s="533"/>
      <c r="T282" s="533"/>
      <c r="U282" s="533"/>
      <c r="V282" s="533"/>
      <c r="W282" s="533"/>
      <c r="X282" s="533"/>
      <c r="Y282" s="533"/>
    </row>
    <row r="283" spans="1:25" s="531" customFormat="1" ht="19.5" customHeight="1">
      <c r="A283" s="532"/>
      <c r="B283" s="533"/>
      <c r="C283" s="533"/>
      <c r="D283" s="533"/>
      <c r="E283" s="533"/>
      <c r="F283" s="533"/>
      <c r="G283" s="533"/>
      <c r="H283" s="533"/>
      <c r="I283" s="533"/>
      <c r="J283" s="533"/>
      <c r="K283" s="533"/>
      <c r="L283" s="533"/>
      <c r="M283" s="533"/>
      <c r="N283" s="533"/>
      <c r="O283" s="533"/>
      <c r="P283" s="533"/>
      <c r="Q283" s="533"/>
      <c r="R283" s="533"/>
      <c r="S283" s="533"/>
      <c r="T283" s="533"/>
      <c r="U283" s="533"/>
      <c r="V283" s="533"/>
      <c r="W283" s="533"/>
      <c r="X283" s="533"/>
      <c r="Y283" s="533"/>
    </row>
    <row r="284" spans="1:25" s="531" customFormat="1" ht="19.5" customHeight="1">
      <c r="A284" s="532"/>
      <c r="B284" s="533"/>
      <c r="C284" s="533"/>
      <c r="D284" s="533"/>
      <c r="E284" s="533"/>
      <c r="F284" s="533"/>
      <c r="G284" s="533"/>
      <c r="H284" s="533"/>
      <c r="I284" s="533"/>
      <c r="J284" s="533"/>
      <c r="K284" s="533"/>
      <c r="L284" s="533"/>
      <c r="M284" s="533"/>
      <c r="N284" s="533"/>
      <c r="O284" s="533"/>
      <c r="P284" s="533"/>
      <c r="Q284" s="533"/>
      <c r="R284" s="533"/>
      <c r="S284" s="533"/>
      <c r="T284" s="533"/>
      <c r="U284" s="533"/>
      <c r="V284" s="533"/>
      <c r="W284" s="533"/>
      <c r="X284" s="533"/>
      <c r="Y284" s="533"/>
    </row>
    <row r="285" spans="1:25" s="531" customFormat="1" ht="19.5" customHeight="1">
      <c r="A285" s="532"/>
      <c r="B285" s="533"/>
      <c r="C285" s="533"/>
      <c r="D285" s="533"/>
      <c r="E285" s="533"/>
      <c r="F285" s="533"/>
      <c r="G285" s="533"/>
      <c r="H285" s="533"/>
      <c r="I285" s="533"/>
      <c r="J285" s="533"/>
      <c r="K285" s="533"/>
      <c r="L285" s="533"/>
      <c r="M285" s="533"/>
      <c r="N285" s="533"/>
      <c r="O285" s="533"/>
      <c r="P285" s="533"/>
      <c r="Q285" s="533"/>
      <c r="R285" s="533"/>
      <c r="S285" s="533"/>
      <c r="T285" s="533"/>
      <c r="U285" s="533"/>
      <c r="V285" s="533"/>
      <c r="W285" s="533"/>
      <c r="X285" s="533"/>
      <c r="Y285" s="533"/>
    </row>
    <row r="286" spans="1:25" s="531" customFormat="1" ht="19.5" customHeight="1">
      <c r="A286" s="532"/>
      <c r="B286" s="533"/>
      <c r="C286" s="533"/>
      <c r="D286" s="533"/>
      <c r="E286" s="533"/>
      <c r="F286" s="533"/>
      <c r="G286" s="533"/>
      <c r="H286" s="533"/>
      <c r="I286" s="533"/>
      <c r="J286" s="533"/>
      <c r="K286" s="533"/>
      <c r="L286" s="533"/>
      <c r="M286" s="533"/>
      <c r="N286" s="533"/>
      <c r="O286" s="533"/>
      <c r="P286" s="533"/>
      <c r="Q286" s="533"/>
      <c r="R286" s="533"/>
      <c r="S286" s="533"/>
      <c r="T286" s="533"/>
      <c r="U286" s="533"/>
      <c r="V286" s="533"/>
      <c r="W286" s="533"/>
      <c r="X286" s="533"/>
      <c r="Y286" s="533"/>
    </row>
    <row r="287" ht="19.5" customHeight="1"/>
    <row r="288" ht="9.75" customHeight="1"/>
    <row r="289" ht="19.5" customHeight="1"/>
    <row r="290" ht="19.5" customHeight="1"/>
    <row r="291" ht="19.5" customHeight="1"/>
    <row r="292" spans="1:25" s="531" customFormat="1" ht="19.5" customHeight="1">
      <c r="A292" s="532"/>
      <c r="B292" s="533"/>
      <c r="C292" s="533"/>
      <c r="D292" s="533"/>
      <c r="E292" s="533"/>
      <c r="F292" s="533"/>
      <c r="G292" s="533"/>
      <c r="H292" s="533"/>
      <c r="I292" s="533"/>
      <c r="J292" s="533"/>
      <c r="K292" s="533"/>
      <c r="L292" s="533"/>
      <c r="M292" s="533"/>
      <c r="N292" s="533"/>
      <c r="O292" s="533"/>
      <c r="P292" s="533"/>
      <c r="Q292" s="533"/>
      <c r="R292" s="533"/>
      <c r="S292" s="533"/>
      <c r="T292" s="533"/>
      <c r="U292" s="533"/>
      <c r="V292" s="533"/>
      <c r="W292" s="533"/>
      <c r="X292" s="533"/>
      <c r="Y292" s="533"/>
    </row>
    <row r="293" spans="1:25" s="531" customFormat="1" ht="19.5" customHeight="1">
      <c r="A293" s="532"/>
      <c r="B293" s="533"/>
      <c r="C293" s="533"/>
      <c r="D293" s="533"/>
      <c r="E293" s="533"/>
      <c r="F293" s="533"/>
      <c r="G293" s="533"/>
      <c r="H293" s="533"/>
      <c r="I293" s="533"/>
      <c r="J293" s="533"/>
      <c r="K293" s="533"/>
      <c r="L293" s="533"/>
      <c r="M293" s="533"/>
      <c r="N293" s="533"/>
      <c r="O293" s="533"/>
      <c r="P293" s="533"/>
      <c r="Q293" s="533"/>
      <c r="R293" s="533"/>
      <c r="S293" s="533"/>
      <c r="T293" s="533"/>
      <c r="U293" s="533"/>
      <c r="V293" s="533"/>
      <c r="W293" s="533"/>
      <c r="X293" s="533"/>
      <c r="Y293" s="533"/>
    </row>
    <row r="294" spans="1:25" s="531" customFormat="1" ht="19.5" customHeight="1">
      <c r="A294" s="532"/>
      <c r="B294" s="533"/>
      <c r="C294" s="533"/>
      <c r="D294" s="533"/>
      <c r="E294" s="533"/>
      <c r="F294" s="533"/>
      <c r="G294" s="533"/>
      <c r="H294" s="533"/>
      <c r="I294" s="533"/>
      <c r="J294" s="533"/>
      <c r="K294" s="533"/>
      <c r="L294" s="533"/>
      <c r="M294" s="533"/>
      <c r="N294" s="533"/>
      <c r="O294" s="533"/>
      <c r="P294" s="533"/>
      <c r="Q294" s="533"/>
      <c r="R294" s="533"/>
      <c r="S294" s="533"/>
      <c r="T294" s="533"/>
      <c r="U294" s="533"/>
      <c r="V294" s="533"/>
      <c r="W294" s="533"/>
      <c r="X294" s="533"/>
      <c r="Y294" s="533"/>
    </row>
    <row r="295" spans="1:25" s="531" customFormat="1" ht="19.5" customHeight="1">
      <c r="A295" s="532"/>
      <c r="B295" s="533"/>
      <c r="C295" s="533"/>
      <c r="D295" s="533"/>
      <c r="E295" s="533"/>
      <c r="F295" s="533"/>
      <c r="G295" s="533"/>
      <c r="H295" s="533"/>
      <c r="I295" s="533"/>
      <c r="J295" s="533"/>
      <c r="K295" s="533"/>
      <c r="L295" s="533"/>
      <c r="M295" s="533"/>
      <c r="N295" s="533"/>
      <c r="O295" s="533"/>
      <c r="P295" s="533"/>
      <c r="Q295" s="533"/>
      <c r="R295" s="533"/>
      <c r="S295" s="533"/>
      <c r="T295" s="533"/>
      <c r="U295" s="533"/>
      <c r="V295" s="533"/>
      <c r="W295" s="533"/>
      <c r="X295" s="533"/>
      <c r="Y295" s="533"/>
    </row>
    <row r="296" spans="1:25" s="531" customFormat="1" ht="19.5" customHeight="1">
      <c r="A296" s="532"/>
      <c r="B296" s="533"/>
      <c r="C296" s="533"/>
      <c r="D296" s="533"/>
      <c r="E296" s="533"/>
      <c r="F296" s="533"/>
      <c r="G296" s="533"/>
      <c r="H296" s="533"/>
      <c r="I296" s="533"/>
      <c r="J296" s="533"/>
      <c r="K296" s="533"/>
      <c r="L296" s="533"/>
      <c r="M296" s="533"/>
      <c r="N296" s="533"/>
      <c r="O296" s="533"/>
      <c r="P296" s="533"/>
      <c r="Q296" s="533"/>
      <c r="R296" s="533"/>
      <c r="S296" s="533"/>
      <c r="T296" s="533"/>
      <c r="U296" s="533"/>
      <c r="V296" s="533"/>
      <c r="W296" s="533"/>
      <c r="X296" s="533"/>
      <c r="Y296" s="533"/>
    </row>
    <row r="297" spans="1:25" s="531" customFormat="1" ht="19.5" customHeight="1">
      <c r="A297" s="532"/>
      <c r="B297" s="533"/>
      <c r="C297" s="533"/>
      <c r="D297" s="533"/>
      <c r="E297" s="533"/>
      <c r="F297" s="533"/>
      <c r="G297" s="533"/>
      <c r="H297" s="533"/>
      <c r="I297" s="533"/>
      <c r="J297" s="533"/>
      <c r="K297" s="533"/>
      <c r="L297" s="533"/>
      <c r="M297" s="533"/>
      <c r="N297" s="533"/>
      <c r="O297" s="533"/>
      <c r="P297" s="533"/>
      <c r="Q297" s="533"/>
      <c r="R297" s="533"/>
      <c r="S297" s="533"/>
      <c r="T297" s="533"/>
      <c r="U297" s="533"/>
      <c r="V297" s="533"/>
      <c r="W297" s="533"/>
      <c r="X297" s="533"/>
      <c r="Y297" s="533"/>
    </row>
    <row r="298" spans="1:25" s="531" customFormat="1" ht="19.5" customHeight="1">
      <c r="A298" s="532"/>
      <c r="B298" s="533"/>
      <c r="C298" s="533"/>
      <c r="D298" s="533"/>
      <c r="E298" s="533"/>
      <c r="F298" s="533"/>
      <c r="G298" s="533"/>
      <c r="H298" s="533"/>
      <c r="I298" s="533"/>
      <c r="J298" s="533"/>
      <c r="K298" s="533"/>
      <c r="L298" s="533"/>
      <c r="M298" s="533"/>
      <c r="N298" s="533"/>
      <c r="O298" s="533"/>
      <c r="P298" s="533"/>
      <c r="Q298" s="533"/>
      <c r="R298" s="533"/>
      <c r="S298" s="533"/>
      <c r="T298" s="533"/>
      <c r="U298" s="533"/>
      <c r="V298" s="533"/>
      <c r="W298" s="533"/>
      <c r="X298" s="533"/>
      <c r="Y298" s="533"/>
    </row>
    <row r="299" spans="1:25" s="531" customFormat="1" ht="19.5" customHeight="1">
      <c r="A299" s="532"/>
      <c r="B299" s="533"/>
      <c r="C299" s="533"/>
      <c r="D299" s="533"/>
      <c r="E299" s="533"/>
      <c r="F299" s="533"/>
      <c r="G299" s="533"/>
      <c r="H299" s="533"/>
      <c r="I299" s="533"/>
      <c r="J299" s="533"/>
      <c r="K299" s="533"/>
      <c r="L299" s="533"/>
      <c r="M299" s="533"/>
      <c r="N299" s="533"/>
      <c r="O299" s="533"/>
      <c r="P299" s="533"/>
      <c r="Q299" s="533"/>
      <c r="R299" s="533"/>
      <c r="S299" s="533"/>
      <c r="T299" s="533"/>
      <c r="U299" s="533"/>
      <c r="V299" s="533"/>
      <c r="W299" s="533"/>
      <c r="X299" s="533"/>
      <c r="Y299" s="533"/>
    </row>
    <row r="300" spans="1:25" s="531" customFormat="1" ht="19.5" customHeight="1">
      <c r="A300" s="532"/>
      <c r="B300" s="533"/>
      <c r="C300" s="533"/>
      <c r="D300" s="533"/>
      <c r="E300" s="533"/>
      <c r="F300" s="533"/>
      <c r="G300" s="533"/>
      <c r="H300" s="533"/>
      <c r="I300" s="533"/>
      <c r="J300" s="533"/>
      <c r="K300" s="533"/>
      <c r="L300" s="533"/>
      <c r="M300" s="533"/>
      <c r="N300" s="533"/>
      <c r="O300" s="533"/>
      <c r="P300" s="533"/>
      <c r="Q300" s="533"/>
      <c r="R300" s="533"/>
      <c r="S300" s="533"/>
      <c r="T300" s="533"/>
      <c r="U300" s="533"/>
      <c r="V300" s="533"/>
      <c r="W300" s="533"/>
      <c r="X300" s="533"/>
      <c r="Y300" s="533"/>
    </row>
    <row r="301" spans="1:25" s="531" customFormat="1" ht="19.5" customHeight="1">
      <c r="A301" s="532"/>
      <c r="B301" s="533"/>
      <c r="C301" s="533"/>
      <c r="D301" s="533"/>
      <c r="E301" s="533"/>
      <c r="F301" s="533"/>
      <c r="G301" s="533"/>
      <c r="H301" s="533"/>
      <c r="I301" s="533"/>
      <c r="J301" s="533"/>
      <c r="K301" s="533"/>
      <c r="L301" s="533"/>
      <c r="M301" s="533"/>
      <c r="N301" s="533"/>
      <c r="O301" s="533"/>
      <c r="P301" s="533"/>
      <c r="Q301" s="533"/>
      <c r="R301" s="533"/>
      <c r="S301" s="533"/>
      <c r="T301" s="533"/>
      <c r="U301" s="533"/>
      <c r="V301" s="533"/>
      <c r="W301" s="533"/>
      <c r="X301" s="533"/>
      <c r="Y301" s="533"/>
    </row>
    <row r="302" spans="1:25" s="531" customFormat="1" ht="19.5" customHeight="1">
      <c r="A302" s="532"/>
      <c r="B302" s="533"/>
      <c r="C302" s="533"/>
      <c r="D302" s="533"/>
      <c r="E302" s="533"/>
      <c r="F302" s="533"/>
      <c r="G302" s="533"/>
      <c r="H302" s="533"/>
      <c r="I302" s="533"/>
      <c r="J302" s="533"/>
      <c r="K302" s="533"/>
      <c r="L302" s="533"/>
      <c r="M302" s="533"/>
      <c r="N302" s="533"/>
      <c r="O302" s="533"/>
      <c r="P302" s="533"/>
      <c r="Q302" s="533"/>
      <c r="R302" s="533"/>
      <c r="S302" s="533"/>
      <c r="T302" s="533"/>
      <c r="U302" s="533"/>
      <c r="V302" s="533"/>
      <c r="W302" s="533"/>
      <c r="X302" s="533"/>
      <c r="Y302" s="533"/>
    </row>
    <row r="303" spans="1:25" s="531" customFormat="1" ht="19.5" customHeight="1">
      <c r="A303" s="532"/>
      <c r="B303" s="533"/>
      <c r="C303" s="533"/>
      <c r="D303" s="533"/>
      <c r="E303" s="533"/>
      <c r="F303" s="533"/>
      <c r="G303" s="533"/>
      <c r="H303" s="533"/>
      <c r="I303" s="533"/>
      <c r="J303" s="533"/>
      <c r="K303" s="533"/>
      <c r="L303" s="533"/>
      <c r="M303" s="533"/>
      <c r="N303" s="533"/>
      <c r="O303" s="533"/>
      <c r="P303" s="533"/>
      <c r="Q303" s="533"/>
      <c r="R303" s="533"/>
      <c r="S303" s="533"/>
      <c r="T303" s="533"/>
      <c r="U303" s="533"/>
      <c r="V303" s="533"/>
      <c r="W303" s="533"/>
      <c r="X303" s="533"/>
      <c r="Y303" s="533"/>
    </row>
    <row r="304" spans="1:25" s="531" customFormat="1" ht="19.5" customHeight="1">
      <c r="A304" s="532"/>
      <c r="B304" s="533"/>
      <c r="C304" s="533"/>
      <c r="D304" s="533"/>
      <c r="E304" s="533"/>
      <c r="F304" s="533"/>
      <c r="G304" s="533"/>
      <c r="H304" s="533"/>
      <c r="I304" s="533"/>
      <c r="J304" s="533"/>
      <c r="K304" s="533"/>
      <c r="L304" s="533"/>
      <c r="M304" s="533"/>
      <c r="N304" s="533"/>
      <c r="O304" s="533"/>
      <c r="P304" s="533"/>
      <c r="Q304" s="533"/>
      <c r="R304" s="533"/>
      <c r="S304" s="533"/>
      <c r="T304" s="533"/>
      <c r="U304" s="533"/>
      <c r="V304" s="533"/>
      <c r="W304" s="533"/>
      <c r="X304" s="533"/>
      <c r="Y304" s="533"/>
    </row>
    <row r="305" spans="1:25" s="531" customFormat="1" ht="19.5" customHeight="1">
      <c r="A305" s="532"/>
      <c r="B305" s="533"/>
      <c r="C305" s="533"/>
      <c r="D305" s="533"/>
      <c r="E305" s="533"/>
      <c r="F305" s="533"/>
      <c r="G305" s="533"/>
      <c r="H305" s="533"/>
      <c r="I305" s="533"/>
      <c r="J305" s="533"/>
      <c r="K305" s="533"/>
      <c r="L305" s="533"/>
      <c r="M305" s="533"/>
      <c r="N305" s="533"/>
      <c r="O305" s="533"/>
      <c r="P305" s="533"/>
      <c r="Q305" s="533"/>
      <c r="R305" s="533"/>
      <c r="S305" s="533"/>
      <c r="T305" s="533"/>
      <c r="U305" s="533"/>
      <c r="V305" s="533"/>
      <c r="W305" s="533"/>
      <c r="X305" s="533"/>
      <c r="Y305" s="533"/>
    </row>
    <row r="306" spans="1:25" s="531" customFormat="1" ht="19.5" customHeight="1">
      <c r="A306" s="532"/>
      <c r="B306" s="533"/>
      <c r="C306" s="533"/>
      <c r="D306" s="533"/>
      <c r="E306" s="533"/>
      <c r="F306" s="533"/>
      <c r="G306" s="533"/>
      <c r="H306" s="533"/>
      <c r="I306" s="533"/>
      <c r="J306" s="533"/>
      <c r="K306" s="533"/>
      <c r="L306" s="533"/>
      <c r="M306" s="533"/>
      <c r="N306" s="533"/>
      <c r="O306" s="533"/>
      <c r="P306" s="533"/>
      <c r="Q306" s="533"/>
      <c r="R306" s="533"/>
      <c r="S306" s="533"/>
      <c r="T306" s="533"/>
      <c r="U306" s="533"/>
      <c r="V306" s="533"/>
      <c r="W306" s="533"/>
      <c r="X306" s="533"/>
      <c r="Y306" s="533"/>
    </row>
    <row r="307" spans="1:25" s="531" customFormat="1" ht="19.5" customHeight="1">
      <c r="A307" s="532"/>
      <c r="B307" s="533"/>
      <c r="C307" s="533"/>
      <c r="D307" s="533"/>
      <c r="E307" s="533"/>
      <c r="F307" s="533"/>
      <c r="G307" s="533"/>
      <c r="H307" s="533"/>
      <c r="I307" s="533"/>
      <c r="J307" s="533"/>
      <c r="K307" s="533"/>
      <c r="L307" s="533"/>
      <c r="M307" s="533"/>
      <c r="N307" s="533"/>
      <c r="O307" s="533"/>
      <c r="P307" s="533"/>
      <c r="Q307" s="533"/>
      <c r="R307" s="533"/>
      <c r="S307" s="533"/>
      <c r="T307" s="533"/>
      <c r="U307" s="533"/>
      <c r="V307" s="533"/>
      <c r="W307" s="533"/>
      <c r="X307" s="533"/>
      <c r="Y307" s="533"/>
    </row>
    <row r="308" spans="1:25" s="531" customFormat="1" ht="19.5" customHeight="1">
      <c r="A308" s="532"/>
      <c r="B308" s="533"/>
      <c r="C308" s="533"/>
      <c r="D308" s="533"/>
      <c r="E308" s="533"/>
      <c r="F308" s="533"/>
      <c r="G308" s="533"/>
      <c r="H308" s="533"/>
      <c r="I308" s="533"/>
      <c r="J308" s="533"/>
      <c r="K308" s="533"/>
      <c r="L308" s="533"/>
      <c r="M308" s="533"/>
      <c r="N308" s="533"/>
      <c r="O308" s="533"/>
      <c r="P308" s="533"/>
      <c r="Q308" s="533"/>
      <c r="R308" s="533"/>
      <c r="S308" s="533"/>
      <c r="T308" s="533"/>
      <c r="U308" s="533"/>
      <c r="V308" s="533"/>
      <c r="W308" s="533"/>
      <c r="X308" s="533"/>
      <c r="Y308" s="533"/>
    </row>
    <row r="309" spans="1:25" s="531" customFormat="1" ht="19.5" customHeight="1">
      <c r="A309" s="532"/>
      <c r="B309" s="533"/>
      <c r="C309" s="533"/>
      <c r="D309" s="533"/>
      <c r="E309" s="533"/>
      <c r="F309" s="533"/>
      <c r="G309" s="533"/>
      <c r="H309" s="533"/>
      <c r="I309" s="533"/>
      <c r="J309" s="533"/>
      <c r="K309" s="533"/>
      <c r="L309" s="533"/>
      <c r="M309" s="533"/>
      <c r="N309" s="533"/>
      <c r="O309" s="533"/>
      <c r="P309" s="533"/>
      <c r="Q309" s="533"/>
      <c r="R309" s="533"/>
      <c r="S309" s="533"/>
      <c r="T309" s="533"/>
      <c r="U309" s="533"/>
      <c r="V309" s="533"/>
      <c r="W309" s="533"/>
      <c r="X309" s="533"/>
      <c r="Y309" s="533"/>
    </row>
    <row r="310" spans="1:25" s="531" customFormat="1" ht="19.5" customHeight="1">
      <c r="A310" s="532"/>
      <c r="B310" s="533"/>
      <c r="C310" s="533"/>
      <c r="D310" s="533"/>
      <c r="E310" s="533"/>
      <c r="F310" s="533"/>
      <c r="G310" s="533"/>
      <c r="H310" s="533"/>
      <c r="I310" s="533"/>
      <c r="J310" s="533"/>
      <c r="K310" s="533"/>
      <c r="L310" s="533"/>
      <c r="M310" s="533"/>
      <c r="N310" s="533"/>
      <c r="O310" s="533"/>
      <c r="P310" s="533"/>
      <c r="Q310" s="533"/>
      <c r="R310" s="533"/>
      <c r="S310" s="533"/>
      <c r="T310" s="533"/>
      <c r="U310" s="533"/>
      <c r="V310" s="533"/>
      <c r="W310" s="533"/>
      <c r="X310" s="533"/>
      <c r="Y310" s="533"/>
    </row>
    <row r="311" spans="1:25" s="531" customFormat="1" ht="19.5" customHeight="1">
      <c r="A311" s="532"/>
      <c r="B311" s="533"/>
      <c r="C311" s="533"/>
      <c r="D311" s="533"/>
      <c r="E311" s="533"/>
      <c r="F311" s="533"/>
      <c r="G311" s="533"/>
      <c r="H311" s="533"/>
      <c r="I311" s="533"/>
      <c r="J311" s="533"/>
      <c r="K311" s="533"/>
      <c r="L311" s="533"/>
      <c r="M311" s="533"/>
      <c r="N311" s="533"/>
      <c r="O311" s="533"/>
      <c r="P311" s="533"/>
      <c r="Q311" s="533"/>
      <c r="R311" s="533"/>
      <c r="S311" s="533"/>
      <c r="T311" s="533"/>
      <c r="U311" s="533"/>
      <c r="V311" s="533"/>
      <c r="W311" s="533"/>
      <c r="X311" s="533"/>
      <c r="Y311" s="533"/>
    </row>
    <row r="312" spans="1:25" s="531" customFormat="1" ht="19.5" customHeight="1">
      <c r="A312" s="532"/>
      <c r="B312" s="533"/>
      <c r="C312" s="533"/>
      <c r="D312" s="533"/>
      <c r="E312" s="533"/>
      <c r="F312" s="533"/>
      <c r="G312" s="533"/>
      <c r="H312" s="533"/>
      <c r="I312" s="533"/>
      <c r="J312" s="533"/>
      <c r="K312" s="533"/>
      <c r="L312" s="533"/>
      <c r="M312" s="533"/>
      <c r="N312" s="533"/>
      <c r="O312" s="533"/>
      <c r="P312" s="533"/>
      <c r="Q312" s="533"/>
      <c r="R312" s="533"/>
      <c r="S312" s="533"/>
      <c r="T312" s="533"/>
      <c r="U312" s="533"/>
      <c r="V312" s="533"/>
      <c r="W312" s="533"/>
      <c r="X312" s="533"/>
      <c r="Y312" s="533"/>
    </row>
    <row r="313" spans="1:25" s="531" customFormat="1" ht="19.5" customHeight="1">
      <c r="A313" s="532"/>
      <c r="B313" s="533"/>
      <c r="C313" s="533"/>
      <c r="D313" s="533"/>
      <c r="E313" s="533"/>
      <c r="F313" s="533"/>
      <c r="G313" s="533"/>
      <c r="H313" s="533"/>
      <c r="I313" s="533"/>
      <c r="J313" s="533"/>
      <c r="K313" s="533"/>
      <c r="L313" s="533"/>
      <c r="M313" s="533"/>
      <c r="N313" s="533"/>
      <c r="O313" s="533"/>
      <c r="P313" s="533"/>
      <c r="Q313" s="533"/>
      <c r="R313" s="533"/>
      <c r="S313" s="533"/>
      <c r="T313" s="533"/>
      <c r="U313" s="533"/>
      <c r="V313" s="533"/>
      <c r="W313" s="533"/>
      <c r="X313" s="533"/>
      <c r="Y313" s="533"/>
    </row>
    <row r="314" spans="1:25" s="531" customFormat="1" ht="19.5" customHeight="1">
      <c r="A314" s="532"/>
      <c r="B314" s="533"/>
      <c r="C314" s="533"/>
      <c r="D314" s="533"/>
      <c r="E314" s="533"/>
      <c r="F314" s="533"/>
      <c r="G314" s="533"/>
      <c r="H314" s="533"/>
      <c r="I314" s="533"/>
      <c r="J314" s="533"/>
      <c r="K314" s="533"/>
      <c r="L314" s="533"/>
      <c r="M314" s="533"/>
      <c r="N314" s="533"/>
      <c r="O314" s="533"/>
      <c r="P314" s="533"/>
      <c r="Q314" s="533"/>
      <c r="R314" s="533"/>
      <c r="S314" s="533"/>
      <c r="T314" s="533"/>
      <c r="U314" s="533"/>
      <c r="V314" s="533"/>
      <c r="W314" s="533"/>
      <c r="X314" s="533"/>
      <c r="Y314" s="533"/>
    </row>
    <row r="315" spans="1:25" s="531" customFormat="1" ht="19.5" customHeight="1">
      <c r="A315" s="532"/>
      <c r="B315" s="533"/>
      <c r="C315" s="533"/>
      <c r="D315" s="533"/>
      <c r="E315" s="533"/>
      <c r="F315" s="533"/>
      <c r="G315" s="533"/>
      <c r="H315" s="533"/>
      <c r="I315" s="533"/>
      <c r="J315" s="533"/>
      <c r="K315" s="533"/>
      <c r="L315" s="533"/>
      <c r="M315" s="533"/>
      <c r="N315" s="533"/>
      <c r="O315" s="533"/>
      <c r="P315" s="533"/>
      <c r="Q315" s="533"/>
      <c r="R315" s="533"/>
      <c r="S315" s="533"/>
      <c r="T315" s="533"/>
      <c r="U315" s="533"/>
      <c r="V315" s="533"/>
      <c r="W315" s="533"/>
      <c r="X315" s="533"/>
      <c r="Y315" s="533"/>
    </row>
    <row r="316" spans="1:25" s="531" customFormat="1" ht="19.5" customHeight="1">
      <c r="A316" s="532"/>
      <c r="B316" s="533"/>
      <c r="C316" s="533"/>
      <c r="D316" s="533"/>
      <c r="E316" s="533"/>
      <c r="F316" s="533"/>
      <c r="G316" s="533"/>
      <c r="H316" s="533"/>
      <c r="I316" s="533"/>
      <c r="J316" s="533"/>
      <c r="K316" s="533"/>
      <c r="L316" s="533"/>
      <c r="M316" s="533"/>
      <c r="N316" s="533"/>
      <c r="O316" s="533"/>
      <c r="P316" s="533"/>
      <c r="Q316" s="533"/>
      <c r="R316" s="533"/>
      <c r="S316" s="533"/>
      <c r="T316" s="533"/>
      <c r="U316" s="533"/>
      <c r="V316" s="533"/>
      <c r="W316" s="533"/>
      <c r="X316" s="533"/>
      <c r="Y316" s="533"/>
    </row>
    <row r="317" spans="1:25" s="531" customFormat="1" ht="19.5" customHeight="1">
      <c r="A317" s="532"/>
      <c r="B317" s="533"/>
      <c r="C317" s="533"/>
      <c r="D317" s="533"/>
      <c r="E317" s="533"/>
      <c r="F317" s="533"/>
      <c r="G317" s="533"/>
      <c r="H317" s="533"/>
      <c r="I317" s="533"/>
      <c r="J317" s="533"/>
      <c r="K317" s="533"/>
      <c r="L317" s="533"/>
      <c r="M317" s="533"/>
      <c r="N317" s="533"/>
      <c r="O317" s="533"/>
      <c r="P317" s="533"/>
      <c r="Q317" s="533"/>
      <c r="R317" s="533"/>
      <c r="S317" s="533"/>
      <c r="T317" s="533"/>
      <c r="U317" s="533"/>
      <c r="V317" s="533"/>
      <c r="W317" s="533"/>
      <c r="X317" s="533"/>
      <c r="Y317" s="533"/>
    </row>
    <row r="318" spans="1:25" s="531" customFormat="1" ht="19.5" customHeight="1">
      <c r="A318" s="532"/>
      <c r="B318" s="533"/>
      <c r="C318" s="533"/>
      <c r="D318" s="533"/>
      <c r="E318" s="533"/>
      <c r="F318" s="533"/>
      <c r="G318" s="533"/>
      <c r="H318" s="533"/>
      <c r="I318" s="533"/>
      <c r="J318" s="533"/>
      <c r="K318" s="533"/>
      <c r="L318" s="533"/>
      <c r="M318" s="533"/>
      <c r="N318" s="533"/>
      <c r="O318" s="533"/>
      <c r="P318" s="533"/>
      <c r="Q318" s="533"/>
      <c r="R318" s="533"/>
      <c r="S318" s="533"/>
      <c r="T318" s="533"/>
      <c r="U318" s="533"/>
      <c r="V318" s="533"/>
      <c r="W318" s="533"/>
      <c r="X318" s="533"/>
      <c r="Y318" s="533"/>
    </row>
    <row r="319" spans="1:25" s="531" customFormat="1" ht="19.5" customHeight="1">
      <c r="A319" s="532"/>
      <c r="B319" s="533"/>
      <c r="C319" s="533"/>
      <c r="D319" s="533"/>
      <c r="E319" s="533"/>
      <c r="F319" s="533"/>
      <c r="G319" s="533"/>
      <c r="H319" s="533"/>
      <c r="I319" s="533"/>
      <c r="J319" s="533"/>
      <c r="K319" s="533"/>
      <c r="L319" s="533"/>
      <c r="M319" s="533"/>
      <c r="N319" s="533"/>
      <c r="O319" s="533"/>
      <c r="P319" s="533"/>
      <c r="Q319" s="533"/>
      <c r="R319" s="533"/>
      <c r="S319" s="533"/>
      <c r="T319" s="533"/>
      <c r="U319" s="533"/>
      <c r="V319" s="533"/>
      <c r="W319" s="533"/>
      <c r="X319" s="533"/>
      <c r="Y319" s="533"/>
    </row>
    <row r="320" spans="1:25" s="531" customFormat="1" ht="19.5" customHeight="1">
      <c r="A320" s="532"/>
      <c r="B320" s="533"/>
      <c r="C320" s="533"/>
      <c r="D320" s="533"/>
      <c r="E320" s="533"/>
      <c r="F320" s="533"/>
      <c r="G320" s="533"/>
      <c r="H320" s="533"/>
      <c r="I320" s="533"/>
      <c r="J320" s="533"/>
      <c r="K320" s="533"/>
      <c r="L320" s="533"/>
      <c r="M320" s="533"/>
      <c r="N320" s="533"/>
      <c r="O320" s="533"/>
      <c r="P320" s="533"/>
      <c r="Q320" s="533"/>
      <c r="R320" s="533"/>
      <c r="S320" s="533"/>
      <c r="T320" s="533"/>
      <c r="U320" s="533"/>
      <c r="V320" s="533"/>
      <c r="W320" s="533"/>
      <c r="X320" s="533"/>
      <c r="Y320" s="533"/>
    </row>
    <row r="321" spans="1:25" s="531" customFormat="1" ht="19.5" customHeight="1">
      <c r="A321" s="532"/>
      <c r="B321" s="533"/>
      <c r="C321" s="533"/>
      <c r="D321" s="533"/>
      <c r="E321" s="533"/>
      <c r="F321" s="533"/>
      <c r="G321" s="533"/>
      <c r="H321" s="533"/>
      <c r="I321" s="533"/>
      <c r="J321" s="533"/>
      <c r="K321" s="533"/>
      <c r="L321" s="533"/>
      <c r="M321" s="533"/>
      <c r="N321" s="533"/>
      <c r="O321" s="533"/>
      <c r="P321" s="533"/>
      <c r="Q321" s="533"/>
      <c r="R321" s="533"/>
      <c r="S321" s="533"/>
      <c r="T321" s="533"/>
      <c r="U321" s="533"/>
      <c r="V321" s="533"/>
      <c r="W321" s="533"/>
      <c r="X321" s="533"/>
      <c r="Y321" s="533"/>
    </row>
    <row r="322" spans="1:25" s="531" customFormat="1" ht="19.5" customHeight="1">
      <c r="A322" s="532"/>
      <c r="B322" s="533"/>
      <c r="C322" s="533"/>
      <c r="D322" s="533"/>
      <c r="E322" s="533"/>
      <c r="F322" s="533"/>
      <c r="G322" s="533"/>
      <c r="H322" s="533"/>
      <c r="I322" s="533"/>
      <c r="J322" s="533"/>
      <c r="K322" s="533"/>
      <c r="L322" s="533"/>
      <c r="M322" s="533"/>
      <c r="N322" s="533"/>
      <c r="O322" s="533"/>
      <c r="P322" s="533"/>
      <c r="Q322" s="533"/>
      <c r="R322" s="533"/>
      <c r="S322" s="533"/>
      <c r="T322" s="533"/>
      <c r="U322" s="533"/>
      <c r="V322" s="533"/>
      <c r="W322" s="533"/>
      <c r="X322" s="533"/>
      <c r="Y322" s="533"/>
    </row>
    <row r="323" spans="1:25" s="531" customFormat="1" ht="19.5" customHeight="1">
      <c r="A323" s="532"/>
      <c r="B323" s="533"/>
      <c r="C323" s="533"/>
      <c r="D323" s="533"/>
      <c r="E323" s="533"/>
      <c r="F323" s="533"/>
      <c r="G323" s="533"/>
      <c r="H323" s="533"/>
      <c r="I323" s="533"/>
      <c r="J323" s="533"/>
      <c r="K323" s="533"/>
      <c r="L323" s="533"/>
      <c r="M323" s="533"/>
      <c r="N323" s="533"/>
      <c r="O323" s="533"/>
      <c r="P323" s="533"/>
      <c r="Q323" s="533"/>
      <c r="R323" s="533"/>
      <c r="S323" s="533"/>
      <c r="T323" s="533"/>
      <c r="U323" s="533"/>
      <c r="V323" s="533"/>
      <c r="W323" s="533"/>
      <c r="X323" s="533"/>
      <c r="Y323" s="533"/>
    </row>
    <row r="324" spans="1:25" s="531" customFormat="1" ht="19.5" customHeight="1">
      <c r="A324" s="532"/>
      <c r="B324" s="533"/>
      <c r="C324" s="533"/>
      <c r="D324" s="533"/>
      <c r="E324" s="533"/>
      <c r="F324" s="533"/>
      <c r="G324" s="533"/>
      <c r="H324" s="533"/>
      <c r="I324" s="533"/>
      <c r="J324" s="533"/>
      <c r="K324" s="533"/>
      <c r="L324" s="533"/>
      <c r="M324" s="533"/>
      <c r="N324" s="533"/>
      <c r="O324" s="533"/>
      <c r="P324" s="533"/>
      <c r="Q324" s="533"/>
      <c r="R324" s="533"/>
      <c r="S324" s="533"/>
      <c r="T324" s="533"/>
      <c r="U324" s="533"/>
      <c r="V324" s="533"/>
      <c r="W324" s="533"/>
      <c r="X324" s="533"/>
      <c r="Y324" s="533"/>
    </row>
    <row r="325" spans="1:25" s="531" customFormat="1" ht="19.5" customHeight="1">
      <c r="A325" s="532"/>
      <c r="B325" s="533"/>
      <c r="C325" s="533"/>
      <c r="D325" s="533"/>
      <c r="E325" s="533"/>
      <c r="F325" s="533"/>
      <c r="G325" s="533"/>
      <c r="H325" s="533"/>
      <c r="I325" s="533"/>
      <c r="J325" s="533"/>
      <c r="K325" s="533"/>
      <c r="L325" s="533"/>
      <c r="M325" s="533"/>
      <c r="N325" s="533"/>
      <c r="O325" s="533"/>
      <c r="P325" s="533"/>
      <c r="Q325" s="533"/>
      <c r="R325" s="533"/>
      <c r="S325" s="533"/>
      <c r="T325" s="533"/>
      <c r="U325" s="533"/>
      <c r="V325" s="533"/>
      <c r="W325" s="533"/>
      <c r="X325" s="533"/>
      <c r="Y325" s="533"/>
    </row>
    <row r="326" spans="1:25" s="531" customFormat="1" ht="19.5" customHeight="1">
      <c r="A326" s="532"/>
      <c r="B326" s="533"/>
      <c r="C326" s="533"/>
      <c r="D326" s="533"/>
      <c r="E326" s="533"/>
      <c r="F326" s="533"/>
      <c r="G326" s="533"/>
      <c r="H326" s="533"/>
      <c r="I326" s="533"/>
      <c r="J326" s="533"/>
      <c r="K326" s="533"/>
      <c r="L326" s="533"/>
      <c r="M326" s="533"/>
      <c r="N326" s="533"/>
      <c r="O326" s="533"/>
      <c r="P326" s="533"/>
      <c r="Q326" s="533"/>
      <c r="R326" s="533"/>
      <c r="S326" s="533"/>
      <c r="T326" s="533"/>
      <c r="U326" s="533"/>
      <c r="V326" s="533"/>
      <c r="W326" s="533"/>
      <c r="X326" s="533"/>
      <c r="Y326" s="533"/>
    </row>
    <row r="327" spans="1:25" s="531" customFormat="1" ht="19.5" customHeight="1">
      <c r="A327" s="532"/>
      <c r="B327" s="533"/>
      <c r="C327" s="533"/>
      <c r="D327" s="533"/>
      <c r="E327" s="533"/>
      <c r="F327" s="533"/>
      <c r="G327" s="533"/>
      <c r="H327" s="533"/>
      <c r="I327" s="533"/>
      <c r="J327" s="533"/>
      <c r="K327" s="533"/>
      <c r="L327" s="533"/>
      <c r="M327" s="533"/>
      <c r="N327" s="533"/>
      <c r="O327" s="533"/>
      <c r="P327" s="533"/>
      <c r="Q327" s="533"/>
      <c r="R327" s="533"/>
      <c r="S327" s="533"/>
      <c r="T327" s="533"/>
      <c r="U327" s="533"/>
      <c r="V327" s="533"/>
      <c r="W327" s="533"/>
      <c r="X327" s="533"/>
      <c r="Y327" s="533"/>
    </row>
    <row r="328" spans="1:25" s="531" customFormat="1" ht="19.5" customHeight="1">
      <c r="A328" s="532"/>
      <c r="B328" s="533"/>
      <c r="C328" s="533"/>
      <c r="D328" s="533"/>
      <c r="E328" s="533"/>
      <c r="F328" s="533"/>
      <c r="G328" s="533"/>
      <c r="H328" s="533"/>
      <c r="I328" s="533"/>
      <c r="J328" s="533"/>
      <c r="K328" s="533"/>
      <c r="L328" s="533"/>
      <c r="M328" s="533"/>
      <c r="N328" s="533"/>
      <c r="O328" s="533"/>
      <c r="P328" s="533"/>
      <c r="Q328" s="533"/>
      <c r="R328" s="533"/>
      <c r="S328" s="533"/>
      <c r="T328" s="533"/>
      <c r="U328" s="533"/>
      <c r="V328" s="533"/>
      <c r="W328" s="533"/>
      <c r="X328" s="533"/>
      <c r="Y328" s="533"/>
    </row>
    <row r="329" ht="19.5" customHeight="1"/>
    <row r="330" ht="9.75" customHeight="1"/>
    <row r="331" ht="19.5" customHeight="1"/>
    <row r="332" ht="19.5" customHeight="1"/>
    <row r="333" ht="19.5" customHeight="1"/>
    <row r="334" spans="1:25" s="531" customFormat="1" ht="19.5" customHeight="1">
      <c r="A334" s="532"/>
      <c r="B334" s="533"/>
      <c r="C334" s="533"/>
      <c r="D334" s="533"/>
      <c r="E334" s="533"/>
      <c r="F334" s="533"/>
      <c r="G334" s="533"/>
      <c r="H334" s="533"/>
      <c r="I334" s="533"/>
      <c r="J334" s="533"/>
      <c r="K334" s="533"/>
      <c r="L334" s="533"/>
      <c r="M334" s="533"/>
      <c r="N334" s="533"/>
      <c r="O334" s="533"/>
      <c r="P334" s="533"/>
      <c r="Q334" s="533"/>
      <c r="R334" s="533"/>
      <c r="S334" s="533"/>
      <c r="T334" s="533"/>
      <c r="U334" s="533"/>
      <c r="V334" s="533"/>
      <c r="W334" s="533"/>
      <c r="X334" s="533"/>
      <c r="Y334" s="533"/>
    </row>
    <row r="335" spans="1:25" s="531" customFormat="1" ht="19.5" customHeight="1">
      <c r="A335" s="532"/>
      <c r="B335" s="533"/>
      <c r="C335" s="533"/>
      <c r="D335" s="533"/>
      <c r="E335" s="533"/>
      <c r="F335" s="533"/>
      <c r="G335" s="533"/>
      <c r="H335" s="533"/>
      <c r="I335" s="533"/>
      <c r="J335" s="533"/>
      <c r="K335" s="533"/>
      <c r="L335" s="533"/>
      <c r="M335" s="533"/>
      <c r="N335" s="533"/>
      <c r="O335" s="533"/>
      <c r="P335" s="533"/>
      <c r="Q335" s="533"/>
      <c r="R335" s="533"/>
      <c r="S335" s="533"/>
      <c r="T335" s="533"/>
      <c r="U335" s="533"/>
      <c r="V335" s="533"/>
      <c r="W335" s="533"/>
      <c r="X335" s="533"/>
      <c r="Y335" s="533"/>
    </row>
    <row r="336" spans="1:25" s="531" customFormat="1" ht="19.5" customHeight="1">
      <c r="A336" s="532"/>
      <c r="B336" s="533"/>
      <c r="C336" s="533"/>
      <c r="D336" s="533"/>
      <c r="E336" s="533"/>
      <c r="F336" s="533"/>
      <c r="G336" s="533"/>
      <c r="H336" s="533"/>
      <c r="I336" s="533"/>
      <c r="J336" s="533"/>
      <c r="K336" s="533"/>
      <c r="L336" s="533"/>
      <c r="M336" s="533"/>
      <c r="N336" s="533"/>
      <c r="O336" s="533"/>
      <c r="P336" s="533"/>
      <c r="Q336" s="533"/>
      <c r="R336" s="533"/>
      <c r="S336" s="533"/>
      <c r="T336" s="533"/>
      <c r="U336" s="533"/>
      <c r="V336" s="533"/>
      <c r="W336" s="533"/>
      <c r="X336" s="533"/>
      <c r="Y336" s="533"/>
    </row>
    <row r="337" spans="1:25" s="531" customFormat="1" ht="19.5" customHeight="1">
      <c r="A337" s="532"/>
      <c r="B337" s="533"/>
      <c r="C337" s="533"/>
      <c r="D337" s="533"/>
      <c r="E337" s="533"/>
      <c r="F337" s="533"/>
      <c r="G337" s="533"/>
      <c r="H337" s="533"/>
      <c r="I337" s="533"/>
      <c r="J337" s="533"/>
      <c r="K337" s="533"/>
      <c r="L337" s="533"/>
      <c r="M337" s="533"/>
      <c r="N337" s="533"/>
      <c r="O337" s="533"/>
      <c r="P337" s="533"/>
      <c r="Q337" s="533"/>
      <c r="R337" s="533"/>
      <c r="S337" s="533"/>
      <c r="T337" s="533"/>
      <c r="U337" s="533"/>
      <c r="V337" s="533"/>
      <c r="W337" s="533"/>
      <c r="X337" s="533"/>
      <c r="Y337" s="533"/>
    </row>
    <row r="338" spans="1:25" s="531" customFormat="1" ht="19.5" customHeight="1">
      <c r="A338" s="532"/>
      <c r="B338" s="533"/>
      <c r="C338" s="533"/>
      <c r="D338" s="533"/>
      <c r="E338" s="533"/>
      <c r="F338" s="533"/>
      <c r="G338" s="533"/>
      <c r="H338" s="533"/>
      <c r="I338" s="533"/>
      <c r="J338" s="533"/>
      <c r="K338" s="533"/>
      <c r="L338" s="533"/>
      <c r="M338" s="533"/>
      <c r="N338" s="533"/>
      <c r="O338" s="533"/>
      <c r="P338" s="533"/>
      <c r="Q338" s="533"/>
      <c r="R338" s="533"/>
      <c r="S338" s="533"/>
      <c r="T338" s="533"/>
      <c r="U338" s="533"/>
      <c r="V338" s="533"/>
      <c r="W338" s="533"/>
      <c r="X338" s="533"/>
      <c r="Y338" s="533"/>
    </row>
    <row r="339" spans="1:25" s="531" customFormat="1" ht="19.5" customHeight="1">
      <c r="A339" s="532"/>
      <c r="B339" s="533"/>
      <c r="C339" s="533"/>
      <c r="D339" s="533"/>
      <c r="E339" s="533"/>
      <c r="F339" s="533"/>
      <c r="G339" s="533"/>
      <c r="H339" s="533"/>
      <c r="I339" s="533"/>
      <c r="J339" s="533"/>
      <c r="K339" s="533"/>
      <c r="L339" s="533"/>
      <c r="M339" s="533"/>
      <c r="N339" s="533"/>
      <c r="O339" s="533"/>
      <c r="P339" s="533"/>
      <c r="Q339" s="533"/>
      <c r="R339" s="533"/>
      <c r="S339" s="533"/>
      <c r="T339" s="533"/>
      <c r="U339" s="533"/>
      <c r="V339" s="533"/>
      <c r="W339" s="533"/>
      <c r="X339" s="533"/>
      <c r="Y339" s="533"/>
    </row>
    <row r="340" spans="1:25" s="531" customFormat="1" ht="19.5" customHeight="1">
      <c r="A340" s="532"/>
      <c r="B340" s="533"/>
      <c r="C340" s="533"/>
      <c r="D340" s="533"/>
      <c r="E340" s="533"/>
      <c r="F340" s="533"/>
      <c r="G340" s="533"/>
      <c r="H340" s="533"/>
      <c r="I340" s="533"/>
      <c r="J340" s="533"/>
      <c r="K340" s="533"/>
      <c r="L340" s="533"/>
      <c r="M340" s="533"/>
      <c r="N340" s="533"/>
      <c r="O340" s="533"/>
      <c r="P340" s="533"/>
      <c r="Q340" s="533"/>
      <c r="R340" s="533"/>
      <c r="S340" s="533"/>
      <c r="T340" s="533"/>
      <c r="U340" s="533"/>
      <c r="V340" s="533"/>
      <c r="W340" s="533"/>
      <c r="X340" s="533"/>
      <c r="Y340" s="533"/>
    </row>
    <row r="341" spans="1:25" s="531" customFormat="1" ht="19.5" customHeight="1">
      <c r="A341" s="532"/>
      <c r="B341" s="533"/>
      <c r="C341" s="533"/>
      <c r="D341" s="533"/>
      <c r="E341" s="533"/>
      <c r="F341" s="533"/>
      <c r="G341" s="533"/>
      <c r="H341" s="533"/>
      <c r="I341" s="533"/>
      <c r="J341" s="533"/>
      <c r="K341" s="533"/>
      <c r="L341" s="533"/>
      <c r="M341" s="533"/>
      <c r="N341" s="533"/>
      <c r="O341" s="533"/>
      <c r="P341" s="533"/>
      <c r="Q341" s="533"/>
      <c r="R341" s="533"/>
      <c r="S341" s="533"/>
      <c r="T341" s="533"/>
      <c r="U341" s="533"/>
      <c r="V341" s="533"/>
      <c r="W341" s="533"/>
      <c r="X341" s="533"/>
      <c r="Y341" s="533"/>
    </row>
    <row r="342" spans="1:25" s="531" customFormat="1" ht="19.5" customHeight="1">
      <c r="A342" s="532"/>
      <c r="B342" s="533"/>
      <c r="C342" s="533"/>
      <c r="D342" s="533"/>
      <c r="E342" s="533"/>
      <c r="F342" s="533"/>
      <c r="G342" s="533"/>
      <c r="H342" s="533"/>
      <c r="I342" s="533"/>
      <c r="J342" s="533"/>
      <c r="K342" s="533"/>
      <c r="L342" s="533"/>
      <c r="M342" s="533"/>
      <c r="N342" s="533"/>
      <c r="O342" s="533"/>
      <c r="P342" s="533"/>
      <c r="Q342" s="533"/>
      <c r="R342" s="533"/>
      <c r="S342" s="533"/>
      <c r="T342" s="533"/>
      <c r="U342" s="533"/>
      <c r="V342" s="533"/>
      <c r="W342" s="533"/>
      <c r="X342" s="533"/>
      <c r="Y342" s="533"/>
    </row>
    <row r="343" spans="1:25" s="531" customFormat="1" ht="19.5" customHeight="1">
      <c r="A343" s="532"/>
      <c r="B343" s="533"/>
      <c r="C343" s="533"/>
      <c r="D343" s="533"/>
      <c r="E343" s="533"/>
      <c r="F343" s="533"/>
      <c r="G343" s="533"/>
      <c r="H343" s="533"/>
      <c r="I343" s="533"/>
      <c r="J343" s="533"/>
      <c r="K343" s="533"/>
      <c r="L343" s="533"/>
      <c r="M343" s="533"/>
      <c r="N343" s="533"/>
      <c r="O343" s="533"/>
      <c r="P343" s="533"/>
      <c r="Q343" s="533"/>
      <c r="R343" s="533"/>
      <c r="S343" s="533"/>
      <c r="T343" s="533"/>
      <c r="U343" s="533"/>
      <c r="V343" s="533"/>
      <c r="W343" s="533"/>
      <c r="X343" s="533"/>
      <c r="Y343" s="533"/>
    </row>
    <row r="344" spans="1:25" s="531" customFormat="1" ht="19.5" customHeight="1">
      <c r="A344" s="532"/>
      <c r="B344" s="533"/>
      <c r="C344" s="533"/>
      <c r="D344" s="533"/>
      <c r="E344" s="533"/>
      <c r="F344" s="533"/>
      <c r="G344" s="533"/>
      <c r="H344" s="533"/>
      <c r="I344" s="533"/>
      <c r="J344" s="533"/>
      <c r="K344" s="533"/>
      <c r="L344" s="533"/>
      <c r="M344" s="533"/>
      <c r="N344" s="533"/>
      <c r="O344" s="533"/>
      <c r="P344" s="533"/>
      <c r="Q344" s="533"/>
      <c r="R344" s="533"/>
      <c r="S344" s="533"/>
      <c r="T344" s="533"/>
      <c r="U344" s="533"/>
      <c r="V344" s="533"/>
      <c r="W344" s="533"/>
      <c r="X344" s="533"/>
      <c r="Y344" s="533"/>
    </row>
    <row r="345" spans="1:25" s="531" customFormat="1" ht="19.5" customHeight="1">
      <c r="A345" s="532"/>
      <c r="B345" s="533"/>
      <c r="C345" s="533"/>
      <c r="D345" s="533"/>
      <c r="E345" s="533"/>
      <c r="F345" s="533"/>
      <c r="G345" s="533"/>
      <c r="H345" s="533"/>
      <c r="I345" s="533"/>
      <c r="J345" s="533"/>
      <c r="K345" s="533"/>
      <c r="L345" s="533"/>
      <c r="M345" s="533"/>
      <c r="N345" s="533"/>
      <c r="O345" s="533"/>
      <c r="P345" s="533"/>
      <c r="Q345" s="533"/>
      <c r="R345" s="533"/>
      <c r="S345" s="533"/>
      <c r="T345" s="533"/>
      <c r="U345" s="533"/>
      <c r="V345" s="533"/>
      <c r="W345" s="533"/>
      <c r="X345" s="533"/>
      <c r="Y345" s="533"/>
    </row>
    <row r="346" spans="1:25" s="531" customFormat="1" ht="19.5" customHeight="1">
      <c r="A346" s="532"/>
      <c r="B346" s="533"/>
      <c r="C346" s="533"/>
      <c r="D346" s="533"/>
      <c r="E346" s="533"/>
      <c r="F346" s="533"/>
      <c r="G346" s="533"/>
      <c r="H346" s="533"/>
      <c r="I346" s="533"/>
      <c r="J346" s="533"/>
      <c r="K346" s="533"/>
      <c r="L346" s="533"/>
      <c r="M346" s="533"/>
      <c r="N346" s="533"/>
      <c r="O346" s="533"/>
      <c r="P346" s="533"/>
      <c r="Q346" s="533"/>
      <c r="R346" s="533"/>
      <c r="S346" s="533"/>
      <c r="T346" s="533"/>
      <c r="U346" s="533"/>
      <c r="V346" s="533"/>
      <c r="W346" s="533"/>
      <c r="X346" s="533"/>
      <c r="Y346" s="533"/>
    </row>
    <row r="347" spans="1:25" s="531" customFormat="1" ht="19.5" customHeight="1">
      <c r="A347" s="532"/>
      <c r="B347" s="533"/>
      <c r="C347" s="533"/>
      <c r="D347" s="533"/>
      <c r="E347" s="533"/>
      <c r="F347" s="533"/>
      <c r="G347" s="533"/>
      <c r="H347" s="533"/>
      <c r="I347" s="533"/>
      <c r="J347" s="533"/>
      <c r="K347" s="533"/>
      <c r="L347" s="533"/>
      <c r="M347" s="533"/>
      <c r="N347" s="533"/>
      <c r="O347" s="533"/>
      <c r="P347" s="533"/>
      <c r="Q347" s="533"/>
      <c r="R347" s="533"/>
      <c r="S347" s="533"/>
      <c r="T347" s="533"/>
      <c r="U347" s="533"/>
      <c r="V347" s="533"/>
      <c r="W347" s="533"/>
      <c r="X347" s="533"/>
      <c r="Y347" s="533"/>
    </row>
    <row r="348" spans="1:25" s="531" customFormat="1" ht="19.5" customHeight="1">
      <c r="A348" s="532"/>
      <c r="B348" s="533"/>
      <c r="C348" s="533"/>
      <c r="D348" s="533"/>
      <c r="E348" s="533"/>
      <c r="F348" s="533"/>
      <c r="G348" s="533"/>
      <c r="H348" s="533"/>
      <c r="I348" s="533"/>
      <c r="J348" s="533"/>
      <c r="K348" s="533"/>
      <c r="L348" s="533"/>
      <c r="M348" s="533"/>
      <c r="N348" s="533"/>
      <c r="O348" s="533"/>
      <c r="P348" s="533"/>
      <c r="Q348" s="533"/>
      <c r="R348" s="533"/>
      <c r="S348" s="533"/>
      <c r="T348" s="533"/>
      <c r="U348" s="533"/>
      <c r="V348" s="533"/>
      <c r="W348" s="533"/>
      <c r="X348" s="533"/>
      <c r="Y348" s="533"/>
    </row>
    <row r="349" spans="1:25" s="531" customFormat="1" ht="19.5" customHeight="1">
      <c r="A349" s="532"/>
      <c r="B349" s="533"/>
      <c r="C349" s="533"/>
      <c r="D349" s="533"/>
      <c r="E349" s="533"/>
      <c r="F349" s="533"/>
      <c r="G349" s="533"/>
      <c r="H349" s="533"/>
      <c r="I349" s="533"/>
      <c r="J349" s="533"/>
      <c r="K349" s="533"/>
      <c r="L349" s="533"/>
      <c r="M349" s="533"/>
      <c r="N349" s="533"/>
      <c r="O349" s="533"/>
      <c r="P349" s="533"/>
      <c r="Q349" s="533"/>
      <c r="R349" s="533"/>
      <c r="S349" s="533"/>
      <c r="T349" s="533"/>
      <c r="U349" s="533"/>
      <c r="V349" s="533"/>
      <c r="W349" s="533"/>
      <c r="X349" s="533"/>
      <c r="Y349" s="533"/>
    </row>
    <row r="350" spans="1:25" s="531" customFormat="1" ht="19.5" customHeight="1">
      <c r="A350" s="532"/>
      <c r="B350" s="533"/>
      <c r="C350" s="533"/>
      <c r="D350" s="533"/>
      <c r="E350" s="533"/>
      <c r="F350" s="533"/>
      <c r="G350" s="533"/>
      <c r="H350" s="533"/>
      <c r="I350" s="533"/>
      <c r="J350" s="533"/>
      <c r="K350" s="533"/>
      <c r="L350" s="533"/>
      <c r="M350" s="533"/>
      <c r="N350" s="533"/>
      <c r="O350" s="533"/>
      <c r="P350" s="533"/>
      <c r="Q350" s="533"/>
      <c r="R350" s="533"/>
      <c r="S350" s="533"/>
      <c r="T350" s="533"/>
      <c r="U350" s="533"/>
      <c r="V350" s="533"/>
      <c r="W350" s="533"/>
      <c r="X350" s="533"/>
      <c r="Y350" s="533"/>
    </row>
    <row r="351" spans="1:25" s="531" customFormat="1" ht="19.5" customHeight="1">
      <c r="A351" s="532"/>
      <c r="B351" s="533"/>
      <c r="C351" s="533"/>
      <c r="D351" s="533"/>
      <c r="E351" s="533"/>
      <c r="F351" s="533"/>
      <c r="G351" s="533"/>
      <c r="H351" s="533"/>
      <c r="I351" s="533"/>
      <c r="J351" s="533"/>
      <c r="K351" s="533"/>
      <c r="L351" s="533"/>
      <c r="M351" s="533"/>
      <c r="N351" s="533"/>
      <c r="O351" s="533"/>
      <c r="P351" s="533"/>
      <c r="Q351" s="533"/>
      <c r="R351" s="533"/>
      <c r="S351" s="533"/>
      <c r="T351" s="533"/>
      <c r="U351" s="533"/>
      <c r="V351" s="533"/>
      <c r="W351" s="533"/>
      <c r="X351" s="533"/>
      <c r="Y351" s="533"/>
    </row>
    <row r="352" spans="1:25" s="531" customFormat="1" ht="19.5" customHeight="1">
      <c r="A352" s="532"/>
      <c r="B352" s="533"/>
      <c r="C352" s="533"/>
      <c r="D352" s="533"/>
      <c r="E352" s="533"/>
      <c r="F352" s="533"/>
      <c r="G352" s="533"/>
      <c r="H352" s="533"/>
      <c r="I352" s="533"/>
      <c r="J352" s="533"/>
      <c r="K352" s="533"/>
      <c r="L352" s="533"/>
      <c r="M352" s="533"/>
      <c r="N352" s="533"/>
      <c r="O352" s="533"/>
      <c r="P352" s="533"/>
      <c r="Q352" s="533"/>
      <c r="R352" s="533"/>
      <c r="S352" s="533"/>
      <c r="T352" s="533"/>
      <c r="U352" s="533"/>
      <c r="V352" s="533"/>
      <c r="W352" s="533"/>
      <c r="X352" s="533"/>
      <c r="Y352" s="533"/>
    </row>
    <row r="353" spans="1:25" s="531" customFormat="1" ht="19.5" customHeight="1">
      <c r="A353" s="532"/>
      <c r="B353" s="533"/>
      <c r="C353" s="533"/>
      <c r="D353" s="533"/>
      <c r="E353" s="533"/>
      <c r="F353" s="533"/>
      <c r="G353" s="533"/>
      <c r="H353" s="533"/>
      <c r="I353" s="533"/>
      <c r="J353" s="533"/>
      <c r="K353" s="533"/>
      <c r="L353" s="533"/>
      <c r="M353" s="533"/>
      <c r="N353" s="533"/>
      <c r="O353" s="533"/>
      <c r="P353" s="533"/>
      <c r="Q353" s="533"/>
      <c r="R353" s="533"/>
      <c r="S353" s="533"/>
      <c r="T353" s="533"/>
      <c r="U353" s="533"/>
      <c r="V353" s="533"/>
      <c r="W353" s="533"/>
      <c r="X353" s="533"/>
      <c r="Y353" s="533"/>
    </row>
    <row r="354" spans="1:25" s="531" customFormat="1" ht="19.5" customHeight="1">
      <c r="A354" s="532"/>
      <c r="B354" s="533"/>
      <c r="C354" s="533"/>
      <c r="D354" s="533"/>
      <c r="E354" s="533"/>
      <c r="F354" s="533"/>
      <c r="G354" s="533"/>
      <c r="H354" s="533"/>
      <c r="I354" s="533"/>
      <c r="J354" s="533"/>
      <c r="K354" s="533"/>
      <c r="L354" s="533"/>
      <c r="M354" s="533"/>
      <c r="N354" s="533"/>
      <c r="O354" s="533"/>
      <c r="P354" s="533"/>
      <c r="Q354" s="533"/>
      <c r="R354" s="533"/>
      <c r="S354" s="533"/>
      <c r="T354" s="533"/>
      <c r="U354" s="533"/>
      <c r="V354" s="533"/>
      <c r="W354" s="533"/>
      <c r="X354" s="533"/>
      <c r="Y354" s="533"/>
    </row>
    <row r="355" spans="1:25" s="531" customFormat="1" ht="19.5" customHeight="1">
      <c r="A355" s="532"/>
      <c r="B355" s="533"/>
      <c r="C355" s="533"/>
      <c r="D355" s="533"/>
      <c r="E355" s="533"/>
      <c r="F355" s="533"/>
      <c r="G355" s="533"/>
      <c r="H355" s="533"/>
      <c r="I355" s="533"/>
      <c r="J355" s="533"/>
      <c r="K355" s="533"/>
      <c r="L355" s="533"/>
      <c r="M355" s="533"/>
      <c r="N355" s="533"/>
      <c r="O355" s="533"/>
      <c r="P355" s="533"/>
      <c r="Q355" s="533"/>
      <c r="R355" s="533"/>
      <c r="S355" s="533"/>
      <c r="T355" s="533"/>
      <c r="U355" s="533"/>
      <c r="V355" s="533"/>
      <c r="W355" s="533"/>
      <c r="X355" s="533"/>
      <c r="Y355" s="533"/>
    </row>
    <row r="356" spans="1:25" s="531" customFormat="1" ht="19.5" customHeight="1">
      <c r="A356" s="532"/>
      <c r="B356" s="533"/>
      <c r="C356" s="533"/>
      <c r="D356" s="533"/>
      <c r="E356" s="533"/>
      <c r="F356" s="533"/>
      <c r="G356" s="533"/>
      <c r="H356" s="533"/>
      <c r="I356" s="533"/>
      <c r="J356" s="533"/>
      <c r="K356" s="533"/>
      <c r="L356" s="533"/>
      <c r="M356" s="533"/>
      <c r="N356" s="533"/>
      <c r="O356" s="533"/>
      <c r="P356" s="533"/>
      <c r="Q356" s="533"/>
      <c r="R356" s="533"/>
      <c r="S356" s="533"/>
      <c r="T356" s="533"/>
      <c r="U356" s="533"/>
      <c r="V356" s="533"/>
      <c r="W356" s="533"/>
      <c r="X356" s="533"/>
      <c r="Y356" s="533"/>
    </row>
    <row r="357" spans="1:25" s="531" customFormat="1" ht="19.5" customHeight="1">
      <c r="A357" s="532"/>
      <c r="B357" s="533"/>
      <c r="C357" s="533"/>
      <c r="D357" s="533"/>
      <c r="E357" s="533"/>
      <c r="F357" s="533"/>
      <c r="G357" s="533"/>
      <c r="H357" s="533"/>
      <c r="I357" s="533"/>
      <c r="J357" s="533"/>
      <c r="K357" s="533"/>
      <c r="L357" s="533"/>
      <c r="M357" s="533"/>
      <c r="N357" s="533"/>
      <c r="O357" s="533"/>
      <c r="P357" s="533"/>
      <c r="Q357" s="533"/>
      <c r="R357" s="533"/>
      <c r="S357" s="533"/>
      <c r="T357" s="533"/>
      <c r="U357" s="533"/>
      <c r="V357" s="533"/>
      <c r="W357" s="533"/>
      <c r="X357" s="533"/>
      <c r="Y357" s="533"/>
    </row>
    <row r="358" spans="1:25" s="531" customFormat="1" ht="19.5" customHeight="1">
      <c r="A358" s="532"/>
      <c r="B358" s="533"/>
      <c r="C358" s="533"/>
      <c r="D358" s="533"/>
      <c r="E358" s="533"/>
      <c r="F358" s="533"/>
      <c r="G358" s="533"/>
      <c r="H358" s="533"/>
      <c r="I358" s="533"/>
      <c r="J358" s="533"/>
      <c r="K358" s="533"/>
      <c r="L358" s="533"/>
      <c r="M358" s="533"/>
      <c r="N358" s="533"/>
      <c r="O358" s="533"/>
      <c r="P358" s="533"/>
      <c r="Q358" s="533"/>
      <c r="R358" s="533"/>
      <c r="S358" s="533"/>
      <c r="T358" s="533"/>
      <c r="U358" s="533"/>
      <c r="V358" s="533"/>
      <c r="W358" s="533"/>
      <c r="X358" s="533"/>
      <c r="Y358" s="533"/>
    </row>
    <row r="359" spans="1:25" s="531" customFormat="1" ht="19.5" customHeight="1">
      <c r="A359" s="532"/>
      <c r="B359" s="533"/>
      <c r="C359" s="533"/>
      <c r="D359" s="533"/>
      <c r="E359" s="533"/>
      <c r="F359" s="533"/>
      <c r="G359" s="533"/>
      <c r="H359" s="533"/>
      <c r="I359" s="533"/>
      <c r="J359" s="533"/>
      <c r="K359" s="533"/>
      <c r="L359" s="533"/>
      <c r="M359" s="533"/>
      <c r="N359" s="533"/>
      <c r="O359" s="533"/>
      <c r="P359" s="533"/>
      <c r="Q359" s="533"/>
      <c r="R359" s="533"/>
      <c r="S359" s="533"/>
      <c r="T359" s="533"/>
      <c r="U359" s="533"/>
      <c r="V359" s="533"/>
      <c r="W359" s="533"/>
      <c r="X359" s="533"/>
      <c r="Y359" s="533"/>
    </row>
    <row r="360" spans="1:25" s="531" customFormat="1" ht="19.5" customHeight="1">
      <c r="A360" s="532"/>
      <c r="B360" s="533"/>
      <c r="C360" s="533"/>
      <c r="D360" s="533"/>
      <c r="E360" s="533"/>
      <c r="F360" s="533"/>
      <c r="G360" s="533"/>
      <c r="H360" s="533"/>
      <c r="I360" s="533"/>
      <c r="J360" s="533"/>
      <c r="K360" s="533"/>
      <c r="L360" s="533"/>
      <c r="M360" s="533"/>
      <c r="N360" s="533"/>
      <c r="O360" s="533"/>
      <c r="P360" s="533"/>
      <c r="Q360" s="533"/>
      <c r="R360" s="533"/>
      <c r="S360" s="533"/>
      <c r="T360" s="533"/>
      <c r="U360" s="533"/>
      <c r="V360" s="533"/>
      <c r="W360" s="533"/>
      <c r="X360" s="533"/>
      <c r="Y360" s="533"/>
    </row>
    <row r="361" spans="1:25" s="531" customFormat="1" ht="19.5" customHeight="1">
      <c r="A361" s="532"/>
      <c r="B361" s="533"/>
      <c r="C361" s="533"/>
      <c r="D361" s="533"/>
      <c r="E361" s="533"/>
      <c r="F361" s="533"/>
      <c r="G361" s="533"/>
      <c r="H361" s="533"/>
      <c r="I361" s="533"/>
      <c r="J361" s="533"/>
      <c r="K361" s="533"/>
      <c r="L361" s="533"/>
      <c r="M361" s="533"/>
      <c r="N361" s="533"/>
      <c r="O361" s="533"/>
      <c r="P361" s="533"/>
      <c r="Q361" s="533"/>
      <c r="R361" s="533"/>
      <c r="S361" s="533"/>
      <c r="T361" s="533"/>
      <c r="U361" s="533"/>
      <c r="V361" s="533"/>
      <c r="W361" s="533"/>
      <c r="X361" s="533"/>
      <c r="Y361" s="533"/>
    </row>
    <row r="362" spans="1:25" s="531" customFormat="1" ht="19.5" customHeight="1">
      <c r="A362" s="532"/>
      <c r="B362" s="533"/>
      <c r="C362" s="533"/>
      <c r="D362" s="533"/>
      <c r="E362" s="533"/>
      <c r="F362" s="533"/>
      <c r="G362" s="533"/>
      <c r="H362" s="533"/>
      <c r="I362" s="533"/>
      <c r="J362" s="533"/>
      <c r="K362" s="533"/>
      <c r="L362" s="533"/>
      <c r="M362" s="533"/>
      <c r="N362" s="533"/>
      <c r="O362" s="533"/>
      <c r="P362" s="533"/>
      <c r="Q362" s="533"/>
      <c r="R362" s="533"/>
      <c r="S362" s="533"/>
      <c r="T362" s="533"/>
      <c r="U362" s="533"/>
      <c r="V362" s="533"/>
      <c r="W362" s="533"/>
      <c r="X362" s="533"/>
      <c r="Y362" s="533"/>
    </row>
    <row r="363" spans="1:25" s="531" customFormat="1" ht="19.5" customHeight="1">
      <c r="A363" s="532"/>
      <c r="B363" s="533"/>
      <c r="C363" s="533"/>
      <c r="D363" s="533"/>
      <c r="E363" s="533"/>
      <c r="F363" s="533"/>
      <c r="G363" s="533"/>
      <c r="H363" s="533"/>
      <c r="I363" s="533"/>
      <c r="J363" s="533"/>
      <c r="K363" s="533"/>
      <c r="L363" s="533"/>
      <c r="M363" s="533"/>
      <c r="N363" s="533"/>
      <c r="O363" s="533"/>
      <c r="P363" s="533"/>
      <c r="Q363" s="533"/>
      <c r="R363" s="533"/>
      <c r="S363" s="533"/>
      <c r="T363" s="533"/>
      <c r="U363" s="533"/>
      <c r="V363" s="533"/>
      <c r="W363" s="533"/>
      <c r="X363" s="533"/>
      <c r="Y363" s="533"/>
    </row>
    <row r="364" spans="1:25" s="531" customFormat="1" ht="19.5" customHeight="1">
      <c r="A364" s="532"/>
      <c r="B364" s="533"/>
      <c r="C364" s="533"/>
      <c r="D364" s="533"/>
      <c r="E364" s="533"/>
      <c r="F364" s="533"/>
      <c r="G364" s="533"/>
      <c r="H364" s="533"/>
      <c r="I364" s="533"/>
      <c r="J364" s="533"/>
      <c r="K364" s="533"/>
      <c r="L364" s="533"/>
      <c r="M364" s="533"/>
      <c r="N364" s="533"/>
      <c r="O364" s="533"/>
      <c r="P364" s="533"/>
      <c r="Q364" s="533"/>
      <c r="R364" s="533"/>
      <c r="S364" s="533"/>
      <c r="T364" s="533"/>
      <c r="U364" s="533"/>
      <c r="V364" s="533"/>
      <c r="W364" s="533"/>
      <c r="X364" s="533"/>
      <c r="Y364" s="533"/>
    </row>
    <row r="365" spans="1:25" s="531" customFormat="1" ht="19.5" customHeight="1">
      <c r="A365" s="532"/>
      <c r="B365" s="533"/>
      <c r="C365" s="533"/>
      <c r="D365" s="533"/>
      <c r="E365" s="533"/>
      <c r="F365" s="533"/>
      <c r="G365" s="533"/>
      <c r="H365" s="533"/>
      <c r="I365" s="533"/>
      <c r="J365" s="533"/>
      <c r="K365" s="533"/>
      <c r="L365" s="533"/>
      <c r="M365" s="533"/>
      <c r="N365" s="533"/>
      <c r="O365" s="533"/>
      <c r="P365" s="533"/>
      <c r="Q365" s="533"/>
      <c r="R365" s="533"/>
      <c r="S365" s="533"/>
      <c r="T365" s="533"/>
      <c r="U365" s="533"/>
      <c r="V365" s="533"/>
      <c r="W365" s="533"/>
      <c r="X365" s="533"/>
      <c r="Y365" s="533"/>
    </row>
    <row r="366" spans="1:25" s="531" customFormat="1" ht="19.5" customHeight="1">
      <c r="A366" s="532"/>
      <c r="B366" s="533"/>
      <c r="C366" s="533"/>
      <c r="D366" s="533"/>
      <c r="E366" s="533"/>
      <c r="F366" s="533"/>
      <c r="G366" s="533"/>
      <c r="H366" s="533"/>
      <c r="I366" s="533"/>
      <c r="J366" s="533"/>
      <c r="K366" s="533"/>
      <c r="L366" s="533"/>
      <c r="M366" s="533"/>
      <c r="N366" s="533"/>
      <c r="O366" s="533"/>
      <c r="P366" s="533"/>
      <c r="Q366" s="533"/>
      <c r="R366" s="533"/>
      <c r="S366" s="533"/>
      <c r="T366" s="533"/>
      <c r="U366" s="533"/>
      <c r="V366" s="533"/>
      <c r="W366" s="533"/>
      <c r="X366" s="533"/>
      <c r="Y366" s="533"/>
    </row>
    <row r="367" spans="1:25" s="531" customFormat="1" ht="19.5" customHeight="1">
      <c r="A367" s="532"/>
      <c r="B367" s="533"/>
      <c r="C367" s="533"/>
      <c r="D367" s="533"/>
      <c r="E367" s="533"/>
      <c r="F367" s="533"/>
      <c r="G367" s="533"/>
      <c r="H367" s="533"/>
      <c r="I367" s="533"/>
      <c r="J367" s="533"/>
      <c r="K367" s="533"/>
      <c r="L367" s="533"/>
      <c r="M367" s="533"/>
      <c r="N367" s="533"/>
      <c r="O367" s="533"/>
      <c r="P367" s="533"/>
      <c r="Q367" s="533"/>
      <c r="R367" s="533"/>
      <c r="S367" s="533"/>
      <c r="T367" s="533"/>
      <c r="U367" s="533"/>
      <c r="V367" s="533"/>
      <c r="W367" s="533"/>
      <c r="X367" s="533"/>
      <c r="Y367" s="533"/>
    </row>
    <row r="368" spans="1:25" s="531" customFormat="1" ht="19.5" customHeight="1">
      <c r="A368" s="532"/>
      <c r="B368" s="533"/>
      <c r="C368" s="533"/>
      <c r="D368" s="533"/>
      <c r="E368" s="533"/>
      <c r="F368" s="533"/>
      <c r="G368" s="533"/>
      <c r="H368" s="533"/>
      <c r="I368" s="533"/>
      <c r="J368" s="533"/>
      <c r="K368" s="533"/>
      <c r="L368" s="533"/>
      <c r="M368" s="533"/>
      <c r="N368" s="533"/>
      <c r="O368" s="533"/>
      <c r="P368" s="533"/>
      <c r="Q368" s="533"/>
      <c r="R368" s="533"/>
      <c r="S368" s="533"/>
      <c r="T368" s="533"/>
      <c r="U368" s="533"/>
      <c r="V368" s="533"/>
      <c r="W368" s="533"/>
      <c r="X368" s="533"/>
      <c r="Y368" s="533"/>
    </row>
    <row r="369" spans="1:25" s="531" customFormat="1" ht="19.5" customHeight="1">
      <c r="A369" s="532"/>
      <c r="B369" s="533"/>
      <c r="C369" s="533"/>
      <c r="D369" s="533"/>
      <c r="E369" s="533"/>
      <c r="F369" s="533"/>
      <c r="G369" s="533"/>
      <c r="H369" s="533"/>
      <c r="I369" s="533"/>
      <c r="J369" s="533"/>
      <c r="K369" s="533"/>
      <c r="L369" s="533"/>
      <c r="M369" s="533"/>
      <c r="N369" s="533"/>
      <c r="O369" s="533"/>
      <c r="P369" s="533"/>
      <c r="Q369" s="533"/>
      <c r="R369" s="533"/>
      <c r="S369" s="533"/>
      <c r="T369" s="533"/>
      <c r="U369" s="533"/>
      <c r="V369" s="533"/>
      <c r="W369" s="533"/>
      <c r="X369" s="533"/>
      <c r="Y369" s="533"/>
    </row>
    <row r="370" spans="1:25" s="531" customFormat="1" ht="19.5" customHeight="1">
      <c r="A370" s="532"/>
      <c r="B370" s="533"/>
      <c r="C370" s="533"/>
      <c r="D370" s="533"/>
      <c r="E370" s="533"/>
      <c r="F370" s="533"/>
      <c r="G370" s="533"/>
      <c r="H370" s="533"/>
      <c r="I370" s="533"/>
      <c r="J370" s="533"/>
      <c r="K370" s="533"/>
      <c r="L370" s="533"/>
      <c r="M370" s="533"/>
      <c r="N370" s="533"/>
      <c r="O370" s="533"/>
      <c r="P370" s="533"/>
      <c r="Q370" s="533"/>
      <c r="R370" s="533"/>
      <c r="S370" s="533"/>
      <c r="T370" s="533"/>
      <c r="U370" s="533"/>
      <c r="V370" s="533"/>
      <c r="W370" s="533"/>
      <c r="X370" s="533"/>
      <c r="Y370" s="533"/>
    </row>
    <row r="371" ht="19.5" customHeight="1"/>
    <row r="372" ht="9.75" customHeight="1"/>
    <row r="373" ht="19.5" customHeight="1"/>
    <row r="374" ht="19.5" customHeight="1"/>
    <row r="375" ht="19.5" customHeight="1"/>
    <row r="376" spans="1:25" s="531" customFormat="1" ht="19.5" customHeight="1">
      <c r="A376" s="532"/>
      <c r="B376" s="533"/>
      <c r="C376" s="533"/>
      <c r="D376" s="533"/>
      <c r="E376" s="533"/>
      <c r="F376" s="533"/>
      <c r="G376" s="533"/>
      <c r="H376" s="533"/>
      <c r="I376" s="533"/>
      <c r="J376" s="533"/>
      <c r="K376" s="533"/>
      <c r="L376" s="533"/>
      <c r="M376" s="533"/>
      <c r="N376" s="533"/>
      <c r="O376" s="533"/>
      <c r="P376" s="533"/>
      <c r="Q376" s="533"/>
      <c r="R376" s="533"/>
      <c r="S376" s="533"/>
      <c r="T376" s="533"/>
      <c r="U376" s="533"/>
      <c r="V376" s="533"/>
      <c r="W376" s="533"/>
      <c r="X376" s="533"/>
      <c r="Y376" s="533"/>
    </row>
    <row r="377" spans="1:25" s="531" customFormat="1" ht="19.5" customHeight="1">
      <c r="A377" s="532"/>
      <c r="B377" s="533"/>
      <c r="C377" s="533"/>
      <c r="D377" s="533"/>
      <c r="E377" s="533"/>
      <c r="F377" s="533"/>
      <c r="G377" s="533"/>
      <c r="H377" s="533"/>
      <c r="I377" s="533"/>
      <c r="J377" s="533"/>
      <c r="K377" s="533"/>
      <c r="L377" s="533"/>
      <c r="M377" s="533"/>
      <c r="N377" s="533"/>
      <c r="O377" s="533"/>
      <c r="P377" s="533"/>
      <c r="Q377" s="533"/>
      <c r="R377" s="533"/>
      <c r="S377" s="533"/>
      <c r="T377" s="533"/>
      <c r="U377" s="533"/>
      <c r="V377" s="533"/>
      <c r="W377" s="533"/>
      <c r="X377" s="533"/>
      <c r="Y377" s="533"/>
    </row>
    <row r="378" spans="1:25" s="531" customFormat="1" ht="19.5" customHeight="1">
      <c r="A378" s="532"/>
      <c r="B378" s="533"/>
      <c r="C378" s="533"/>
      <c r="D378" s="533"/>
      <c r="E378" s="533"/>
      <c r="F378" s="533"/>
      <c r="G378" s="533"/>
      <c r="H378" s="533"/>
      <c r="I378" s="533"/>
      <c r="J378" s="533"/>
      <c r="K378" s="533"/>
      <c r="L378" s="533"/>
      <c r="M378" s="533"/>
      <c r="N378" s="533"/>
      <c r="O378" s="533"/>
      <c r="P378" s="533"/>
      <c r="Q378" s="533"/>
      <c r="R378" s="533"/>
      <c r="S378" s="533"/>
      <c r="T378" s="533"/>
      <c r="U378" s="533"/>
      <c r="V378" s="533"/>
      <c r="W378" s="533"/>
      <c r="X378" s="533"/>
      <c r="Y378" s="533"/>
    </row>
    <row r="379" spans="1:25" s="531" customFormat="1" ht="19.5" customHeight="1">
      <c r="A379" s="532"/>
      <c r="B379" s="533"/>
      <c r="C379" s="533"/>
      <c r="D379" s="533"/>
      <c r="E379" s="533"/>
      <c r="F379" s="533"/>
      <c r="G379" s="533"/>
      <c r="H379" s="533"/>
      <c r="I379" s="533"/>
      <c r="J379" s="533"/>
      <c r="K379" s="533"/>
      <c r="L379" s="533"/>
      <c r="M379" s="533"/>
      <c r="N379" s="533"/>
      <c r="O379" s="533"/>
      <c r="P379" s="533"/>
      <c r="Q379" s="533"/>
      <c r="R379" s="533"/>
      <c r="S379" s="533"/>
      <c r="T379" s="533"/>
      <c r="U379" s="533"/>
      <c r="V379" s="533"/>
      <c r="W379" s="533"/>
      <c r="X379" s="533"/>
      <c r="Y379" s="533"/>
    </row>
    <row r="380" spans="1:25" s="531" customFormat="1" ht="19.5" customHeight="1">
      <c r="A380" s="532"/>
      <c r="B380" s="533"/>
      <c r="C380" s="533"/>
      <c r="D380" s="533"/>
      <c r="E380" s="533"/>
      <c r="F380" s="533"/>
      <c r="G380" s="533"/>
      <c r="H380" s="533"/>
      <c r="I380" s="533"/>
      <c r="J380" s="533"/>
      <c r="K380" s="533"/>
      <c r="L380" s="533"/>
      <c r="M380" s="533"/>
      <c r="N380" s="533"/>
      <c r="O380" s="533"/>
      <c r="P380" s="533"/>
      <c r="Q380" s="533"/>
      <c r="R380" s="533"/>
      <c r="S380" s="533"/>
      <c r="T380" s="533"/>
      <c r="U380" s="533"/>
      <c r="V380" s="533"/>
      <c r="W380" s="533"/>
      <c r="X380" s="533"/>
      <c r="Y380" s="533"/>
    </row>
    <row r="381" spans="1:25" s="531" customFormat="1" ht="19.5" customHeight="1">
      <c r="A381" s="532"/>
      <c r="B381" s="533"/>
      <c r="C381" s="533"/>
      <c r="D381" s="533"/>
      <c r="E381" s="533"/>
      <c r="F381" s="533"/>
      <c r="G381" s="533"/>
      <c r="H381" s="533"/>
      <c r="I381" s="533"/>
      <c r="J381" s="533"/>
      <c r="K381" s="533"/>
      <c r="L381" s="533"/>
      <c r="M381" s="533"/>
      <c r="N381" s="533"/>
      <c r="O381" s="533"/>
      <c r="P381" s="533"/>
      <c r="Q381" s="533"/>
      <c r="R381" s="533"/>
      <c r="S381" s="533"/>
      <c r="T381" s="533"/>
      <c r="U381" s="533"/>
      <c r="V381" s="533"/>
      <c r="W381" s="533"/>
      <c r="X381" s="533"/>
      <c r="Y381" s="533"/>
    </row>
    <row r="382" spans="1:25" s="531" customFormat="1" ht="19.5" customHeight="1">
      <c r="A382" s="532"/>
      <c r="B382" s="533"/>
      <c r="C382" s="533"/>
      <c r="D382" s="533"/>
      <c r="E382" s="533"/>
      <c r="F382" s="533"/>
      <c r="G382" s="533"/>
      <c r="H382" s="533"/>
      <c r="I382" s="533"/>
      <c r="J382" s="533"/>
      <c r="K382" s="533"/>
      <c r="L382" s="533"/>
      <c r="M382" s="533"/>
      <c r="N382" s="533"/>
      <c r="O382" s="533"/>
      <c r="P382" s="533"/>
      <c r="Q382" s="533"/>
      <c r="R382" s="533"/>
      <c r="S382" s="533"/>
      <c r="T382" s="533"/>
      <c r="U382" s="533"/>
      <c r="V382" s="533"/>
      <c r="W382" s="533"/>
      <c r="X382" s="533"/>
      <c r="Y382" s="533"/>
    </row>
    <row r="383" spans="1:25" s="531" customFormat="1" ht="19.5" customHeight="1">
      <c r="A383" s="532"/>
      <c r="B383" s="533"/>
      <c r="C383" s="533"/>
      <c r="D383" s="533"/>
      <c r="E383" s="533"/>
      <c r="F383" s="533"/>
      <c r="G383" s="533"/>
      <c r="H383" s="533"/>
      <c r="I383" s="533"/>
      <c r="J383" s="533"/>
      <c r="K383" s="533"/>
      <c r="L383" s="533"/>
      <c r="M383" s="533"/>
      <c r="N383" s="533"/>
      <c r="O383" s="533"/>
      <c r="P383" s="533"/>
      <c r="Q383" s="533"/>
      <c r="R383" s="533"/>
      <c r="S383" s="533"/>
      <c r="T383" s="533"/>
      <c r="U383" s="533"/>
      <c r="V383" s="533"/>
      <c r="W383" s="533"/>
      <c r="X383" s="533"/>
      <c r="Y383" s="533"/>
    </row>
    <row r="384" spans="1:25" s="531" customFormat="1" ht="19.5" customHeight="1">
      <c r="A384" s="532"/>
      <c r="B384" s="533"/>
      <c r="C384" s="533"/>
      <c r="D384" s="533"/>
      <c r="E384" s="533"/>
      <c r="F384" s="533"/>
      <c r="G384" s="533"/>
      <c r="H384" s="533"/>
      <c r="I384" s="533"/>
      <c r="J384" s="533"/>
      <c r="K384" s="533"/>
      <c r="L384" s="533"/>
      <c r="M384" s="533"/>
      <c r="N384" s="533"/>
      <c r="O384" s="533"/>
      <c r="P384" s="533"/>
      <c r="Q384" s="533"/>
      <c r="R384" s="533"/>
      <c r="S384" s="533"/>
      <c r="T384" s="533"/>
      <c r="U384" s="533"/>
      <c r="V384" s="533"/>
      <c r="W384" s="533"/>
      <c r="X384" s="533"/>
      <c r="Y384" s="533"/>
    </row>
    <row r="385" spans="1:25" s="531" customFormat="1" ht="19.5" customHeight="1">
      <c r="A385" s="532"/>
      <c r="B385" s="533"/>
      <c r="C385" s="533"/>
      <c r="D385" s="533"/>
      <c r="E385" s="533"/>
      <c r="F385" s="533"/>
      <c r="G385" s="533"/>
      <c r="H385" s="533"/>
      <c r="I385" s="533"/>
      <c r="J385" s="533"/>
      <c r="K385" s="533"/>
      <c r="L385" s="533"/>
      <c r="M385" s="533"/>
      <c r="N385" s="533"/>
      <c r="O385" s="533"/>
      <c r="P385" s="533"/>
      <c r="Q385" s="533"/>
      <c r="R385" s="533"/>
      <c r="S385" s="533"/>
      <c r="T385" s="533"/>
      <c r="U385" s="533"/>
      <c r="V385" s="533"/>
      <c r="W385" s="533"/>
      <c r="X385" s="533"/>
      <c r="Y385" s="533"/>
    </row>
    <row r="386" spans="1:25" s="531" customFormat="1" ht="19.5" customHeight="1">
      <c r="A386" s="532"/>
      <c r="B386" s="533"/>
      <c r="C386" s="533"/>
      <c r="D386" s="533"/>
      <c r="E386" s="533"/>
      <c r="F386" s="533"/>
      <c r="G386" s="533"/>
      <c r="H386" s="533"/>
      <c r="I386" s="533"/>
      <c r="J386" s="533"/>
      <c r="K386" s="533"/>
      <c r="L386" s="533"/>
      <c r="M386" s="533"/>
      <c r="N386" s="533"/>
      <c r="O386" s="533"/>
      <c r="P386" s="533"/>
      <c r="Q386" s="533"/>
      <c r="R386" s="533"/>
      <c r="S386" s="533"/>
      <c r="T386" s="533"/>
      <c r="U386" s="533"/>
      <c r="V386" s="533"/>
      <c r="W386" s="533"/>
      <c r="X386" s="533"/>
      <c r="Y386" s="533"/>
    </row>
    <row r="387" spans="1:25" s="531" customFormat="1" ht="19.5" customHeight="1">
      <c r="A387" s="532"/>
      <c r="B387" s="533"/>
      <c r="C387" s="533"/>
      <c r="D387" s="533"/>
      <c r="E387" s="533"/>
      <c r="F387" s="533"/>
      <c r="G387" s="533"/>
      <c r="H387" s="533"/>
      <c r="I387" s="533"/>
      <c r="J387" s="533"/>
      <c r="K387" s="533"/>
      <c r="L387" s="533"/>
      <c r="M387" s="533"/>
      <c r="N387" s="533"/>
      <c r="O387" s="533"/>
      <c r="P387" s="533"/>
      <c r="Q387" s="533"/>
      <c r="R387" s="533"/>
      <c r="S387" s="533"/>
      <c r="T387" s="533"/>
      <c r="U387" s="533"/>
      <c r="V387" s="533"/>
      <c r="W387" s="533"/>
      <c r="X387" s="533"/>
      <c r="Y387" s="533"/>
    </row>
    <row r="388" spans="1:25" s="531" customFormat="1" ht="19.5" customHeight="1">
      <c r="A388" s="532"/>
      <c r="B388" s="533"/>
      <c r="C388" s="533"/>
      <c r="D388" s="533"/>
      <c r="E388" s="533"/>
      <c r="F388" s="533"/>
      <c r="G388" s="533"/>
      <c r="H388" s="533"/>
      <c r="I388" s="533"/>
      <c r="J388" s="533"/>
      <c r="K388" s="533"/>
      <c r="L388" s="533"/>
      <c r="M388" s="533"/>
      <c r="N388" s="533"/>
      <c r="O388" s="533"/>
      <c r="P388" s="533"/>
      <c r="Q388" s="533"/>
      <c r="R388" s="533"/>
      <c r="S388" s="533"/>
      <c r="T388" s="533"/>
      <c r="U388" s="533"/>
      <c r="V388" s="533"/>
      <c r="W388" s="533"/>
      <c r="X388" s="533"/>
      <c r="Y388" s="533"/>
    </row>
    <row r="389" spans="1:25" s="531" customFormat="1" ht="19.5" customHeight="1">
      <c r="A389" s="532"/>
      <c r="B389" s="533"/>
      <c r="C389" s="533"/>
      <c r="D389" s="533"/>
      <c r="E389" s="533"/>
      <c r="F389" s="533"/>
      <c r="G389" s="533"/>
      <c r="H389" s="533"/>
      <c r="I389" s="533"/>
      <c r="J389" s="533"/>
      <c r="K389" s="533"/>
      <c r="L389" s="533"/>
      <c r="M389" s="533"/>
      <c r="N389" s="533"/>
      <c r="O389" s="533"/>
      <c r="P389" s="533"/>
      <c r="Q389" s="533"/>
      <c r="R389" s="533"/>
      <c r="S389" s="533"/>
      <c r="T389" s="533"/>
      <c r="U389" s="533"/>
      <c r="V389" s="533"/>
      <c r="W389" s="533"/>
      <c r="X389" s="533"/>
      <c r="Y389" s="533"/>
    </row>
    <row r="390" spans="1:25" s="531" customFormat="1" ht="19.5" customHeight="1">
      <c r="A390" s="532"/>
      <c r="B390" s="533"/>
      <c r="C390" s="533"/>
      <c r="D390" s="533"/>
      <c r="E390" s="533"/>
      <c r="F390" s="533"/>
      <c r="G390" s="533"/>
      <c r="H390" s="533"/>
      <c r="I390" s="533"/>
      <c r="J390" s="533"/>
      <c r="K390" s="533"/>
      <c r="L390" s="533"/>
      <c r="M390" s="533"/>
      <c r="N390" s="533"/>
      <c r="O390" s="533"/>
      <c r="P390" s="533"/>
      <c r="Q390" s="533"/>
      <c r="R390" s="533"/>
      <c r="S390" s="533"/>
      <c r="T390" s="533"/>
      <c r="U390" s="533"/>
      <c r="V390" s="533"/>
      <c r="W390" s="533"/>
      <c r="X390" s="533"/>
      <c r="Y390" s="533"/>
    </row>
    <row r="391" spans="1:25" s="531" customFormat="1" ht="19.5" customHeight="1">
      <c r="A391" s="532"/>
      <c r="B391" s="533"/>
      <c r="C391" s="533"/>
      <c r="D391" s="533"/>
      <c r="E391" s="533"/>
      <c r="F391" s="533"/>
      <c r="G391" s="533"/>
      <c r="H391" s="533"/>
      <c r="I391" s="533"/>
      <c r="J391" s="533"/>
      <c r="K391" s="533"/>
      <c r="L391" s="533"/>
      <c r="M391" s="533"/>
      <c r="N391" s="533"/>
      <c r="O391" s="533"/>
      <c r="P391" s="533"/>
      <c r="Q391" s="533"/>
      <c r="R391" s="533"/>
      <c r="S391" s="533"/>
      <c r="T391" s="533"/>
      <c r="U391" s="533"/>
      <c r="V391" s="533"/>
      <c r="W391" s="533"/>
      <c r="X391" s="533"/>
      <c r="Y391" s="533"/>
    </row>
    <row r="392" spans="1:25" s="531" customFormat="1" ht="19.5" customHeight="1">
      <c r="A392" s="532"/>
      <c r="B392" s="533"/>
      <c r="C392" s="533"/>
      <c r="D392" s="533"/>
      <c r="E392" s="533"/>
      <c r="F392" s="533"/>
      <c r="G392" s="533"/>
      <c r="H392" s="533"/>
      <c r="I392" s="533"/>
      <c r="J392" s="533"/>
      <c r="K392" s="533"/>
      <c r="L392" s="533"/>
      <c r="M392" s="533"/>
      <c r="N392" s="533"/>
      <c r="O392" s="533"/>
      <c r="P392" s="533"/>
      <c r="Q392" s="533"/>
      <c r="R392" s="533"/>
      <c r="S392" s="533"/>
      <c r="T392" s="533"/>
      <c r="U392" s="533"/>
      <c r="V392" s="533"/>
      <c r="W392" s="533"/>
      <c r="X392" s="533"/>
      <c r="Y392" s="533"/>
    </row>
    <row r="393" spans="1:25" s="531" customFormat="1" ht="19.5" customHeight="1">
      <c r="A393" s="532"/>
      <c r="B393" s="533"/>
      <c r="C393" s="533"/>
      <c r="D393" s="533"/>
      <c r="E393" s="533"/>
      <c r="F393" s="533"/>
      <c r="G393" s="533"/>
      <c r="H393" s="533"/>
      <c r="I393" s="533"/>
      <c r="J393" s="533"/>
      <c r="K393" s="533"/>
      <c r="L393" s="533"/>
      <c r="M393" s="533"/>
      <c r="N393" s="533"/>
      <c r="O393" s="533"/>
      <c r="P393" s="533"/>
      <c r="Q393" s="533"/>
      <c r="R393" s="533"/>
      <c r="S393" s="533"/>
      <c r="T393" s="533"/>
      <c r="U393" s="533"/>
      <c r="V393" s="533"/>
      <c r="W393" s="533"/>
      <c r="X393" s="533"/>
      <c r="Y393" s="533"/>
    </row>
    <row r="394" spans="1:25" s="531" customFormat="1" ht="19.5" customHeight="1">
      <c r="A394" s="532"/>
      <c r="B394" s="533"/>
      <c r="C394" s="533"/>
      <c r="D394" s="533"/>
      <c r="E394" s="533"/>
      <c r="F394" s="533"/>
      <c r="G394" s="533"/>
      <c r="H394" s="533"/>
      <c r="I394" s="533"/>
      <c r="J394" s="533"/>
      <c r="K394" s="533"/>
      <c r="L394" s="533"/>
      <c r="M394" s="533"/>
      <c r="N394" s="533"/>
      <c r="O394" s="533"/>
      <c r="P394" s="533"/>
      <c r="Q394" s="533"/>
      <c r="R394" s="533"/>
      <c r="S394" s="533"/>
      <c r="T394" s="533"/>
      <c r="U394" s="533"/>
      <c r="V394" s="533"/>
      <c r="W394" s="533"/>
      <c r="X394" s="533"/>
      <c r="Y394" s="533"/>
    </row>
    <row r="395" spans="1:25" s="531" customFormat="1" ht="19.5" customHeight="1">
      <c r="A395" s="532"/>
      <c r="B395" s="533"/>
      <c r="C395" s="533"/>
      <c r="D395" s="533"/>
      <c r="E395" s="533"/>
      <c r="F395" s="533"/>
      <c r="G395" s="533"/>
      <c r="H395" s="533"/>
      <c r="I395" s="533"/>
      <c r="J395" s="533"/>
      <c r="K395" s="533"/>
      <c r="L395" s="533"/>
      <c r="M395" s="533"/>
      <c r="N395" s="533"/>
      <c r="O395" s="533"/>
      <c r="P395" s="533"/>
      <c r="Q395" s="533"/>
      <c r="R395" s="533"/>
      <c r="S395" s="533"/>
      <c r="T395" s="533"/>
      <c r="U395" s="533"/>
      <c r="V395" s="533"/>
      <c r="W395" s="533"/>
      <c r="X395" s="533"/>
      <c r="Y395" s="533"/>
    </row>
    <row r="396" spans="1:25" s="531" customFormat="1" ht="19.5" customHeight="1">
      <c r="A396" s="532"/>
      <c r="B396" s="533"/>
      <c r="C396" s="533"/>
      <c r="D396" s="533"/>
      <c r="E396" s="533"/>
      <c r="F396" s="533"/>
      <c r="G396" s="533"/>
      <c r="H396" s="533"/>
      <c r="I396" s="533"/>
      <c r="J396" s="533"/>
      <c r="K396" s="533"/>
      <c r="L396" s="533"/>
      <c r="M396" s="533"/>
      <c r="N396" s="533"/>
      <c r="O396" s="533"/>
      <c r="P396" s="533"/>
      <c r="Q396" s="533"/>
      <c r="R396" s="533"/>
      <c r="S396" s="533"/>
      <c r="T396" s="533"/>
      <c r="U396" s="533"/>
      <c r="V396" s="533"/>
      <c r="W396" s="533"/>
      <c r="X396" s="533"/>
      <c r="Y396" s="533"/>
    </row>
    <row r="397" spans="1:25" s="531" customFormat="1" ht="19.5" customHeight="1">
      <c r="A397" s="532"/>
      <c r="B397" s="533"/>
      <c r="C397" s="533"/>
      <c r="D397" s="533"/>
      <c r="E397" s="533"/>
      <c r="F397" s="533"/>
      <c r="G397" s="533"/>
      <c r="H397" s="533"/>
      <c r="I397" s="533"/>
      <c r="J397" s="533"/>
      <c r="K397" s="533"/>
      <c r="L397" s="533"/>
      <c r="M397" s="533"/>
      <c r="N397" s="533"/>
      <c r="O397" s="533"/>
      <c r="P397" s="533"/>
      <c r="Q397" s="533"/>
      <c r="R397" s="533"/>
      <c r="S397" s="533"/>
      <c r="T397" s="533"/>
      <c r="U397" s="533"/>
      <c r="V397" s="533"/>
      <c r="W397" s="533"/>
      <c r="X397" s="533"/>
      <c r="Y397" s="533"/>
    </row>
    <row r="398" spans="1:25" s="531" customFormat="1" ht="19.5" customHeight="1">
      <c r="A398" s="532"/>
      <c r="B398" s="533"/>
      <c r="C398" s="533"/>
      <c r="D398" s="533"/>
      <c r="E398" s="533"/>
      <c r="F398" s="533"/>
      <c r="G398" s="533"/>
      <c r="H398" s="533"/>
      <c r="I398" s="533"/>
      <c r="J398" s="533"/>
      <c r="K398" s="533"/>
      <c r="L398" s="533"/>
      <c r="M398" s="533"/>
      <c r="N398" s="533"/>
      <c r="O398" s="533"/>
      <c r="P398" s="533"/>
      <c r="Q398" s="533"/>
      <c r="R398" s="533"/>
      <c r="S398" s="533"/>
      <c r="T398" s="533"/>
      <c r="U398" s="533"/>
      <c r="V398" s="533"/>
      <c r="W398" s="533"/>
      <c r="X398" s="533"/>
      <c r="Y398" s="533"/>
    </row>
    <row r="399" spans="1:25" s="531" customFormat="1" ht="19.5" customHeight="1">
      <c r="A399" s="532"/>
      <c r="B399" s="533"/>
      <c r="C399" s="533"/>
      <c r="D399" s="533"/>
      <c r="E399" s="533"/>
      <c r="F399" s="533"/>
      <c r="G399" s="533"/>
      <c r="H399" s="533"/>
      <c r="I399" s="533"/>
      <c r="J399" s="533"/>
      <c r="K399" s="533"/>
      <c r="L399" s="533"/>
      <c r="M399" s="533"/>
      <c r="N399" s="533"/>
      <c r="O399" s="533"/>
      <c r="P399" s="533"/>
      <c r="Q399" s="533"/>
      <c r="R399" s="533"/>
      <c r="S399" s="533"/>
      <c r="T399" s="533"/>
      <c r="U399" s="533"/>
      <c r="V399" s="533"/>
      <c r="W399" s="533"/>
      <c r="X399" s="533"/>
      <c r="Y399" s="533"/>
    </row>
    <row r="400" spans="1:25" s="531" customFormat="1" ht="19.5" customHeight="1">
      <c r="A400" s="532"/>
      <c r="B400" s="533"/>
      <c r="C400" s="533"/>
      <c r="D400" s="533"/>
      <c r="E400" s="533"/>
      <c r="F400" s="533"/>
      <c r="G400" s="533"/>
      <c r="H400" s="533"/>
      <c r="I400" s="533"/>
      <c r="J400" s="533"/>
      <c r="K400" s="533"/>
      <c r="L400" s="533"/>
      <c r="M400" s="533"/>
      <c r="N400" s="533"/>
      <c r="O400" s="533"/>
      <c r="P400" s="533"/>
      <c r="Q400" s="533"/>
      <c r="R400" s="533"/>
      <c r="S400" s="533"/>
      <c r="T400" s="533"/>
      <c r="U400" s="533"/>
      <c r="V400" s="533"/>
      <c r="W400" s="533"/>
      <c r="X400" s="533"/>
      <c r="Y400" s="533"/>
    </row>
    <row r="401" spans="1:25" s="531" customFormat="1" ht="19.5" customHeight="1">
      <c r="A401" s="532"/>
      <c r="B401" s="533"/>
      <c r="C401" s="533"/>
      <c r="D401" s="533"/>
      <c r="E401" s="533"/>
      <c r="F401" s="533"/>
      <c r="G401" s="533"/>
      <c r="H401" s="533"/>
      <c r="I401" s="533"/>
      <c r="J401" s="533"/>
      <c r="K401" s="533"/>
      <c r="L401" s="533"/>
      <c r="M401" s="533"/>
      <c r="N401" s="533"/>
      <c r="O401" s="533"/>
      <c r="P401" s="533"/>
      <c r="Q401" s="533"/>
      <c r="R401" s="533"/>
      <c r="S401" s="533"/>
      <c r="T401" s="533"/>
      <c r="U401" s="533"/>
      <c r="V401" s="533"/>
      <c r="W401" s="533"/>
      <c r="X401" s="533"/>
      <c r="Y401" s="533"/>
    </row>
    <row r="402" spans="1:25" s="531" customFormat="1" ht="19.5" customHeight="1">
      <c r="A402" s="532"/>
      <c r="B402" s="533"/>
      <c r="C402" s="533"/>
      <c r="D402" s="533"/>
      <c r="E402" s="533"/>
      <c r="F402" s="533"/>
      <c r="G402" s="533"/>
      <c r="H402" s="533"/>
      <c r="I402" s="533"/>
      <c r="J402" s="533"/>
      <c r="K402" s="533"/>
      <c r="L402" s="533"/>
      <c r="M402" s="533"/>
      <c r="N402" s="533"/>
      <c r="O402" s="533"/>
      <c r="P402" s="533"/>
      <c r="Q402" s="533"/>
      <c r="R402" s="533"/>
      <c r="S402" s="533"/>
      <c r="T402" s="533"/>
      <c r="U402" s="533"/>
      <c r="V402" s="533"/>
      <c r="W402" s="533"/>
      <c r="X402" s="533"/>
      <c r="Y402" s="533"/>
    </row>
    <row r="403" spans="1:25" s="531" customFormat="1" ht="19.5" customHeight="1">
      <c r="A403" s="532"/>
      <c r="B403" s="533"/>
      <c r="C403" s="533"/>
      <c r="D403" s="533"/>
      <c r="E403" s="533"/>
      <c r="F403" s="533"/>
      <c r="G403" s="533"/>
      <c r="H403" s="533"/>
      <c r="I403" s="533"/>
      <c r="J403" s="533"/>
      <c r="K403" s="533"/>
      <c r="L403" s="533"/>
      <c r="M403" s="533"/>
      <c r="N403" s="533"/>
      <c r="O403" s="533"/>
      <c r="P403" s="533"/>
      <c r="Q403" s="533"/>
      <c r="R403" s="533"/>
      <c r="S403" s="533"/>
      <c r="T403" s="533"/>
      <c r="U403" s="533"/>
      <c r="V403" s="533"/>
      <c r="W403" s="533"/>
      <c r="X403" s="533"/>
      <c r="Y403" s="533"/>
    </row>
    <row r="404" spans="1:25" s="531" customFormat="1" ht="19.5" customHeight="1">
      <c r="A404" s="532"/>
      <c r="B404" s="533"/>
      <c r="C404" s="533"/>
      <c r="D404" s="533"/>
      <c r="E404" s="533"/>
      <c r="F404" s="533"/>
      <c r="G404" s="533"/>
      <c r="H404" s="533"/>
      <c r="I404" s="533"/>
      <c r="J404" s="533"/>
      <c r="K404" s="533"/>
      <c r="L404" s="533"/>
      <c r="M404" s="533"/>
      <c r="N404" s="533"/>
      <c r="O404" s="533"/>
      <c r="P404" s="533"/>
      <c r="Q404" s="533"/>
      <c r="R404" s="533"/>
      <c r="S404" s="533"/>
      <c r="T404" s="533"/>
      <c r="U404" s="533"/>
      <c r="V404" s="533"/>
      <c r="W404" s="533"/>
      <c r="X404" s="533"/>
      <c r="Y404" s="533"/>
    </row>
    <row r="405" spans="1:25" s="531" customFormat="1" ht="19.5" customHeight="1">
      <c r="A405" s="532"/>
      <c r="B405" s="533"/>
      <c r="C405" s="533"/>
      <c r="D405" s="533"/>
      <c r="E405" s="533"/>
      <c r="F405" s="533"/>
      <c r="G405" s="533"/>
      <c r="H405" s="533"/>
      <c r="I405" s="533"/>
      <c r="J405" s="533"/>
      <c r="K405" s="533"/>
      <c r="L405" s="533"/>
      <c r="M405" s="533"/>
      <c r="N405" s="533"/>
      <c r="O405" s="533"/>
      <c r="P405" s="533"/>
      <c r="Q405" s="533"/>
      <c r="R405" s="533"/>
      <c r="S405" s="533"/>
      <c r="T405" s="533"/>
      <c r="U405" s="533"/>
      <c r="V405" s="533"/>
      <c r="W405" s="533"/>
      <c r="X405" s="533"/>
      <c r="Y405" s="533"/>
    </row>
    <row r="406" spans="1:25" s="531" customFormat="1" ht="19.5" customHeight="1">
      <c r="A406" s="532"/>
      <c r="B406" s="533"/>
      <c r="C406" s="533"/>
      <c r="D406" s="533"/>
      <c r="E406" s="533"/>
      <c r="F406" s="533"/>
      <c r="G406" s="533"/>
      <c r="H406" s="533"/>
      <c r="I406" s="533"/>
      <c r="J406" s="533"/>
      <c r="K406" s="533"/>
      <c r="L406" s="533"/>
      <c r="M406" s="533"/>
      <c r="N406" s="533"/>
      <c r="O406" s="533"/>
      <c r="P406" s="533"/>
      <c r="Q406" s="533"/>
      <c r="R406" s="533"/>
      <c r="S406" s="533"/>
      <c r="T406" s="533"/>
      <c r="U406" s="533"/>
      <c r="V406" s="533"/>
      <c r="W406" s="533"/>
      <c r="X406" s="533"/>
      <c r="Y406" s="533"/>
    </row>
    <row r="407" spans="1:25" s="531" customFormat="1" ht="19.5" customHeight="1">
      <c r="A407" s="532"/>
      <c r="B407" s="533"/>
      <c r="C407" s="533"/>
      <c r="D407" s="533"/>
      <c r="E407" s="533"/>
      <c r="F407" s="533"/>
      <c r="G407" s="533"/>
      <c r="H407" s="533"/>
      <c r="I407" s="533"/>
      <c r="J407" s="533"/>
      <c r="K407" s="533"/>
      <c r="L407" s="533"/>
      <c r="M407" s="533"/>
      <c r="N407" s="533"/>
      <c r="O407" s="533"/>
      <c r="P407" s="533"/>
      <c r="Q407" s="533"/>
      <c r="R407" s="533"/>
      <c r="S407" s="533"/>
      <c r="T407" s="533"/>
      <c r="U407" s="533"/>
      <c r="V407" s="533"/>
      <c r="W407" s="533"/>
      <c r="X407" s="533"/>
      <c r="Y407" s="533"/>
    </row>
    <row r="408" spans="1:25" s="531" customFormat="1" ht="19.5" customHeight="1">
      <c r="A408" s="532"/>
      <c r="B408" s="533"/>
      <c r="C408" s="533"/>
      <c r="D408" s="533"/>
      <c r="E408" s="533"/>
      <c r="F408" s="533"/>
      <c r="G408" s="533"/>
      <c r="H408" s="533"/>
      <c r="I408" s="533"/>
      <c r="J408" s="533"/>
      <c r="K408" s="533"/>
      <c r="L408" s="533"/>
      <c r="M408" s="533"/>
      <c r="N408" s="533"/>
      <c r="O408" s="533"/>
      <c r="P408" s="533"/>
      <c r="Q408" s="533"/>
      <c r="R408" s="533"/>
      <c r="S408" s="533"/>
      <c r="T408" s="533"/>
      <c r="U408" s="533"/>
      <c r="V408" s="533"/>
      <c r="W408" s="533"/>
      <c r="X408" s="533"/>
      <c r="Y408" s="533"/>
    </row>
    <row r="409" spans="1:25" s="531" customFormat="1" ht="19.5" customHeight="1">
      <c r="A409" s="532"/>
      <c r="B409" s="533"/>
      <c r="C409" s="533"/>
      <c r="D409" s="533"/>
      <c r="E409" s="533"/>
      <c r="F409" s="533"/>
      <c r="G409" s="533"/>
      <c r="H409" s="533"/>
      <c r="I409" s="533"/>
      <c r="J409" s="533"/>
      <c r="K409" s="533"/>
      <c r="L409" s="533"/>
      <c r="M409" s="533"/>
      <c r="N409" s="533"/>
      <c r="O409" s="533"/>
      <c r="P409" s="533"/>
      <c r="Q409" s="533"/>
      <c r="R409" s="533"/>
      <c r="S409" s="533"/>
      <c r="T409" s="533"/>
      <c r="U409" s="533"/>
      <c r="V409" s="533"/>
      <c r="W409" s="533"/>
      <c r="X409" s="533"/>
      <c r="Y409" s="533"/>
    </row>
    <row r="410" spans="1:25" s="531" customFormat="1" ht="19.5" customHeight="1">
      <c r="A410" s="532"/>
      <c r="B410" s="533"/>
      <c r="C410" s="533"/>
      <c r="D410" s="533"/>
      <c r="E410" s="533"/>
      <c r="F410" s="533"/>
      <c r="G410" s="533"/>
      <c r="H410" s="533"/>
      <c r="I410" s="533"/>
      <c r="J410" s="533"/>
      <c r="K410" s="533"/>
      <c r="L410" s="533"/>
      <c r="M410" s="533"/>
      <c r="N410" s="533"/>
      <c r="O410" s="533"/>
      <c r="P410" s="533"/>
      <c r="Q410" s="533"/>
      <c r="R410" s="533"/>
      <c r="S410" s="533"/>
      <c r="T410" s="533"/>
      <c r="U410" s="533"/>
      <c r="V410" s="533"/>
      <c r="W410" s="533"/>
      <c r="X410" s="533"/>
      <c r="Y410" s="533"/>
    </row>
    <row r="411" spans="1:25" s="531" customFormat="1" ht="19.5" customHeight="1">
      <c r="A411" s="532"/>
      <c r="B411" s="533"/>
      <c r="C411" s="533"/>
      <c r="D411" s="533"/>
      <c r="E411" s="533"/>
      <c r="F411" s="533"/>
      <c r="G411" s="533"/>
      <c r="H411" s="533"/>
      <c r="I411" s="533"/>
      <c r="J411" s="533"/>
      <c r="K411" s="533"/>
      <c r="L411" s="533"/>
      <c r="M411" s="533"/>
      <c r="N411" s="533"/>
      <c r="O411" s="533"/>
      <c r="P411" s="533"/>
      <c r="Q411" s="533"/>
      <c r="R411" s="533"/>
      <c r="S411" s="533"/>
      <c r="T411" s="533"/>
      <c r="U411" s="533"/>
      <c r="V411" s="533"/>
      <c r="W411" s="533"/>
      <c r="X411" s="533"/>
      <c r="Y411" s="533"/>
    </row>
    <row r="412" spans="1:25" s="531" customFormat="1" ht="19.5" customHeight="1">
      <c r="A412" s="532"/>
      <c r="B412" s="533"/>
      <c r="C412" s="533"/>
      <c r="D412" s="533"/>
      <c r="E412" s="533"/>
      <c r="F412" s="533"/>
      <c r="G412" s="533"/>
      <c r="H412" s="533"/>
      <c r="I412" s="533"/>
      <c r="J412" s="533"/>
      <c r="K412" s="533"/>
      <c r="L412" s="533"/>
      <c r="M412" s="533"/>
      <c r="N412" s="533"/>
      <c r="O412" s="533"/>
      <c r="P412" s="533"/>
      <c r="Q412" s="533"/>
      <c r="R412" s="533"/>
      <c r="S412" s="533"/>
      <c r="T412" s="533"/>
      <c r="U412" s="533"/>
      <c r="V412" s="533"/>
      <c r="W412" s="533"/>
      <c r="X412" s="533"/>
      <c r="Y412" s="533"/>
    </row>
    <row r="413" ht="19.5" customHeight="1"/>
    <row r="414" ht="9.75" customHeight="1"/>
    <row r="415" ht="19.5" customHeight="1"/>
    <row r="416" ht="19.5" customHeight="1"/>
    <row r="417" ht="19.5" customHeight="1"/>
    <row r="418" spans="1:25" s="531" customFormat="1" ht="19.5" customHeight="1">
      <c r="A418" s="532"/>
      <c r="B418" s="533"/>
      <c r="C418" s="533"/>
      <c r="D418" s="533"/>
      <c r="E418" s="533"/>
      <c r="F418" s="533"/>
      <c r="G418" s="533"/>
      <c r="H418" s="533"/>
      <c r="I418" s="533"/>
      <c r="J418" s="533"/>
      <c r="K418" s="533"/>
      <c r="L418" s="533"/>
      <c r="M418" s="533"/>
      <c r="N418" s="533"/>
      <c r="O418" s="533"/>
      <c r="P418" s="533"/>
      <c r="Q418" s="533"/>
      <c r="R418" s="533"/>
      <c r="S418" s="533"/>
      <c r="T418" s="533"/>
      <c r="U418" s="533"/>
      <c r="V418" s="533"/>
      <c r="W418" s="533"/>
      <c r="X418" s="533"/>
      <c r="Y418" s="533"/>
    </row>
    <row r="419" spans="1:25" s="531" customFormat="1" ht="19.5" customHeight="1">
      <c r="A419" s="532"/>
      <c r="B419" s="533"/>
      <c r="C419" s="533"/>
      <c r="D419" s="533"/>
      <c r="E419" s="533"/>
      <c r="F419" s="533"/>
      <c r="G419" s="533"/>
      <c r="H419" s="533"/>
      <c r="I419" s="533"/>
      <c r="J419" s="533"/>
      <c r="K419" s="533"/>
      <c r="L419" s="533"/>
      <c r="M419" s="533"/>
      <c r="N419" s="533"/>
      <c r="O419" s="533"/>
      <c r="P419" s="533"/>
      <c r="Q419" s="533"/>
      <c r="R419" s="533"/>
      <c r="S419" s="533"/>
      <c r="T419" s="533"/>
      <c r="U419" s="533"/>
      <c r="V419" s="533"/>
      <c r="W419" s="533"/>
      <c r="X419" s="533"/>
      <c r="Y419" s="533"/>
    </row>
    <row r="420" spans="1:25" s="531" customFormat="1" ht="19.5" customHeight="1">
      <c r="A420" s="532"/>
      <c r="B420" s="533"/>
      <c r="C420" s="533"/>
      <c r="D420" s="533"/>
      <c r="E420" s="533"/>
      <c r="F420" s="533"/>
      <c r="G420" s="533"/>
      <c r="H420" s="533"/>
      <c r="I420" s="533"/>
      <c r="J420" s="533"/>
      <c r="K420" s="533"/>
      <c r="L420" s="533"/>
      <c r="M420" s="533"/>
      <c r="N420" s="533"/>
      <c r="O420" s="533"/>
      <c r="P420" s="533"/>
      <c r="Q420" s="533"/>
      <c r="R420" s="533"/>
      <c r="S420" s="533"/>
      <c r="T420" s="533"/>
      <c r="U420" s="533"/>
      <c r="V420" s="533"/>
      <c r="W420" s="533"/>
      <c r="X420" s="533"/>
      <c r="Y420" s="533"/>
    </row>
    <row r="421" spans="1:25" s="531" customFormat="1" ht="19.5" customHeight="1">
      <c r="A421" s="532"/>
      <c r="B421" s="533"/>
      <c r="C421" s="533"/>
      <c r="D421" s="533"/>
      <c r="E421" s="533"/>
      <c r="F421" s="533"/>
      <c r="G421" s="533"/>
      <c r="H421" s="533"/>
      <c r="I421" s="533"/>
      <c r="J421" s="533"/>
      <c r="K421" s="533"/>
      <c r="L421" s="533"/>
      <c r="M421" s="533"/>
      <c r="N421" s="533"/>
      <c r="O421" s="533"/>
      <c r="P421" s="533"/>
      <c r="Q421" s="533"/>
      <c r="R421" s="533"/>
      <c r="S421" s="533"/>
      <c r="T421" s="533"/>
      <c r="U421" s="533"/>
      <c r="V421" s="533"/>
      <c r="W421" s="533"/>
      <c r="X421" s="533"/>
      <c r="Y421" s="533"/>
    </row>
    <row r="422" spans="1:25" s="531" customFormat="1" ht="19.5" customHeight="1">
      <c r="A422" s="532"/>
      <c r="B422" s="533"/>
      <c r="C422" s="533"/>
      <c r="D422" s="533"/>
      <c r="E422" s="533"/>
      <c r="F422" s="533"/>
      <c r="G422" s="533"/>
      <c r="H422" s="533"/>
      <c r="I422" s="533"/>
      <c r="J422" s="533"/>
      <c r="K422" s="533"/>
      <c r="L422" s="533"/>
      <c r="M422" s="533"/>
      <c r="N422" s="533"/>
      <c r="O422" s="533"/>
      <c r="P422" s="533"/>
      <c r="Q422" s="533"/>
      <c r="R422" s="533"/>
      <c r="S422" s="533"/>
      <c r="T422" s="533"/>
      <c r="U422" s="533"/>
      <c r="V422" s="533"/>
      <c r="W422" s="533"/>
      <c r="X422" s="533"/>
      <c r="Y422" s="533"/>
    </row>
    <row r="423" spans="1:25" s="531" customFormat="1" ht="19.5" customHeight="1">
      <c r="A423" s="532"/>
      <c r="B423" s="533"/>
      <c r="C423" s="533"/>
      <c r="D423" s="533"/>
      <c r="E423" s="533"/>
      <c r="F423" s="533"/>
      <c r="G423" s="533"/>
      <c r="H423" s="533"/>
      <c r="I423" s="533"/>
      <c r="J423" s="533"/>
      <c r="K423" s="533"/>
      <c r="L423" s="533"/>
      <c r="M423" s="533"/>
      <c r="N423" s="533"/>
      <c r="O423" s="533"/>
      <c r="P423" s="533"/>
      <c r="Q423" s="533"/>
      <c r="R423" s="533"/>
      <c r="S423" s="533"/>
      <c r="T423" s="533"/>
      <c r="U423" s="533"/>
      <c r="V423" s="533"/>
      <c r="W423" s="533"/>
      <c r="X423" s="533"/>
      <c r="Y423" s="533"/>
    </row>
    <row r="424" spans="1:25" s="531" customFormat="1" ht="19.5" customHeight="1">
      <c r="A424" s="532"/>
      <c r="B424" s="533"/>
      <c r="C424" s="533"/>
      <c r="D424" s="533"/>
      <c r="E424" s="533"/>
      <c r="F424" s="533"/>
      <c r="G424" s="533"/>
      <c r="H424" s="533"/>
      <c r="I424" s="533"/>
      <c r="J424" s="533"/>
      <c r="K424" s="533"/>
      <c r="L424" s="533"/>
      <c r="M424" s="533"/>
      <c r="N424" s="533"/>
      <c r="O424" s="533"/>
      <c r="P424" s="533"/>
      <c r="Q424" s="533"/>
      <c r="R424" s="533"/>
      <c r="S424" s="533"/>
      <c r="T424" s="533"/>
      <c r="U424" s="533"/>
      <c r="V424" s="533"/>
      <c r="W424" s="533"/>
      <c r="X424" s="533"/>
      <c r="Y424" s="533"/>
    </row>
    <row r="425" spans="1:25" s="531" customFormat="1" ht="19.5" customHeight="1">
      <c r="A425" s="532"/>
      <c r="B425" s="533"/>
      <c r="C425" s="533"/>
      <c r="D425" s="533"/>
      <c r="E425" s="533"/>
      <c r="F425" s="533"/>
      <c r="G425" s="533"/>
      <c r="H425" s="533"/>
      <c r="I425" s="533"/>
      <c r="J425" s="533"/>
      <c r="K425" s="533"/>
      <c r="L425" s="533"/>
      <c r="M425" s="533"/>
      <c r="N425" s="533"/>
      <c r="O425" s="533"/>
      <c r="P425" s="533"/>
      <c r="Q425" s="533"/>
      <c r="R425" s="533"/>
      <c r="S425" s="533"/>
      <c r="T425" s="533"/>
      <c r="U425" s="533"/>
      <c r="V425" s="533"/>
      <c r="W425" s="533"/>
      <c r="X425" s="533"/>
      <c r="Y425" s="533"/>
    </row>
    <row r="426" spans="1:25" s="531" customFormat="1" ht="19.5" customHeight="1">
      <c r="A426" s="532"/>
      <c r="B426" s="533"/>
      <c r="C426" s="533"/>
      <c r="D426" s="533"/>
      <c r="E426" s="533"/>
      <c r="F426" s="533"/>
      <c r="G426" s="533"/>
      <c r="H426" s="533"/>
      <c r="I426" s="533"/>
      <c r="J426" s="533"/>
      <c r="K426" s="533"/>
      <c r="L426" s="533"/>
      <c r="M426" s="533"/>
      <c r="N426" s="533"/>
      <c r="O426" s="533"/>
      <c r="P426" s="533"/>
      <c r="Q426" s="533"/>
      <c r="R426" s="533"/>
      <c r="S426" s="533"/>
      <c r="T426" s="533"/>
      <c r="U426" s="533"/>
      <c r="V426" s="533"/>
      <c r="W426" s="533"/>
      <c r="X426" s="533"/>
      <c r="Y426" s="533"/>
    </row>
    <row r="427" spans="1:25" s="531" customFormat="1" ht="19.5" customHeight="1">
      <c r="A427" s="532"/>
      <c r="B427" s="533"/>
      <c r="C427" s="533"/>
      <c r="D427" s="533"/>
      <c r="E427" s="533"/>
      <c r="F427" s="533"/>
      <c r="G427" s="533"/>
      <c r="H427" s="533"/>
      <c r="I427" s="533"/>
      <c r="J427" s="533"/>
      <c r="K427" s="533"/>
      <c r="L427" s="533"/>
      <c r="M427" s="533"/>
      <c r="N427" s="533"/>
      <c r="O427" s="533"/>
      <c r="P427" s="533"/>
      <c r="Q427" s="533"/>
      <c r="R427" s="533"/>
      <c r="S427" s="533"/>
      <c r="T427" s="533"/>
      <c r="U427" s="533"/>
      <c r="V427" s="533"/>
      <c r="W427" s="533"/>
      <c r="X427" s="533"/>
      <c r="Y427" s="533"/>
    </row>
    <row r="428" spans="1:25" s="531" customFormat="1" ht="19.5" customHeight="1">
      <c r="A428" s="532"/>
      <c r="B428" s="533"/>
      <c r="C428" s="533"/>
      <c r="D428" s="533"/>
      <c r="E428" s="533"/>
      <c r="F428" s="533"/>
      <c r="G428" s="533"/>
      <c r="H428" s="533"/>
      <c r="I428" s="533"/>
      <c r="J428" s="533"/>
      <c r="K428" s="533"/>
      <c r="L428" s="533"/>
      <c r="M428" s="533"/>
      <c r="N428" s="533"/>
      <c r="O428" s="533"/>
      <c r="P428" s="533"/>
      <c r="Q428" s="533"/>
      <c r="R428" s="533"/>
      <c r="S428" s="533"/>
      <c r="T428" s="533"/>
      <c r="U428" s="533"/>
      <c r="V428" s="533"/>
      <c r="W428" s="533"/>
      <c r="X428" s="533"/>
      <c r="Y428" s="533"/>
    </row>
    <row r="429" spans="1:25" s="531" customFormat="1" ht="19.5" customHeight="1">
      <c r="A429" s="532"/>
      <c r="B429" s="533"/>
      <c r="C429" s="533"/>
      <c r="D429" s="533"/>
      <c r="E429" s="533"/>
      <c r="F429" s="533"/>
      <c r="G429" s="533"/>
      <c r="H429" s="533"/>
      <c r="I429" s="533"/>
      <c r="J429" s="533"/>
      <c r="K429" s="533"/>
      <c r="L429" s="533"/>
      <c r="M429" s="533"/>
      <c r="N429" s="533"/>
      <c r="O429" s="533"/>
      <c r="P429" s="533"/>
      <c r="Q429" s="533"/>
      <c r="R429" s="533"/>
      <c r="S429" s="533"/>
      <c r="T429" s="533"/>
      <c r="U429" s="533"/>
      <c r="V429" s="533"/>
      <c r="W429" s="533"/>
      <c r="X429" s="533"/>
      <c r="Y429" s="533"/>
    </row>
    <row r="430" spans="1:25" s="531" customFormat="1" ht="19.5" customHeight="1">
      <c r="A430" s="532"/>
      <c r="B430" s="533"/>
      <c r="C430" s="533"/>
      <c r="D430" s="533"/>
      <c r="E430" s="533"/>
      <c r="F430" s="533"/>
      <c r="G430" s="533"/>
      <c r="H430" s="533"/>
      <c r="I430" s="533"/>
      <c r="J430" s="533"/>
      <c r="K430" s="533"/>
      <c r="L430" s="533"/>
      <c r="M430" s="533"/>
      <c r="N430" s="533"/>
      <c r="O430" s="533"/>
      <c r="P430" s="533"/>
      <c r="Q430" s="533"/>
      <c r="R430" s="533"/>
      <c r="S430" s="533"/>
      <c r="T430" s="533"/>
      <c r="U430" s="533"/>
      <c r="V430" s="533"/>
      <c r="W430" s="533"/>
      <c r="X430" s="533"/>
      <c r="Y430" s="533"/>
    </row>
    <row r="431" spans="1:25" s="531" customFormat="1" ht="19.5" customHeight="1">
      <c r="A431" s="532"/>
      <c r="B431" s="533"/>
      <c r="C431" s="533"/>
      <c r="D431" s="533"/>
      <c r="E431" s="533"/>
      <c r="F431" s="533"/>
      <c r="G431" s="533"/>
      <c r="H431" s="533"/>
      <c r="I431" s="533"/>
      <c r="J431" s="533"/>
      <c r="K431" s="533"/>
      <c r="L431" s="533"/>
      <c r="M431" s="533"/>
      <c r="N431" s="533"/>
      <c r="O431" s="533"/>
      <c r="P431" s="533"/>
      <c r="Q431" s="533"/>
      <c r="R431" s="533"/>
      <c r="S431" s="533"/>
      <c r="T431" s="533"/>
      <c r="U431" s="533"/>
      <c r="V431" s="533"/>
      <c r="W431" s="533"/>
      <c r="X431" s="533"/>
      <c r="Y431" s="533"/>
    </row>
    <row r="432" spans="1:25" s="531" customFormat="1" ht="19.5" customHeight="1">
      <c r="A432" s="532"/>
      <c r="B432" s="533"/>
      <c r="C432" s="533"/>
      <c r="D432" s="533"/>
      <c r="E432" s="533"/>
      <c r="F432" s="533"/>
      <c r="G432" s="533"/>
      <c r="H432" s="533"/>
      <c r="I432" s="533"/>
      <c r="J432" s="533"/>
      <c r="K432" s="533"/>
      <c r="L432" s="533"/>
      <c r="M432" s="533"/>
      <c r="N432" s="533"/>
      <c r="O432" s="533"/>
      <c r="P432" s="533"/>
      <c r="Q432" s="533"/>
      <c r="R432" s="533"/>
      <c r="S432" s="533"/>
      <c r="T432" s="533"/>
      <c r="U432" s="533"/>
      <c r="V432" s="533"/>
      <c r="W432" s="533"/>
      <c r="X432" s="533"/>
      <c r="Y432" s="533"/>
    </row>
    <row r="433" spans="1:25" s="531" customFormat="1" ht="19.5" customHeight="1">
      <c r="A433" s="532"/>
      <c r="B433" s="533"/>
      <c r="C433" s="533"/>
      <c r="D433" s="533"/>
      <c r="E433" s="533"/>
      <c r="F433" s="533"/>
      <c r="G433" s="533"/>
      <c r="H433" s="533"/>
      <c r="I433" s="533"/>
      <c r="J433" s="533"/>
      <c r="K433" s="533"/>
      <c r="L433" s="533"/>
      <c r="M433" s="533"/>
      <c r="N433" s="533"/>
      <c r="O433" s="533"/>
      <c r="P433" s="533"/>
      <c r="Q433" s="533"/>
      <c r="R433" s="533"/>
      <c r="S433" s="533"/>
      <c r="T433" s="533"/>
      <c r="U433" s="533"/>
      <c r="V433" s="533"/>
      <c r="W433" s="533"/>
      <c r="X433" s="533"/>
      <c r="Y433" s="533"/>
    </row>
    <row r="434" spans="1:25" s="531" customFormat="1" ht="19.5" customHeight="1">
      <c r="A434" s="532"/>
      <c r="B434" s="533"/>
      <c r="C434" s="533"/>
      <c r="D434" s="533"/>
      <c r="E434" s="533"/>
      <c r="F434" s="533"/>
      <c r="G434" s="533"/>
      <c r="H434" s="533"/>
      <c r="I434" s="533"/>
      <c r="J434" s="533"/>
      <c r="K434" s="533"/>
      <c r="L434" s="533"/>
      <c r="M434" s="533"/>
      <c r="N434" s="533"/>
      <c r="O434" s="533"/>
      <c r="P434" s="533"/>
      <c r="Q434" s="533"/>
      <c r="R434" s="533"/>
      <c r="S434" s="533"/>
      <c r="T434" s="533"/>
      <c r="U434" s="533"/>
      <c r="V434" s="533"/>
      <c r="W434" s="533"/>
      <c r="X434" s="533"/>
      <c r="Y434" s="533"/>
    </row>
    <row r="435" spans="1:25" s="531" customFormat="1" ht="19.5" customHeight="1">
      <c r="A435" s="532"/>
      <c r="B435" s="533"/>
      <c r="C435" s="533"/>
      <c r="D435" s="533"/>
      <c r="E435" s="533"/>
      <c r="F435" s="533"/>
      <c r="G435" s="533"/>
      <c r="H435" s="533"/>
      <c r="I435" s="533"/>
      <c r="J435" s="533"/>
      <c r="K435" s="533"/>
      <c r="L435" s="533"/>
      <c r="M435" s="533"/>
      <c r="N435" s="533"/>
      <c r="O435" s="533"/>
      <c r="P435" s="533"/>
      <c r="Q435" s="533"/>
      <c r="R435" s="533"/>
      <c r="S435" s="533"/>
      <c r="T435" s="533"/>
      <c r="U435" s="533"/>
      <c r="V435" s="533"/>
      <c r="W435" s="533"/>
      <c r="X435" s="533"/>
      <c r="Y435" s="533"/>
    </row>
    <row r="436" spans="1:25" s="531" customFormat="1" ht="19.5" customHeight="1">
      <c r="A436" s="532"/>
      <c r="B436" s="533"/>
      <c r="C436" s="533"/>
      <c r="D436" s="533"/>
      <c r="E436" s="533"/>
      <c r="F436" s="533"/>
      <c r="G436" s="533"/>
      <c r="H436" s="533"/>
      <c r="I436" s="533"/>
      <c r="J436" s="533"/>
      <c r="K436" s="533"/>
      <c r="L436" s="533"/>
      <c r="M436" s="533"/>
      <c r="N436" s="533"/>
      <c r="O436" s="533"/>
      <c r="P436" s="533"/>
      <c r="Q436" s="533"/>
      <c r="R436" s="533"/>
      <c r="S436" s="533"/>
      <c r="T436" s="533"/>
      <c r="U436" s="533"/>
      <c r="V436" s="533"/>
      <c r="W436" s="533"/>
      <c r="X436" s="533"/>
      <c r="Y436" s="533"/>
    </row>
    <row r="437" spans="1:25" s="531" customFormat="1" ht="19.5" customHeight="1">
      <c r="A437" s="532"/>
      <c r="B437" s="533"/>
      <c r="C437" s="533"/>
      <c r="D437" s="533"/>
      <c r="E437" s="533"/>
      <c r="F437" s="533"/>
      <c r="G437" s="533"/>
      <c r="H437" s="533"/>
      <c r="I437" s="533"/>
      <c r="J437" s="533"/>
      <c r="K437" s="533"/>
      <c r="L437" s="533"/>
      <c r="M437" s="533"/>
      <c r="N437" s="533"/>
      <c r="O437" s="533"/>
      <c r="P437" s="533"/>
      <c r="Q437" s="533"/>
      <c r="R437" s="533"/>
      <c r="S437" s="533"/>
      <c r="T437" s="533"/>
      <c r="U437" s="533"/>
      <c r="V437" s="533"/>
      <c r="W437" s="533"/>
      <c r="X437" s="533"/>
      <c r="Y437" s="533"/>
    </row>
    <row r="438" spans="1:25" s="531" customFormat="1" ht="19.5" customHeight="1">
      <c r="A438" s="532"/>
      <c r="B438" s="533"/>
      <c r="C438" s="533"/>
      <c r="D438" s="533"/>
      <c r="E438" s="533"/>
      <c r="F438" s="533"/>
      <c r="G438" s="533"/>
      <c r="H438" s="533"/>
      <c r="I438" s="533"/>
      <c r="J438" s="533"/>
      <c r="K438" s="533"/>
      <c r="L438" s="533"/>
      <c r="M438" s="533"/>
      <c r="N438" s="533"/>
      <c r="O438" s="533"/>
      <c r="P438" s="533"/>
      <c r="Q438" s="533"/>
      <c r="R438" s="533"/>
      <c r="S438" s="533"/>
      <c r="T438" s="533"/>
      <c r="U438" s="533"/>
      <c r="V438" s="533"/>
      <c r="W438" s="533"/>
      <c r="X438" s="533"/>
      <c r="Y438" s="533"/>
    </row>
    <row r="439" spans="1:25" s="531" customFormat="1" ht="19.5" customHeight="1">
      <c r="A439" s="532"/>
      <c r="B439" s="533"/>
      <c r="C439" s="533"/>
      <c r="D439" s="533"/>
      <c r="E439" s="533"/>
      <c r="F439" s="533"/>
      <c r="G439" s="533"/>
      <c r="H439" s="533"/>
      <c r="I439" s="533"/>
      <c r="J439" s="533"/>
      <c r="K439" s="533"/>
      <c r="L439" s="533"/>
      <c r="M439" s="533"/>
      <c r="N439" s="533"/>
      <c r="O439" s="533"/>
      <c r="P439" s="533"/>
      <c r="Q439" s="533"/>
      <c r="R439" s="533"/>
      <c r="S439" s="533"/>
      <c r="T439" s="533"/>
      <c r="U439" s="533"/>
      <c r="V439" s="533"/>
      <c r="W439" s="533"/>
      <c r="X439" s="533"/>
      <c r="Y439" s="533"/>
    </row>
    <row r="440" spans="1:25" s="531" customFormat="1" ht="19.5" customHeight="1">
      <c r="A440" s="532"/>
      <c r="B440" s="533"/>
      <c r="C440" s="533"/>
      <c r="D440" s="533"/>
      <c r="E440" s="533"/>
      <c r="F440" s="533"/>
      <c r="G440" s="533"/>
      <c r="H440" s="533"/>
      <c r="I440" s="533"/>
      <c r="J440" s="533"/>
      <c r="K440" s="533"/>
      <c r="L440" s="533"/>
      <c r="M440" s="533"/>
      <c r="N440" s="533"/>
      <c r="O440" s="533"/>
      <c r="P440" s="533"/>
      <c r="Q440" s="533"/>
      <c r="R440" s="533"/>
      <c r="S440" s="533"/>
      <c r="T440" s="533"/>
      <c r="U440" s="533"/>
      <c r="V440" s="533"/>
      <c r="W440" s="533"/>
      <c r="X440" s="533"/>
      <c r="Y440" s="533"/>
    </row>
    <row r="441" spans="1:25" s="531" customFormat="1" ht="19.5" customHeight="1">
      <c r="A441" s="532"/>
      <c r="B441" s="533"/>
      <c r="C441" s="533"/>
      <c r="D441" s="533"/>
      <c r="E441" s="533"/>
      <c r="F441" s="533"/>
      <c r="G441" s="533"/>
      <c r="H441" s="533"/>
      <c r="I441" s="533"/>
      <c r="J441" s="533"/>
      <c r="K441" s="533"/>
      <c r="L441" s="533"/>
      <c r="M441" s="533"/>
      <c r="N441" s="533"/>
      <c r="O441" s="533"/>
      <c r="P441" s="533"/>
      <c r="Q441" s="533"/>
      <c r="R441" s="533"/>
      <c r="S441" s="533"/>
      <c r="T441" s="533"/>
      <c r="U441" s="533"/>
      <c r="V441" s="533"/>
      <c r="W441" s="533"/>
      <c r="X441" s="533"/>
      <c r="Y441" s="533"/>
    </row>
    <row r="442" spans="1:25" s="531" customFormat="1" ht="19.5" customHeight="1">
      <c r="A442" s="532"/>
      <c r="B442" s="533"/>
      <c r="C442" s="533"/>
      <c r="D442" s="533"/>
      <c r="E442" s="533"/>
      <c r="F442" s="533"/>
      <c r="G442" s="533"/>
      <c r="H442" s="533"/>
      <c r="I442" s="533"/>
      <c r="J442" s="533"/>
      <c r="K442" s="533"/>
      <c r="L442" s="533"/>
      <c r="M442" s="533"/>
      <c r="N442" s="533"/>
      <c r="O442" s="533"/>
      <c r="P442" s="533"/>
      <c r="Q442" s="533"/>
      <c r="R442" s="533"/>
      <c r="S442" s="533"/>
      <c r="T442" s="533"/>
      <c r="U442" s="533"/>
      <c r="V442" s="533"/>
      <c r="W442" s="533"/>
      <c r="X442" s="533"/>
      <c r="Y442" s="533"/>
    </row>
    <row r="443" spans="1:25" s="531" customFormat="1" ht="19.5" customHeight="1">
      <c r="A443" s="532"/>
      <c r="B443" s="533"/>
      <c r="C443" s="533"/>
      <c r="D443" s="533"/>
      <c r="E443" s="533"/>
      <c r="F443" s="533"/>
      <c r="G443" s="533"/>
      <c r="H443" s="533"/>
      <c r="I443" s="533"/>
      <c r="J443" s="533"/>
      <c r="K443" s="533"/>
      <c r="L443" s="533"/>
      <c r="M443" s="533"/>
      <c r="N443" s="533"/>
      <c r="O443" s="533"/>
      <c r="P443" s="533"/>
      <c r="Q443" s="533"/>
      <c r="R443" s="533"/>
      <c r="S443" s="533"/>
      <c r="T443" s="533"/>
      <c r="U443" s="533"/>
      <c r="V443" s="533"/>
      <c r="W443" s="533"/>
      <c r="X443" s="533"/>
      <c r="Y443" s="533"/>
    </row>
    <row r="444" spans="1:25" s="531" customFormat="1" ht="19.5" customHeight="1">
      <c r="A444" s="532"/>
      <c r="B444" s="533"/>
      <c r="C444" s="533"/>
      <c r="D444" s="533"/>
      <c r="E444" s="533"/>
      <c r="F444" s="533"/>
      <c r="G444" s="533"/>
      <c r="H444" s="533"/>
      <c r="I444" s="533"/>
      <c r="J444" s="533"/>
      <c r="K444" s="533"/>
      <c r="L444" s="533"/>
      <c r="M444" s="533"/>
      <c r="N444" s="533"/>
      <c r="O444" s="533"/>
      <c r="P444" s="533"/>
      <c r="Q444" s="533"/>
      <c r="R444" s="533"/>
      <c r="S444" s="533"/>
      <c r="T444" s="533"/>
      <c r="U444" s="533"/>
      <c r="V444" s="533"/>
      <c r="W444" s="533"/>
      <c r="X444" s="533"/>
      <c r="Y444" s="533"/>
    </row>
    <row r="445" spans="1:25" s="531" customFormat="1" ht="19.5" customHeight="1">
      <c r="A445" s="532"/>
      <c r="B445" s="533"/>
      <c r="C445" s="533"/>
      <c r="D445" s="533"/>
      <c r="E445" s="533"/>
      <c r="F445" s="533"/>
      <c r="G445" s="533"/>
      <c r="H445" s="533"/>
      <c r="I445" s="533"/>
      <c r="J445" s="533"/>
      <c r="K445" s="533"/>
      <c r="L445" s="533"/>
      <c r="M445" s="533"/>
      <c r="N445" s="533"/>
      <c r="O445" s="533"/>
      <c r="P445" s="533"/>
      <c r="Q445" s="533"/>
      <c r="R445" s="533"/>
      <c r="S445" s="533"/>
      <c r="T445" s="533"/>
      <c r="U445" s="533"/>
      <c r="V445" s="533"/>
      <c r="W445" s="533"/>
      <c r="X445" s="533"/>
      <c r="Y445" s="533"/>
    </row>
    <row r="446" spans="1:25" s="531" customFormat="1" ht="19.5" customHeight="1">
      <c r="A446" s="532"/>
      <c r="B446" s="533"/>
      <c r="C446" s="533"/>
      <c r="D446" s="533"/>
      <c r="E446" s="533"/>
      <c r="F446" s="533"/>
      <c r="G446" s="533"/>
      <c r="H446" s="533"/>
      <c r="I446" s="533"/>
      <c r="J446" s="533"/>
      <c r="K446" s="533"/>
      <c r="L446" s="533"/>
      <c r="M446" s="533"/>
      <c r="N446" s="533"/>
      <c r="O446" s="533"/>
      <c r="P446" s="533"/>
      <c r="Q446" s="533"/>
      <c r="R446" s="533"/>
      <c r="S446" s="533"/>
      <c r="T446" s="533"/>
      <c r="U446" s="533"/>
      <c r="V446" s="533"/>
      <c r="W446" s="533"/>
      <c r="X446" s="533"/>
      <c r="Y446" s="533"/>
    </row>
    <row r="447" spans="1:25" s="531" customFormat="1" ht="19.5" customHeight="1">
      <c r="A447" s="532"/>
      <c r="B447" s="533"/>
      <c r="C447" s="533"/>
      <c r="D447" s="533"/>
      <c r="E447" s="533"/>
      <c r="F447" s="533"/>
      <c r="G447" s="533"/>
      <c r="H447" s="533"/>
      <c r="I447" s="533"/>
      <c r="J447" s="533"/>
      <c r="K447" s="533"/>
      <c r="L447" s="533"/>
      <c r="M447" s="533"/>
      <c r="N447" s="533"/>
      <c r="O447" s="533"/>
      <c r="P447" s="533"/>
      <c r="Q447" s="533"/>
      <c r="R447" s="533"/>
      <c r="S447" s="533"/>
      <c r="T447" s="533"/>
      <c r="U447" s="533"/>
      <c r="V447" s="533"/>
      <c r="W447" s="533"/>
      <c r="X447" s="533"/>
      <c r="Y447" s="533"/>
    </row>
    <row r="448" spans="1:25" s="531" customFormat="1" ht="19.5" customHeight="1">
      <c r="A448" s="532"/>
      <c r="B448" s="533"/>
      <c r="C448" s="533"/>
      <c r="D448" s="533"/>
      <c r="E448" s="533"/>
      <c r="F448" s="533"/>
      <c r="G448" s="533"/>
      <c r="H448" s="533"/>
      <c r="I448" s="533"/>
      <c r="J448" s="533"/>
      <c r="K448" s="533"/>
      <c r="L448" s="533"/>
      <c r="M448" s="533"/>
      <c r="N448" s="533"/>
      <c r="O448" s="533"/>
      <c r="P448" s="533"/>
      <c r="Q448" s="533"/>
      <c r="R448" s="533"/>
      <c r="S448" s="533"/>
      <c r="T448" s="533"/>
      <c r="U448" s="533"/>
      <c r="V448" s="533"/>
      <c r="W448" s="533"/>
      <c r="X448" s="533"/>
      <c r="Y448" s="533"/>
    </row>
    <row r="449" spans="1:25" s="531" customFormat="1" ht="19.5" customHeight="1">
      <c r="A449" s="532"/>
      <c r="B449" s="533"/>
      <c r="C449" s="533"/>
      <c r="D449" s="533"/>
      <c r="E449" s="533"/>
      <c r="F449" s="533"/>
      <c r="G449" s="533"/>
      <c r="H449" s="533"/>
      <c r="I449" s="533"/>
      <c r="J449" s="533"/>
      <c r="K449" s="533"/>
      <c r="L449" s="533"/>
      <c r="M449" s="533"/>
      <c r="N449" s="533"/>
      <c r="O449" s="533"/>
      <c r="P449" s="533"/>
      <c r="Q449" s="533"/>
      <c r="R449" s="533"/>
      <c r="S449" s="533"/>
      <c r="T449" s="533"/>
      <c r="U449" s="533"/>
      <c r="V449" s="533"/>
      <c r="W449" s="533"/>
      <c r="X449" s="533"/>
      <c r="Y449" s="533"/>
    </row>
    <row r="450" spans="1:25" s="531" customFormat="1" ht="19.5" customHeight="1">
      <c r="A450" s="532"/>
      <c r="B450" s="533"/>
      <c r="C450" s="533"/>
      <c r="D450" s="533"/>
      <c r="E450" s="533"/>
      <c r="F450" s="533"/>
      <c r="G450" s="533"/>
      <c r="H450" s="533"/>
      <c r="I450" s="533"/>
      <c r="J450" s="533"/>
      <c r="K450" s="533"/>
      <c r="L450" s="533"/>
      <c r="M450" s="533"/>
      <c r="N450" s="533"/>
      <c r="O450" s="533"/>
      <c r="P450" s="533"/>
      <c r="Q450" s="533"/>
      <c r="R450" s="533"/>
      <c r="S450" s="533"/>
      <c r="T450" s="533"/>
      <c r="U450" s="533"/>
      <c r="V450" s="533"/>
      <c r="W450" s="533"/>
      <c r="X450" s="533"/>
      <c r="Y450" s="533"/>
    </row>
    <row r="451" spans="1:25" s="531" customFormat="1" ht="19.5" customHeight="1">
      <c r="A451" s="532"/>
      <c r="B451" s="533"/>
      <c r="C451" s="533"/>
      <c r="D451" s="533"/>
      <c r="E451" s="533"/>
      <c r="F451" s="533"/>
      <c r="G451" s="533"/>
      <c r="H451" s="533"/>
      <c r="I451" s="533"/>
      <c r="J451" s="533"/>
      <c r="K451" s="533"/>
      <c r="L451" s="533"/>
      <c r="M451" s="533"/>
      <c r="N451" s="533"/>
      <c r="O451" s="533"/>
      <c r="P451" s="533"/>
      <c r="Q451" s="533"/>
      <c r="R451" s="533"/>
      <c r="S451" s="533"/>
      <c r="T451" s="533"/>
      <c r="U451" s="533"/>
      <c r="V451" s="533"/>
      <c r="W451" s="533"/>
      <c r="X451" s="533"/>
      <c r="Y451" s="533"/>
    </row>
    <row r="452" spans="1:25" s="531" customFormat="1" ht="19.5" customHeight="1">
      <c r="A452" s="532"/>
      <c r="B452" s="533"/>
      <c r="C452" s="533"/>
      <c r="D452" s="533"/>
      <c r="E452" s="533"/>
      <c r="F452" s="533"/>
      <c r="G452" s="533"/>
      <c r="H452" s="533"/>
      <c r="I452" s="533"/>
      <c r="J452" s="533"/>
      <c r="K452" s="533"/>
      <c r="L452" s="533"/>
      <c r="M452" s="533"/>
      <c r="N452" s="533"/>
      <c r="O452" s="533"/>
      <c r="P452" s="533"/>
      <c r="Q452" s="533"/>
      <c r="R452" s="533"/>
      <c r="S452" s="533"/>
      <c r="T452" s="533"/>
      <c r="U452" s="533"/>
      <c r="V452" s="533"/>
      <c r="W452" s="533"/>
      <c r="X452" s="533"/>
      <c r="Y452" s="533"/>
    </row>
    <row r="453" spans="1:25" s="531" customFormat="1" ht="19.5" customHeight="1">
      <c r="A453" s="532"/>
      <c r="B453" s="533"/>
      <c r="C453" s="533"/>
      <c r="D453" s="533"/>
      <c r="E453" s="533"/>
      <c r="F453" s="533"/>
      <c r="G453" s="533"/>
      <c r="H453" s="533"/>
      <c r="I453" s="533"/>
      <c r="J453" s="533"/>
      <c r="K453" s="533"/>
      <c r="L453" s="533"/>
      <c r="M453" s="533"/>
      <c r="N453" s="533"/>
      <c r="O453" s="533"/>
      <c r="P453" s="533"/>
      <c r="Q453" s="533"/>
      <c r="R453" s="533"/>
      <c r="S453" s="533"/>
      <c r="T453" s="533"/>
      <c r="U453" s="533"/>
      <c r="V453" s="533"/>
      <c r="W453" s="533"/>
      <c r="X453" s="533"/>
      <c r="Y453" s="533"/>
    </row>
    <row r="454" spans="1:25" s="531" customFormat="1" ht="19.5" customHeight="1">
      <c r="A454" s="532"/>
      <c r="B454" s="533"/>
      <c r="C454" s="533"/>
      <c r="D454" s="533"/>
      <c r="E454" s="533"/>
      <c r="F454" s="533"/>
      <c r="G454" s="533"/>
      <c r="H454" s="533"/>
      <c r="I454" s="533"/>
      <c r="J454" s="533"/>
      <c r="K454" s="533"/>
      <c r="L454" s="533"/>
      <c r="M454" s="533"/>
      <c r="N454" s="533"/>
      <c r="O454" s="533"/>
      <c r="P454" s="533"/>
      <c r="Q454" s="533"/>
      <c r="R454" s="533"/>
      <c r="S454" s="533"/>
      <c r="T454" s="533"/>
      <c r="U454" s="533"/>
      <c r="V454" s="533"/>
      <c r="W454" s="533"/>
      <c r="X454" s="533"/>
      <c r="Y454" s="533"/>
    </row>
    <row r="455" ht="19.5" customHeight="1"/>
    <row r="456" ht="9.75" customHeight="1"/>
  </sheetData>
  <sheetProtection/>
  <mergeCells count="22">
    <mergeCell ref="A40:B40"/>
    <mergeCell ref="A13:B15"/>
    <mergeCell ref="C13:C17"/>
    <mergeCell ref="D13:D17"/>
    <mergeCell ref="E13:M14"/>
    <mergeCell ref="O13:Y13"/>
    <mergeCell ref="O14:S14"/>
    <mergeCell ref="T14:Y14"/>
    <mergeCell ref="A17:A18"/>
    <mergeCell ref="B17:B18"/>
    <mergeCell ref="A7:Y7"/>
    <mergeCell ref="A8:Y8"/>
    <mergeCell ref="C9:Y9"/>
    <mergeCell ref="X10:Y10"/>
    <mergeCell ref="A11:Y11"/>
    <mergeCell ref="A12:Y12"/>
    <mergeCell ref="X1:Y1"/>
    <mergeCell ref="A2:Y2"/>
    <mergeCell ref="A3:Y3"/>
    <mergeCell ref="A4:Y4"/>
    <mergeCell ref="A5:Y5"/>
    <mergeCell ref="A6:Y6"/>
  </mergeCells>
  <conditionalFormatting sqref="T17:W17 U18:W18 P18:S18 N20:N39 B20:G39 P20:Y39">
    <cfRule type="cellIs" priority="32" dxfId="0" operator="equal">
      <formula>0</formula>
    </cfRule>
  </conditionalFormatting>
  <conditionalFormatting sqref="E17:G17">
    <cfRule type="cellIs" priority="31" dxfId="0" operator="equal">
      <formula>0</formula>
    </cfRule>
  </conditionalFormatting>
  <conditionalFormatting sqref="P17:Q17">
    <cfRule type="cellIs" priority="30" dxfId="0" operator="equal">
      <formula>0</formula>
    </cfRule>
  </conditionalFormatting>
  <conditionalFormatting sqref="A17:B17">
    <cfRule type="cellIs" priority="29" dxfId="0" operator="equal">
      <formula>0</formula>
    </cfRule>
  </conditionalFormatting>
  <conditionalFormatting sqref="X17:Y17">
    <cfRule type="cellIs" priority="28" dxfId="0" operator="equal">
      <formula>0</formula>
    </cfRule>
  </conditionalFormatting>
  <conditionalFormatting sqref="E18:G18">
    <cfRule type="cellIs" priority="27" dxfId="0" operator="equal">
      <formula>0</formula>
    </cfRule>
  </conditionalFormatting>
  <conditionalFormatting sqref="C18:D18">
    <cfRule type="cellIs" priority="26" dxfId="0" operator="equal">
      <formula>0</formula>
    </cfRule>
  </conditionalFormatting>
  <conditionalFormatting sqref="O17">
    <cfRule type="cellIs" priority="25" dxfId="0" operator="equal">
      <formula>0</formula>
    </cfRule>
  </conditionalFormatting>
  <conditionalFormatting sqref="O20:O39">
    <cfRule type="cellIs" priority="24" dxfId="0" operator="equal">
      <formula>0</formula>
    </cfRule>
  </conditionalFormatting>
  <conditionalFormatting sqref="O18">
    <cfRule type="cellIs" priority="23" dxfId="0" operator="equal">
      <formula>0</formula>
    </cfRule>
  </conditionalFormatting>
  <conditionalFormatting sqref="T18">
    <cfRule type="cellIs" priority="22" dxfId="0" operator="equal">
      <formula>0</formula>
    </cfRule>
  </conditionalFormatting>
  <conditionalFormatting sqref="R17:S17">
    <cfRule type="cellIs" priority="21" dxfId="0" operator="equal">
      <formula>0</formula>
    </cfRule>
  </conditionalFormatting>
  <conditionalFormatting sqref="H17 L17:M17 H20:M39">
    <cfRule type="cellIs" priority="20" dxfId="0" operator="equal">
      <formula>0</formula>
    </cfRule>
  </conditionalFormatting>
  <conditionalFormatting sqref="H18 L18:M18">
    <cfRule type="cellIs" priority="19" dxfId="0" operator="equal">
      <formula>0</formula>
    </cfRule>
  </conditionalFormatting>
  <conditionalFormatting sqref="X18:Y18">
    <cfRule type="cellIs" priority="16" dxfId="0" operator="equal">
      <formula>0</formula>
    </cfRule>
  </conditionalFormatting>
  <conditionalFormatting sqref="I17:J17">
    <cfRule type="cellIs" priority="14" dxfId="0" operator="equal">
      <formula>0</formula>
    </cfRule>
  </conditionalFormatting>
  <conditionalFormatting sqref="I18:J18">
    <cfRule type="cellIs" priority="13" dxfId="0" operator="equal">
      <formula>0</formula>
    </cfRule>
  </conditionalFormatting>
  <conditionalFormatting sqref="K17">
    <cfRule type="cellIs" priority="12" dxfId="0" operator="equal">
      <formula>0</formula>
    </cfRule>
  </conditionalFormatting>
  <conditionalFormatting sqref="K18">
    <cfRule type="cellIs" priority="11" dxfId="0" operator="equal">
      <formula>0</formula>
    </cfRule>
  </conditionalFormatting>
  <conditionalFormatting sqref="N17">
    <cfRule type="cellIs" priority="10" dxfId="0" operator="equal">
      <formula>0</formula>
    </cfRule>
  </conditionalFormatting>
  <conditionalFormatting sqref="N18">
    <cfRule type="cellIs" priority="9" dxfId="0" operator="equal">
      <formula>0</formula>
    </cfRule>
  </conditionalFormatting>
  <printOptions/>
  <pageMargins left="0.511811024" right="0.511811024" top="0.787401575" bottom="0.787401575" header="0.31496062" footer="0.31496062"/>
  <pageSetup fitToHeight="1" fitToWidth="1" horizontalDpi="600" verticalDpi="600" orientation="landscape" paperSize="9" scale="13"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U452"/>
  <sheetViews>
    <sheetView view="pageBreakPreview" zoomScale="30" zoomScaleNormal="25" zoomScaleSheetLayoutView="30" zoomScalePageLayoutView="0" workbookViewId="0" topLeftCell="A1">
      <selection activeCell="C9" sqref="C9:W9"/>
    </sheetView>
  </sheetViews>
  <sheetFormatPr defaultColWidth="9.140625" defaultRowHeight="12.75"/>
  <cols>
    <col min="1" max="1" width="19.00390625" style="538" bestFit="1" customWidth="1"/>
    <col min="2" max="2" width="98.140625" style="533" customWidth="1"/>
    <col min="3" max="3" width="42.7109375" style="533" customWidth="1"/>
    <col min="4" max="4" width="38.00390625" style="533" customWidth="1"/>
    <col min="5" max="5" width="51.421875" style="533" customWidth="1"/>
    <col min="6" max="6" width="56.140625" style="533" customWidth="1"/>
    <col min="7" max="7" width="54.7109375" style="533" customWidth="1"/>
    <col min="8" max="8" width="52.8515625" style="533" customWidth="1"/>
    <col min="9" max="9" width="65.7109375" style="533" hidden="1" customWidth="1"/>
    <col min="10" max="18" width="44.7109375" style="533" hidden="1" customWidth="1"/>
    <col min="19" max="19" width="55.57421875" style="533" hidden="1" customWidth="1"/>
    <col min="20" max="20" width="44.7109375" style="533" hidden="1" customWidth="1"/>
    <col min="21" max="21" width="48.7109375" style="533" hidden="1" customWidth="1"/>
    <col min="22" max="22" width="44.7109375" style="533" hidden="1" customWidth="1"/>
    <col min="23" max="23" width="47.57421875" style="533" customWidth="1"/>
    <col min="24" max="24" width="9.140625" style="503" customWidth="1"/>
    <col min="25" max="25" width="15.7109375" style="503" customWidth="1"/>
    <col min="26" max="26" width="24.28125" style="503" customWidth="1"/>
    <col min="27" max="27" width="24.57421875" style="503" customWidth="1"/>
    <col min="28" max="28" width="21.8515625" style="503" bestFit="1" customWidth="1"/>
    <col min="29" max="29" width="21.8515625" style="503" customWidth="1"/>
    <col min="30" max="30" width="38.421875" style="503" customWidth="1"/>
    <col min="31" max="31" width="9.140625" style="503" customWidth="1"/>
    <col min="32" max="32" width="18.421875" style="503" bestFit="1" customWidth="1"/>
    <col min="33" max="34" width="19.00390625" style="503" bestFit="1" customWidth="1"/>
    <col min="35" max="35" width="20.140625" style="503" bestFit="1" customWidth="1"/>
    <col min="36" max="36" width="16.7109375" style="503" bestFit="1" customWidth="1"/>
    <col min="37" max="37" width="9.140625" style="503" customWidth="1"/>
    <col min="38" max="38" width="18.421875" style="503" bestFit="1" customWidth="1"/>
    <col min="39" max="39" width="16.7109375" style="503" bestFit="1" customWidth="1"/>
    <col min="40" max="40" width="21.8515625" style="503" bestFit="1" customWidth="1"/>
    <col min="41" max="41" width="16.7109375" style="503" bestFit="1" customWidth="1"/>
    <col min="42" max="46" width="16.7109375" style="503" customWidth="1"/>
    <col min="47" max="47" width="24.7109375" style="503" bestFit="1" customWidth="1"/>
    <col min="48" max="16384" width="9.140625" style="503" customWidth="1"/>
  </cols>
  <sheetData>
    <row r="1" spans="1:23" ht="39.75" customHeight="1">
      <c r="A1" s="599"/>
      <c r="B1" s="600"/>
      <c r="C1" s="600"/>
      <c r="D1" s="600"/>
      <c r="E1" s="600"/>
      <c r="F1" s="600"/>
      <c r="G1" s="600"/>
      <c r="H1" s="600"/>
      <c r="I1" s="600"/>
      <c r="J1" s="600"/>
      <c r="K1" s="600"/>
      <c r="L1" s="600"/>
      <c r="M1" s="600"/>
      <c r="N1" s="600"/>
      <c r="O1" s="600"/>
      <c r="P1" s="600"/>
      <c r="Q1" s="600"/>
      <c r="R1" s="600"/>
      <c r="S1" s="600"/>
      <c r="T1" s="600"/>
      <c r="U1" s="600"/>
      <c r="V1" s="600"/>
      <c r="W1" s="601"/>
    </row>
    <row r="2" spans="1:23" ht="39.75" customHeight="1">
      <c r="A2" s="932"/>
      <c r="B2" s="933"/>
      <c r="C2" s="933"/>
      <c r="D2" s="933"/>
      <c r="E2" s="933"/>
      <c r="F2" s="933"/>
      <c r="G2" s="933"/>
      <c r="H2" s="933"/>
      <c r="I2" s="933"/>
      <c r="J2" s="933"/>
      <c r="K2" s="933"/>
      <c r="L2" s="933"/>
      <c r="M2" s="933"/>
      <c r="N2" s="933"/>
      <c r="O2" s="933"/>
      <c r="P2" s="933"/>
      <c r="Q2" s="933"/>
      <c r="R2" s="933"/>
      <c r="S2" s="933"/>
      <c r="T2" s="933"/>
      <c r="U2" s="933"/>
      <c r="V2" s="933"/>
      <c r="W2" s="934"/>
    </row>
    <row r="3" spans="1:23" ht="39.75" customHeight="1">
      <c r="A3" s="935"/>
      <c r="B3" s="936"/>
      <c r="C3" s="936"/>
      <c r="D3" s="936"/>
      <c r="E3" s="936"/>
      <c r="F3" s="936"/>
      <c r="G3" s="936"/>
      <c r="H3" s="936"/>
      <c r="I3" s="936"/>
      <c r="J3" s="936"/>
      <c r="K3" s="936"/>
      <c r="L3" s="936"/>
      <c r="M3" s="936"/>
      <c r="N3" s="936"/>
      <c r="O3" s="936"/>
      <c r="P3" s="936"/>
      <c r="Q3" s="936"/>
      <c r="R3" s="936"/>
      <c r="S3" s="936"/>
      <c r="T3" s="936"/>
      <c r="U3" s="936"/>
      <c r="V3" s="936"/>
      <c r="W3" s="937"/>
    </row>
    <row r="4" spans="1:23" ht="39.75" customHeight="1">
      <c r="A4" s="935"/>
      <c r="B4" s="936"/>
      <c r="C4" s="936"/>
      <c r="D4" s="936"/>
      <c r="E4" s="936"/>
      <c r="F4" s="936"/>
      <c r="G4" s="936"/>
      <c r="H4" s="936"/>
      <c r="I4" s="936"/>
      <c r="J4" s="936"/>
      <c r="K4" s="936"/>
      <c r="L4" s="936"/>
      <c r="M4" s="936"/>
      <c r="N4" s="936"/>
      <c r="O4" s="936"/>
      <c r="P4" s="936"/>
      <c r="Q4" s="936"/>
      <c r="R4" s="936"/>
      <c r="S4" s="936"/>
      <c r="T4" s="936"/>
      <c r="U4" s="936"/>
      <c r="V4" s="936"/>
      <c r="W4" s="937"/>
    </row>
    <row r="5" spans="1:23" ht="39.75" customHeight="1">
      <c r="A5" s="932" t="s">
        <v>19</v>
      </c>
      <c r="B5" s="933"/>
      <c r="C5" s="933"/>
      <c r="D5" s="933"/>
      <c r="E5" s="933"/>
      <c r="F5" s="933"/>
      <c r="G5" s="933"/>
      <c r="H5" s="933"/>
      <c r="I5" s="933"/>
      <c r="J5" s="933"/>
      <c r="K5" s="933"/>
      <c r="L5" s="933"/>
      <c r="M5" s="933"/>
      <c r="N5" s="933"/>
      <c r="O5" s="933"/>
      <c r="P5" s="933"/>
      <c r="Q5" s="933"/>
      <c r="R5" s="933"/>
      <c r="S5" s="933"/>
      <c r="T5" s="933"/>
      <c r="U5" s="933"/>
      <c r="V5" s="933"/>
      <c r="W5" s="934"/>
    </row>
    <row r="6" spans="1:23" ht="39.75" customHeight="1">
      <c r="A6" s="935" t="s">
        <v>193</v>
      </c>
      <c r="B6" s="936"/>
      <c r="C6" s="936"/>
      <c r="D6" s="936"/>
      <c r="E6" s="936"/>
      <c r="F6" s="936"/>
      <c r="G6" s="936"/>
      <c r="H6" s="936"/>
      <c r="I6" s="936"/>
      <c r="J6" s="936"/>
      <c r="K6" s="936"/>
      <c r="L6" s="936"/>
      <c r="M6" s="936"/>
      <c r="N6" s="936"/>
      <c r="O6" s="936"/>
      <c r="P6" s="936"/>
      <c r="Q6" s="936"/>
      <c r="R6" s="936"/>
      <c r="S6" s="936"/>
      <c r="T6" s="936"/>
      <c r="U6" s="936"/>
      <c r="V6" s="936"/>
      <c r="W6" s="937"/>
    </row>
    <row r="7" spans="1:23" ht="39.75" customHeight="1">
      <c r="A7" s="935" t="s">
        <v>18</v>
      </c>
      <c r="B7" s="936"/>
      <c r="C7" s="936"/>
      <c r="D7" s="936"/>
      <c r="E7" s="936"/>
      <c r="F7" s="936"/>
      <c r="G7" s="936"/>
      <c r="H7" s="936"/>
      <c r="I7" s="936"/>
      <c r="J7" s="936"/>
      <c r="K7" s="936"/>
      <c r="L7" s="936"/>
      <c r="M7" s="936"/>
      <c r="N7" s="936"/>
      <c r="O7" s="936"/>
      <c r="P7" s="936"/>
      <c r="Q7" s="936"/>
      <c r="R7" s="936"/>
      <c r="S7" s="936"/>
      <c r="T7" s="936"/>
      <c r="U7" s="936"/>
      <c r="V7" s="936"/>
      <c r="W7" s="937"/>
    </row>
    <row r="8" spans="1:23" ht="39.75" customHeight="1">
      <c r="A8" s="602"/>
      <c r="B8" s="603"/>
      <c r="C8" s="603"/>
      <c r="D8" s="603"/>
      <c r="E8" s="603"/>
      <c r="F8" s="603"/>
      <c r="G8" s="603"/>
      <c r="H8" s="603"/>
      <c r="I8" s="603"/>
      <c r="J8" s="684"/>
      <c r="K8" s="603"/>
      <c r="L8" s="603"/>
      <c r="M8" s="603"/>
      <c r="N8" s="603"/>
      <c r="O8" s="603"/>
      <c r="P8" s="603"/>
      <c r="Q8" s="603"/>
      <c r="R8" s="686"/>
      <c r="S8" s="603"/>
      <c r="T8" s="680"/>
      <c r="U8" s="686"/>
      <c r="V8" s="686"/>
      <c r="W8" s="604"/>
    </row>
    <row r="9" spans="1:23" ht="249.75" customHeight="1">
      <c r="A9" s="621"/>
      <c r="B9" s="605" t="s">
        <v>649</v>
      </c>
      <c r="C9" s="94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D9" s="942"/>
      <c r="E9" s="942"/>
      <c r="F9" s="942"/>
      <c r="G9" s="942"/>
      <c r="H9" s="942"/>
      <c r="I9" s="942"/>
      <c r="J9" s="942"/>
      <c r="K9" s="942"/>
      <c r="L9" s="942"/>
      <c r="M9" s="942"/>
      <c r="N9" s="942"/>
      <c r="O9" s="942"/>
      <c r="P9" s="942"/>
      <c r="Q9" s="942"/>
      <c r="R9" s="942"/>
      <c r="S9" s="942"/>
      <c r="T9" s="942"/>
      <c r="U9" s="942"/>
      <c r="V9" s="942"/>
      <c r="W9" s="943"/>
    </row>
    <row r="10" spans="1:23" ht="39.75" customHeight="1" thickBot="1">
      <c r="A10" s="606"/>
      <c r="B10" s="607"/>
      <c r="C10" s="607"/>
      <c r="D10" s="607"/>
      <c r="E10" s="607"/>
      <c r="F10" s="607"/>
      <c r="G10" s="607"/>
      <c r="H10" s="607"/>
      <c r="I10" s="607"/>
      <c r="J10" s="607"/>
      <c r="K10" s="607"/>
      <c r="L10" s="607"/>
      <c r="M10" s="607"/>
      <c r="N10" s="607"/>
      <c r="O10" s="607"/>
      <c r="P10" s="607"/>
      <c r="Q10" s="607"/>
      <c r="R10" s="607"/>
      <c r="S10" s="607"/>
      <c r="T10" s="607"/>
      <c r="U10" s="607"/>
      <c r="V10" s="607"/>
      <c r="W10" s="608"/>
    </row>
    <row r="11" spans="1:23" s="534" customFormat="1" ht="78.75" customHeight="1" thickBot="1" thickTop="1">
      <c r="A11" s="946" t="s">
        <v>396</v>
      </c>
      <c r="B11" s="947"/>
      <c r="C11" s="947"/>
      <c r="D11" s="947"/>
      <c r="E11" s="947"/>
      <c r="F11" s="947"/>
      <c r="G11" s="947"/>
      <c r="H11" s="947"/>
      <c r="I11" s="947"/>
      <c r="J11" s="947"/>
      <c r="K11" s="947"/>
      <c r="L11" s="947"/>
      <c r="M11" s="947"/>
      <c r="N11" s="947"/>
      <c r="O11" s="947"/>
      <c r="P11" s="947"/>
      <c r="Q11" s="947"/>
      <c r="R11" s="947"/>
      <c r="S11" s="947"/>
      <c r="T11" s="947"/>
      <c r="U11" s="947"/>
      <c r="V11" s="947"/>
      <c r="W11" s="948"/>
    </row>
    <row r="12" spans="1:23" ht="27.75" customHeight="1" thickBot="1" thickTop="1">
      <c r="A12" s="949"/>
      <c r="B12" s="950"/>
      <c r="C12" s="950"/>
      <c r="D12" s="950"/>
      <c r="E12" s="950"/>
      <c r="F12" s="950"/>
      <c r="G12" s="950"/>
      <c r="H12" s="950"/>
      <c r="I12" s="950"/>
      <c r="J12" s="950"/>
      <c r="K12" s="950"/>
      <c r="L12" s="950"/>
      <c r="M12" s="950"/>
      <c r="N12" s="950"/>
      <c r="O12" s="950"/>
      <c r="P12" s="950"/>
      <c r="Q12" s="950"/>
      <c r="R12" s="950"/>
      <c r="S12" s="950"/>
      <c r="T12" s="950"/>
      <c r="U12" s="950"/>
      <c r="V12" s="950"/>
      <c r="W12" s="951"/>
    </row>
    <row r="13" spans="1:23" ht="90.75" customHeight="1">
      <c r="A13" s="995" t="s">
        <v>379</v>
      </c>
      <c r="B13" s="996"/>
      <c r="C13" s="987" t="s">
        <v>388</v>
      </c>
      <c r="D13" s="989" t="s">
        <v>386</v>
      </c>
      <c r="E13" s="985" t="s">
        <v>390</v>
      </c>
      <c r="F13" s="985"/>
      <c r="G13" s="986"/>
      <c r="H13" s="985"/>
      <c r="I13" s="997" t="s">
        <v>486</v>
      </c>
      <c r="J13" s="997"/>
      <c r="K13" s="997"/>
      <c r="L13" s="704" t="s">
        <v>487</v>
      </c>
      <c r="M13" s="985" t="s">
        <v>382</v>
      </c>
      <c r="N13" s="985"/>
      <c r="O13" s="985"/>
      <c r="P13" s="985"/>
      <c r="Q13" s="985"/>
      <c r="R13" s="998" t="s">
        <v>743</v>
      </c>
      <c r="S13" s="998"/>
      <c r="T13" s="1001" t="s">
        <v>689</v>
      </c>
      <c r="U13" s="1004" t="s">
        <v>503</v>
      </c>
      <c r="V13" s="999" t="s">
        <v>724</v>
      </c>
      <c r="W13" s="1007" t="s">
        <v>11</v>
      </c>
    </row>
    <row r="14" spans="1:23" ht="134.25" customHeight="1">
      <c r="A14" s="995"/>
      <c r="B14" s="996"/>
      <c r="C14" s="987"/>
      <c r="D14" s="989"/>
      <c r="E14" s="697" t="s">
        <v>386</v>
      </c>
      <c r="F14" s="697" t="s">
        <v>387</v>
      </c>
      <c r="G14" s="697" t="s">
        <v>673</v>
      </c>
      <c r="H14" s="697" t="s">
        <v>389</v>
      </c>
      <c r="I14" s="705" t="s">
        <v>392</v>
      </c>
      <c r="J14" s="703" t="s">
        <v>714</v>
      </c>
      <c r="K14" s="703" t="s">
        <v>713</v>
      </c>
      <c r="L14" s="697" t="s">
        <v>488</v>
      </c>
      <c r="M14" s="706" t="s">
        <v>394</v>
      </c>
      <c r="N14" s="706" t="s">
        <v>395</v>
      </c>
      <c r="O14" s="706" t="s">
        <v>385</v>
      </c>
      <c r="P14" s="706" t="s">
        <v>599</v>
      </c>
      <c r="Q14" s="706" t="s">
        <v>383</v>
      </c>
      <c r="R14" s="702" t="s">
        <v>744</v>
      </c>
      <c r="S14" s="703" t="s">
        <v>745</v>
      </c>
      <c r="T14" s="1002"/>
      <c r="U14" s="1005"/>
      <c r="V14" s="1000"/>
      <c r="W14" s="1008"/>
    </row>
    <row r="15" spans="1:23" ht="81.75" customHeight="1">
      <c r="A15" s="991" t="s">
        <v>6</v>
      </c>
      <c r="B15" s="993" t="s">
        <v>384</v>
      </c>
      <c r="C15" s="988"/>
      <c r="D15" s="990"/>
      <c r="E15" s="697"/>
      <c r="F15" s="707">
        <v>0.1</v>
      </c>
      <c r="G15" s="707"/>
      <c r="H15" s="697"/>
      <c r="I15" s="705"/>
      <c r="J15" s="708"/>
      <c r="K15" s="703"/>
      <c r="L15" s="697"/>
      <c r="M15" s="705"/>
      <c r="N15" s="697"/>
      <c r="O15" s="697"/>
      <c r="P15" s="707"/>
      <c r="Q15" s="709">
        <v>0</v>
      </c>
      <c r="R15" s="698">
        <v>0.05</v>
      </c>
      <c r="S15" s="699">
        <v>0.05</v>
      </c>
      <c r="T15" s="1003"/>
      <c r="U15" s="1006"/>
      <c r="V15" s="709">
        <v>9.8</v>
      </c>
      <c r="W15" s="1009"/>
    </row>
    <row r="16" spans="1:36" ht="102.75" customHeight="1" thickBot="1">
      <c r="A16" s="992"/>
      <c r="B16" s="994"/>
      <c r="C16" s="710" t="s">
        <v>54</v>
      </c>
      <c r="D16" s="711" t="s">
        <v>57</v>
      </c>
      <c r="E16" s="712" t="s">
        <v>15</v>
      </c>
      <c r="F16" s="712" t="s">
        <v>391</v>
      </c>
      <c r="G16" s="712" t="s">
        <v>690</v>
      </c>
      <c r="H16" s="713" t="s">
        <v>691</v>
      </c>
      <c r="I16" s="714" t="s">
        <v>692</v>
      </c>
      <c r="J16" s="715" t="s">
        <v>693</v>
      </c>
      <c r="K16" s="716" t="s">
        <v>715</v>
      </c>
      <c r="L16" s="713" t="s">
        <v>716</v>
      </c>
      <c r="M16" s="717" t="s">
        <v>694</v>
      </c>
      <c r="N16" s="713" t="s">
        <v>717</v>
      </c>
      <c r="O16" s="713" t="s">
        <v>571</v>
      </c>
      <c r="P16" s="713" t="s">
        <v>718</v>
      </c>
      <c r="Q16" s="718" t="s">
        <v>719</v>
      </c>
      <c r="R16" s="700" t="s">
        <v>746</v>
      </c>
      <c r="S16" s="701" t="s">
        <v>747</v>
      </c>
      <c r="T16" s="720" t="s">
        <v>695</v>
      </c>
      <c r="U16" s="713" t="s">
        <v>748</v>
      </c>
      <c r="V16" s="716" t="s">
        <v>749</v>
      </c>
      <c r="W16" s="719" t="s">
        <v>720</v>
      </c>
      <c r="Z16" s="982" t="s">
        <v>554</v>
      </c>
      <c r="AA16" s="982"/>
      <c r="AB16" s="982"/>
      <c r="AC16" s="982"/>
      <c r="AD16" s="982"/>
      <c r="AF16" s="982" t="s">
        <v>558</v>
      </c>
      <c r="AG16" s="982"/>
      <c r="AH16" s="982"/>
      <c r="AI16" s="982"/>
      <c r="AJ16" s="982"/>
    </row>
    <row r="17" spans="1:47" ht="73.5" customHeight="1" thickBot="1" thickTop="1">
      <c r="A17" s="526"/>
      <c r="B17" s="527"/>
      <c r="C17" s="527"/>
      <c r="D17" s="527"/>
      <c r="E17" s="527"/>
      <c r="F17" s="527"/>
      <c r="G17" s="527"/>
      <c r="H17" s="527"/>
      <c r="I17" s="527"/>
      <c r="J17" s="527"/>
      <c r="K17" s="527"/>
      <c r="L17" s="527"/>
      <c r="M17" s="527"/>
      <c r="N17" s="527"/>
      <c r="O17" s="527"/>
      <c r="P17" s="527"/>
      <c r="Q17" s="527"/>
      <c r="R17" s="527"/>
      <c r="S17" s="527"/>
      <c r="T17" s="527"/>
      <c r="U17" s="527"/>
      <c r="V17" s="527"/>
      <c r="W17" s="535"/>
      <c r="Y17" s="528"/>
      <c r="Z17" s="536" t="s">
        <v>555</v>
      </c>
      <c r="AA17" s="536" t="s">
        <v>554</v>
      </c>
      <c r="AB17" s="536" t="s">
        <v>556</v>
      </c>
      <c r="AC17" s="536" t="s">
        <v>533</v>
      </c>
      <c r="AD17" s="536" t="s">
        <v>23</v>
      </c>
      <c r="AF17" s="536" t="s">
        <v>541</v>
      </c>
      <c r="AG17" s="536" t="s">
        <v>557</v>
      </c>
      <c r="AH17" s="536" t="s">
        <v>558</v>
      </c>
      <c r="AI17" s="536" t="s">
        <v>556</v>
      </c>
      <c r="AJ17" s="536" t="s">
        <v>23</v>
      </c>
      <c r="AL17" s="537" t="str">
        <f>M14</f>
        <v>IMPRIMAÇAO (m²)</v>
      </c>
      <c r="AM17" s="537" t="str">
        <f>N14</f>
        <v>PINT. LIG.  (m²)</v>
      </c>
      <c r="AN17" s="537" t="str">
        <f>P14</f>
        <v>CBUQ (m³)</v>
      </c>
      <c r="AO17" s="537" t="str">
        <f>Q14</f>
        <v>TRANSPORTE CBUQ</v>
      </c>
      <c r="AP17" s="537" t="s">
        <v>755</v>
      </c>
      <c r="AQ17" s="537" t="s">
        <v>756</v>
      </c>
      <c r="AR17" s="537" t="s">
        <v>555</v>
      </c>
      <c r="AS17" s="537" t="s">
        <v>758</v>
      </c>
      <c r="AT17" s="537" t="s">
        <v>757</v>
      </c>
      <c r="AU17" s="536" t="s">
        <v>23</v>
      </c>
    </row>
    <row r="18" spans="1:47" ht="79.5" customHeight="1" thickTop="1">
      <c r="A18" s="687">
        <f>DADOS!A12</f>
        <v>1</v>
      </c>
      <c r="B18" s="688" t="str">
        <f>DADOS!B12</f>
        <v>R. CANARINHO</v>
      </c>
      <c r="C18" s="689">
        <f>DADOS!E12</f>
        <v>124</v>
      </c>
      <c r="D18" s="690">
        <f>DADOS!F12</f>
        <v>6</v>
      </c>
      <c r="E18" s="690"/>
      <c r="F18" s="690">
        <f>C18*E18*$F$15</f>
        <v>0</v>
      </c>
      <c r="G18" s="690">
        <f>F18*70%</f>
        <v>0</v>
      </c>
      <c r="H18" s="690">
        <f>C18*E18*2</f>
        <v>0</v>
      </c>
      <c r="I18" s="690">
        <f>K18*0.43*0.1*0</f>
        <v>0</v>
      </c>
      <c r="J18" s="690">
        <f>C18*2*0</f>
        <v>0</v>
      </c>
      <c r="K18" s="690">
        <f>C18*2*0</f>
        <v>0</v>
      </c>
      <c r="L18" s="690">
        <f>F18+I18</f>
        <v>0</v>
      </c>
      <c r="M18" s="690">
        <f>C18*(D18-0.43*2)*0</f>
        <v>0</v>
      </c>
      <c r="N18" s="690">
        <f>C18*(D18-0.43*2)*0</f>
        <v>0</v>
      </c>
      <c r="O18" s="721">
        <v>0.035</v>
      </c>
      <c r="P18" s="690">
        <f>N18*O18</f>
        <v>0</v>
      </c>
      <c r="Q18" s="691">
        <f>P18*$Q$15</f>
        <v>0</v>
      </c>
      <c r="R18" s="691">
        <f>C18*D18*$R$15*0</f>
        <v>0</v>
      </c>
      <c r="S18" s="691">
        <f>C18*D18*0.7*$S$15*0</f>
        <v>0</v>
      </c>
      <c r="T18" s="691">
        <f>C18*D18*0</f>
        <v>0</v>
      </c>
      <c r="U18" s="690">
        <f>(R18+T18)*0.05+S18</f>
        <v>0</v>
      </c>
      <c r="V18" s="690">
        <f>T18*1.3*$V$15</f>
        <v>0</v>
      </c>
      <c r="W18" s="692">
        <f>C18*D18</f>
        <v>744</v>
      </c>
      <c r="Y18" s="529">
        <f aca="true" t="shared" si="0" ref="Y18:Y37">A18</f>
        <v>1</v>
      </c>
      <c r="Z18" s="530">
        <f>'ORÇAMENTO GERAL'!$J$24</f>
        <v>356.9</v>
      </c>
      <c r="AA18" s="530">
        <f>'ORÇAMENTO GERAL'!$J$29</f>
        <v>120.67</v>
      </c>
      <c r="AB18" s="530">
        <f>'ORÇAMENTO GERAL'!$J$25</f>
        <v>138.66</v>
      </c>
      <c r="AC18" s="530">
        <f>'ORÇAMENTO GERAL'!$J$28</f>
        <v>175</v>
      </c>
      <c r="AD18" s="530">
        <f>(F18*Z18)+(H18*AA18)+(F18*AB18)+(G18*AC18)</f>
        <v>0</v>
      </c>
      <c r="AF18" s="530">
        <f>'ORÇAMENTO GERAL'!$J$30</f>
        <v>19.78</v>
      </c>
      <c r="AG18" s="530">
        <f>'ORÇAMENTO GERAL'!$J$31</f>
        <v>60.47</v>
      </c>
      <c r="AH18" s="530">
        <f>'ORÇAMENTO GERAL'!$J$32</f>
        <v>48.09</v>
      </c>
      <c r="AI18" s="530">
        <f>'ORÇAMENTO GERAL'!$J$25</f>
        <v>138.66</v>
      </c>
      <c r="AJ18" s="530">
        <f>(I18*AF18)+(K18*AG18)+(J18*AH18)+(I18*AI18)</f>
        <v>0</v>
      </c>
      <c r="AL18" s="530">
        <f>'ORÇAMENTO GERAL'!$J$127</f>
        <v>13.35</v>
      </c>
      <c r="AM18" s="530">
        <f>'ORÇAMENTO GERAL'!$J$128</f>
        <v>4.3</v>
      </c>
      <c r="AN18" s="530">
        <f>'ORÇAMENTO GERAL'!$J$131</f>
        <v>3011.31</v>
      </c>
      <c r="AO18" s="530">
        <f>'ORÇAMENTO GERAL'!$J$132</f>
        <v>2.89</v>
      </c>
      <c r="AP18" s="530">
        <f>'ORÇAMENTO GERAL'!$J$134</f>
        <v>9.58</v>
      </c>
      <c r="AQ18" s="530">
        <f>'ORÇAMENTO GERAL'!$J$135</f>
        <v>551.44</v>
      </c>
      <c r="AR18" s="530">
        <f>'ORÇAMENTO GERAL'!$J$136</f>
        <v>23.08</v>
      </c>
      <c r="AS18" s="530">
        <f>'ORÇAMENTO GERAL'!$J$137</f>
        <v>10.64</v>
      </c>
      <c r="AT18" s="530">
        <f>'ORÇAMENTO GERAL'!$J$138</f>
        <v>3.38</v>
      </c>
      <c r="AU18" s="530">
        <f>M18*AL18+N18*AM18+P18*AN18+Q18*AO18+T18*AP18+S18*AQ18+R18*AR18+U18*AS18+V18*AT18</f>
        <v>0</v>
      </c>
    </row>
    <row r="19" spans="1:47" s="531" customFormat="1" ht="79.5" customHeight="1">
      <c r="A19" s="693">
        <v>2</v>
      </c>
      <c r="B19" s="688" t="str">
        <f>DADOS!B13</f>
        <v>R. SEM NOME 1</v>
      </c>
      <c r="C19" s="689">
        <f>DADOS!E13</f>
        <v>246</v>
      </c>
      <c r="D19" s="690">
        <f>DADOS!F13</f>
        <v>5</v>
      </c>
      <c r="E19" s="690"/>
      <c r="F19" s="690">
        <f aca="true" t="shared" si="1" ref="F19:F37">C19*E19*$F$15</f>
        <v>0</v>
      </c>
      <c r="G19" s="690">
        <f aca="true" t="shared" si="2" ref="G19:G37">F19*70%</f>
        <v>0</v>
      </c>
      <c r="H19" s="690">
        <f aca="true" t="shared" si="3" ref="H19:H37">C19*E19*2</f>
        <v>0</v>
      </c>
      <c r="I19" s="690">
        <f>K19*0.43*0.1*0</f>
        <v>0</v>
      </c>
      <c r="J19" s="690">
        <f>C19*2*0</f>
        <v>0</v>
      </c>
      <c r="K19" s="690">
        <f aca="true" t="shared" si="4" ref="K19:K37">C19*2*0</f>
        <v>0</v>
      </c>
      <c r="L19" s="690">
        <f aca="true" t="shared" si="5" ref="L19:L37">F19+I19</f>
        <v>0</v>
      </c>
      <c r="M19" s="690">
        <f>C19*(D19-0.43*2)*0</f>
        <v>0</v>
      </c>
      <c r="N19" s="690">
        <f>C19*(D19-0.43*2)*0</f>
        <v>0</v>
      </c>
      <c r="O19" s="721">
        <v>0.035</v>
      </c>
      <c r="P19" s="690">
        <f aca="true" t="shared" si="6" ref="P19:P37">N19*O19</f>
        <v>0</v>
      </c>
      <c r="Q19" s="691">
        <f aca="true" t="shared" si="7" ref="Q19:Q37">P19*$Q$15</f>
        <v>0</v>
      </c>
      <c r="R19" s="691">
        <f>C19*D19*$R$15*0</f>
        <v>0</v>
      </c>
      <c r="S19" s="691">
        <f>C19*D19*0.7*$S$15*0</f>
        <v>0</v>
      </c>
      <c r="T19" s="691">
        <f>C19*D19*0</f>
        <v>0</v>
      </c>
      <c r="U19" s="690">
        <f aca="true" t="shared" si="8" ref="U19:U37">(R19+T19)*0.05+S19</f>
        <v>0</v>
      </c>
      <c r="V19" s="690">
        <f aca="true" t="shared" si="9" ref="V19:V37">T19*1.3*$V$15</f>
        <v>0</v>
      </c>
      <c r="W19" s="694">
        <f aca="true" t="shared" si="10" ref="W19:W37">C19*D19</f>
        <v>1230</v>
      </c>
      <c r="Y19" s="529">
        <f t="shared" si="0"/>
        <v>2</v>
      </c>
      <c r="Z19" s="530">
        <f>'ORÇAMENTO GERAL'!$J$24</f>
        <v>356.9</v>
      </c>
      <c r="AA19" s="530">
        <f>'ORÇAMENTO GERAL'!$J$29</f>
        <v>120.67</v>
      </c>
      <c r="AB19" s="530">
        <f>'ORÇAMENTO GERAL'!$J$25</f>
        <v>138.66</v>
      </c>
      <c r="AC19" s="530">
        <f>'ORÇAMENTO GERAL'!$J$28</f>
        <v>175</v>
      </c>
      <c r="AD19" s="530">
        <f aca="true" t="shared" si="11" ref="AD19:AD37">(F19*Z19)+(H19*AA19)+(F19*AB19)+(G19*AC19)</f>
        <v>0</v>
      </c>
      <c r="AF19" s="530">
        <f>'ORÇAMENTO GERAL'!$J$30</f>
        <v>19.78</v>
      </c>
      <c r="AG19" s="530">
        <f>'ORÇAMENTO GERAL'!$J$31</f>
        <v>60.47</v>
      </c>
      <c r="AH19" s="530">
        <f>'ORÇAMENTO GERAL'!$J$32</f>
        <v>48.09</v>
      </c>
      <c r="AI19" s="530">
        <f>'ORÇAMENTO GERAL'!$J$25</f>
        <v>138.66</v>
      </c>
      <c r="AJ19" s="530">
        <f aca="true" t="shared" si="12" ref="AJ19:AJ37">(I19*AF19)+(K19*AG19)+(J19*AH19)+(I19*AI19)</f>
        <v>0</v>
      </c>
      <c r="AL19" s="530">
        <f>'ORÇAMENTO GERAL'!$J$127</f>
        <v>13.35</v>
      </c>
      <c r="AM19" s="530">
        <f>'ORÇAMENTO GERAL'!$J$128</f>
        <v>4.3</v>
      </c>
      <c r="AN19" s="530">
        <f>'ORÇAMENTO GERAL'!$J$131</f>
        <v>3011.31</v>
      </c>
      <c r="AO19" s="530">
        <f>'ORÇAMENTO GERAL'!$J$132</f>
        <v>2.89</v>
      </c>
      <c r="AP19" s="530">
        <f>'ORÇAMENTO GERAL'!$J$134</f>
        <v>9.58</v>
      </c>
      <c r="AQ19" s="530">
        <f>'ORÇAMENTO GERAL'!$J$135</f>
        <v>551.44</v>
      </c>
      <c r="AR19" s="530">
        <f>'ORÇAMENTO GERAL'!$J$136</f>
        <v>23.08</v>
      </c>
      <c r="AS19" s="530">
        <f>'ORÇAMENTO GERAL'!$J$137</f>
        <v>10.64</v>
      </c>
      <c r="AT19" s="530">
        <f>'ORÇAMENTO GERAL'!$J$138</f>
        <v>3.38</v>
      </c>
      <c r="AU19" s="530">
        <f aca="true" t="shared" si="13" ref="AU19:AU37">M19*AL19+N19*AM19+P19*AN19+Q19*AO19+T19*AP19+S19*AQ19+R19*AR19+U19*AS19+V19*AT19</f>
        <v>0</v>
      </c>
    </row>
    <row r="20" spans="1:47" s="531" customFormat="1" ht="79.5" customHeight="1">
      <c r="A20" s="687">
        <v>3</v>
      </c>
      <c r="B20" s="688" t="str">
        <f>DADOS!B14</f>
        <v>EST. DO CURUÇAMBÁ</v>
      </c>
      <c r="C20" s="689">
        <f>DADOS!E14</f>
        <v>30</v>
      </c>
      <c r="D20" s="690">
        <f>DADOS!F14</f>
        <v>10</v>
      </c>
      <c r="E20" s="690"/>
      <c r="F20" s="690">
        <f t="shared" si="1"/>
        <v>0</v>
      </c>
      <c r="G20" s="690">
        <f t="shared" si="2"/>
        <v>0</v>
      </c>
      <c r="H20" s="690">
        <f t="shared" si="3"/>
        <v>0</v>
      </c>
      <c r="I20" s="690">
        <f>K20*0.43*0.1*0</f>
        <v>0</v>
      </c>
      <c r="J20" s="690">
        <f>C20*2*0</f>
        <v>0</v>
      </c>
      <c r="K20" s="690">
        <f t="shared" si="4"/>
        <v>0</v>
      </c>
      <c r="L20" s="690">
        <f>F20+I20*0</f>
        <v>0</v>
      </c>
      <c r="M20" s="690">
        <f>C20*(D20-0.43*2)*0</f>
        <v>0</v>
      </c>
      <c r="N20" s="690">
        <f>C20*(D20-0.43*2)*0</f>
        <v>0</v>
      </c>
      <c r="O20" s="721">
        <v>0.035</v>
      </c>
      <c r="P20" s="690">
        <f t="shared" si="6"/>
        <v>0</v>
      </c>
      <c r="Q20" s="691">
        <f t="shared" si="7"/>
        <v>0</v>
      </c>
      <c r="R20" s="691">
        <f>C20*D20*$R$15*0</f>
        <v>0</v>
      </c>
      <c r="S20" s="691">
        <f>C20*D20*0.7*$S$15*0</f>
        <v>0</v>
      </c>
      <c r="T20" s="691">
        <f>C20*D20*0</f>
        <v>0</v>
      </c>
      <c r="U20" s="690">
        <f t="shared" si="8"/>
        <v>0</v>
      </c>
      <c r="V20" s="690">
        <f t="shared" si="9"/>
        <v>0</v>
      </c>
      <c r="W20" s="694">
        <f t="shared" si="10"/>
        <v>300</v>
      </c>
      <c r="Y20" s="529">
        <f t="shared" si="0"/>
        <v>3</v>
      </c>
      <c r="Z20" s="530">
        <f>'ORÇAMENTO GERAL'!$J$24</f>
        <v>356.9</v>
      </c>
      <c r="AA20" s="530">
        <f>'ORÇAMENTO GERAL'!$J$29</f>
        <v>120.67</v>
      </c>
      <c r="AB20" s="530">
        <f>'ORÇAMENTO GERAL'!$J$25</f>
        <v>138.66</v>
      </c>
      <c r="AC20" s="530">
        <f>'ORÇAMENTO GERAL'!$J$28</f>
        <v>175</v>
      </c>
      <c r="AD20" s="530">
        <f t="shared" si="11"/>
        <v>0</v>
      </c>
      <c r="AF20" s="530">
        <f>'ORÇAMENTO GERAL'!$J$30</f>
        <v>19.78</v>
      </c>
      <c r="AG20" s="530">
        <f>'ORÇAMENTO GERAL'!$J$31</f>
        <v>60.47</v>
      </c>
      <c r="AH20" s="530">
        <f>'ORÇAMENTO GERAL'!$J$32</f>
        <v>48.09</v>
      </c>
      <c r="AI20" s="530">
        <f>'ORÇAMENTO GERAL'!$J$25</f>
        <v>138.66</v>
      </c>
      <c r="AJ20" s="530">
        <f t="shared" si="12"/>
        <v>0</v>
      </c>
      <c r="AL20" s="530">
        <f>'ORÇAMENTO GERAL'!$J$127</f>
        <v>13.35</v>
      </c>
      <c r="AM20" s="530">
        <f>'ORÇAMENTO GERAL'!$J$128</f>
        <v>4.3</v>
      </c>
      <c r="AN20" s="530">
        <f>'ORÇAMENTO GERAL'!$J$131</f>
        <v>3011.31</v>
      </c>
      <c r="AO20" s="530">
        <f>'ORÇAMENTO GERAL'!$J$132</f>
        <v>2.89</v>
      </c>
      <c r="AP20" s="530">
        <f>'ORÇAMENTO GERAL'!$J$134</f>
        <v>9.58</v>
      </c>
      <c r="AQ20" s="530">
        <f>'ORÇAMENTO GERAL'!$J$135</f>
        <v>551.44</v>
      </c>
      <c r="AR20" s="530">
        <f>'ORÇAMENTO GERAL'!$J$136</f>
        <v>23.08</v>
      </c>
      <c r="AS20" s="530">
        <f>'ORÇAMENTO GERAL'!$J$137</f>
        <v>10.64</v>
      </c>
      <c r="AT20" s="530">
        <f>'ORÇAMENTO GERAL'!$J$138</f>
        <v>3.38</v>
      </c>
      <c r="AU20" s="530">
        <f t="shared" si="13"/>
        <v>0</v>
      </c>
    </row>
    <row r="21" spans="1:47" s="531" customFormat="1" ht="79.5" customHeight="1">
      <c r="A21" s="693">
        <v>4</v>
      </c>
      <c r="B21" s="688" t="str">
        <f>DADOS!B15</f>
        <v>PASS. SOL NASCENTE</v>
      </c>
      <c r="C21" s="689">
        <f>DADOS!E15</f>
        <v>150</v>
      </c>
      <c r="D21" s="690">
        <f>DADOS!F15</f>
        <v>3.5</v>
      </c>
      <c r="E21" s="690">
        <v>0.7</v>
      </c>
      <c r="F21" s="690">
        <f t="shared" si="1"/>
        <v>10.5</v>
      </c>
      <c r="G21" s="690">
        <f t="shared" si="2"/>
        <v>7.35</v>
      </c>
      <c r="H21" s="690">
        <f t="shared" si="3"/>
        <v>210</v>
      </c>
      <c r="I21" s="690">
        <f>K21*0.43*0.1*0</f>
        <v>0</v>
      </c>
      <c r="J21" s="690">
        <f>C21*2*0</f>
        <v>0</v>
      </c>
      <c r="K21" s="690">
        <f t="shared" si="4"/>
        <v>0</v>
      </c>
      <c r="L21" s="690"/>
      <c r="M21" s="690">
        <f>C21*(D21-0.43*2)*0</f>
        <v>0</v>
      </c>
      <c r="N21" s="690">
        <f>C21*(D21-0.43*2)*0</f>
        <v>0</v>
      </c>
      <c r="O21" s="721">
        <v>0.035</v>
      </c>
      <c r="P21" s="690">
        <f t="shared" si="6"/>
        <v>0</v>
      </c>
      <c r="Q21" s="691">
        <f t="shared" si="7"/>
        <v>0</v>
      </c>
      <c r="R21" s="691">
        <f>C21*D21*$R$15*0</f>
        <v>0</v>
      </c>
      <c r="S21" s="691">
        <f>C21*D21*0.7*$S$15*0</f>
        <v>0</v>
      </c>
      <c r="T21" s="691">
        <f>C21*D21*0</f>
        <v>0</v>
      </c>
      <c r="U21" s="690">
        <f t="shared" si="8"/>
        <v>0</v>
      </c>
      <c r="V21" s="690">
        <f t="shared" si="9"/>
        <v>0</v>
      </c>
      <c r="W21" s="694">
        <f t="shared" si="10"/>
        <v>525</v>
      </c>
      <c r="Y21" s="529">
        <f t="shared" si="0"/>
        <v>4</v>
      </c>
      <c r="Z21" s="530">
        <f>'ORÇAMENTO GERAL'!$J$24</f>
        <v>356.9</v>
      </c>
      <c r="AA21" s="530">
        <f>'ORÇAMENTO GERAL'!$J$29</f>
        <v>120.67</v>
      </c>
      <c r="AB21" s="530">
        <f>'ORÇAMENTO GERAL'!$J$25</f>
        <v>138.66</v>
      </c>
      <c r="AC21" s="530">
        <f>'ORÇAMENTO GERAL'!$J$28</f>
        <v>175</v>
      </c>
      <c r="AD21" s="530">
        <f>(F21*Z21)+(H21*AA21)+(G21*AC21)</f>
        <v>30374.4</v>
      </c>
      <c r="AF21" s="530">
        <f>'ORÇAMENTO GERAL'!$J$30</f>
        <v>19.78</v>
      </c>
      <c r="AG21" s="530">
        <f>'ORÇAMENTO GERAL'!$J$31</f>
        <v>60.47</v>
      </c>
      <c r="AH21" s="530">
        <f>'ORÇAMENTO GERAL'!$J$32</f>
        <v>48.09</v>
      </c>
      <c r="AI21" s="530">
        <f>'ORÇAMENTO GERAL'!$J$25</f>
        <v>138.66</v>
      </c>
      <c r="AJ21" s="530">
        <f t="shared" si="12"/>
        <v>0</v>
      </c>
      <c r="AL21" s="530">
        <f>'ORÇAMENTO GERAL'!$J$127</f>
        <v>13.35</v>
      </c>
      <c r="AM21" s="530">
        <f>'ORÇAMENTO GERAL'!$J$128</f>
        <v>4.3</v>
      </c>
      <c r="AN21" s="530">
        <f>'ORÇAMENTO GERAL'!$J$131</f>
        <v>3011.31</v>
      </c>
      <c r="AO21" s="530">
        <f>'ORÇAMENTO GERAL'!$J$132</f>
        <v>2.89</v>
      </c>
      <c r="AP21" s="530">
        <f>'ORÇAMENTO GERAL'!$J$134</f>
        <v>9.58</v>
      </c>
      <c r="AQ21" s="530">
        <f>'ORÇAMENTO GERAL'!$J$135</f>
        <v>551.44</v>
      </c>
      <c r="AR21" s="530">
        <f>'ORÇAMENTO GERAL'!$J$136</f>
        <v>23.08</v>
      </c>
      <c r="AS21" s="530">
        <f>'ORÇAMENTO GERAL'!$J$137</f>
        <v>10.64</v>
      </c>
      <c r="AT21" s="530">
        <f>'ORÇAMENTO GERAL'!$J$138</f>
        <v>3.38</v>
      </c>
      <c r="AU21" s="530">
        <f t="shared" si="13"/>
        <v>0</v>
      </c>
    </row>
    <row r="22" spans="1:47" s="531" customFormat="1" ht="79.5" customHeight="1" thickBot="1">
      <c r="A22" s="687">
        <v>5</v>
      </c>
      <c r="B22" s="688" t="str">
        <f>DADOS!B16</f>
        <v>AL. NOVA ESPERANÇA</v>
      </c>
      <c r="C22" s="689">
        <f>DADOS!E16</f>
        <v>185</v>
      </c>
      <c r="D22" s="690">
        <f>DADOS!F16</f>
        <v>5</v>
      </c>
      <c r="E22" s="690">
        <v>0.7</v>
      </c>
      <c r="F22" s="690">
        <f t="shared" si="1"/>
        <v>12.95</v>
      </c>
      <c r="G22" s="690">
        <f t="shared" si="2"/>
        <v>9.07</v>
      </c>
      <c r="H22" s="690">
        <f t="shared" si="3"/>
        <v>259</v>
      </c>
      <c r="I22" s="690">
        <f>K22*0.43*0.1*0</f>
        <v>0</v>
      </c>
      <c r="J22" s="690">
        <f>C22*2*0</f>
        <v>0</v>
      </c>
      <c r="K22" s="690">
        <f t="shared" si="4"/>
        <v>0</v>
      </c>
      <c r="L22" s="690"/>
      <c r="M22" s="690">
        <f>C22*(D22-0.43*2)*0</f>
        <v>0</v>
      </c>
      <c r="N22" s="690">
        <f>C22*(D22-0.43*2)*0</f>
        <v>0</v>
      </c>
      <c r="O22" s="721">
        <v>0.035</v>
      </c>
      <c r="P22" s="690">
        <f t="shared" si="6"/>
        <v>0</v>
      </c>
      <c r="Q22" s="691">
        <f t="shared" si="7"/>
        <v>0</v>
      </c>
      <c r="R22" s="691">
        <f>C22*D22*$R$15*0</f>
        <v>0</v>
      </c>
      <c r="S22" s="691">
        <f>C22*D22*0.7*$S$15*0</f>
        <v>0</v>
      </c>
      <c r="T22" s="691">
        <f>C22*D22*0</f>
        <v>0</v>
      </c>
      <c r="U22" s="690">
        <f t="shared" si="8"/>
        <v>0</v>
      </c>
      <c r="V22" s="690">
        <f t="shared" si="9"/>
        <v>0</v>
      </c>
      <c r="W22" s="694">
        <f t="shared" si="10"/>
        <v>925</v>
      </c>
      <c r="Y22" s="529">
        <f t="shared" si="0"/>
        <v>5</v>
      </c>
      <c r="Z22" s="530">
        <f>'ORÇAMENTO GERAL'!$J$24</f>
        <v>356.9</v>
      </c>
      <c r="AA22" s="530">
        <f>'ORÇAMENTO GERAL'!$J$29</f>
        <v>120.67</v>
      </c>
      <c r="AB22" s="530">
        <f>'ORÇAMENTO GERAL'!$J$25</f>
        <v>138.66</v>
      </c>
      <c r="AC22" s="530">
        <f>'ORÇAMENTO GERAL'!$J$28</f>
        <v>175</v>
      </c>
      <c r="AD22" s="530">
        <f>(F22*Z22)+(H22*AA22)+(G22*AC22)</f>
        <v>37462.64</v>
      </c>
      <c r="AF22" s="530">
        <f>'ORÇAMENTO GERAL'!$J$30</f>
        <v>19.78</v>
      </c>
      <c r="AG22" s="530">
        <f>'ORÇAMENTO GERAL'!$J$31</f>
        <v>60.47</v>
      </c>
      <c r="AH22" s="530">
        <f>'ORÇAMENTO GERAL'!$J$32</f>
        <v>48.09</v>
      </c>
      <c r="AI22" s="530">
        <f>'ORÇAMENTO GERAL'!$J$25</f>
        <v>138.66</v>
      </c>
      <c r="AJ22" s="530">
        <f t="shared" si="12"/>
        <v>0</v>
      </c>
      <c r="AL22" s="530">
        <f>'ORÇAMENTO GERAL'!$J$127</f>
        <v>13.35</v>
      </c>
      <c r="AM22" s="530">
        <f>'ORÇAMENTO GERAL'!$J$128</f>
        <v>4.3</v>
      </c>
      <c r="AN22" s="530">
        <f>'ORÇAMENTO GERAL'!$J$131</f>
        <v>3011.31</v>
      </c>
      <c r="AO22" s="530">
        <f>'ORÇAMENTO GERAL'!$J$132</f>
        <v>2.89</v>
      </c>
      <c r="AP22" s="530">
        <f>'ORÇAMENTO GERAL'!$J$134</f>
        <v>9.58</v>
      </c>
      <c r="AQ22" s="530">
        <f>'ORÇAMENTO GERAL'!$J$135</f>
        <v>551.44</v>
      </c>
      <c r="AR22" s="530">
        <f>'ORÇAMENTO GERAL'!$J$136</f>
        <v>23.08</v>
      </c>
      <c r="AS22" s="530">
        <f>'ORÇAMENTO GERAL'!$J$137</f>
        <v>10.64</v>
      </c>
      <c r="AT22" s="530">
        <f>'ORÇAMENTO GERAL'!$J$138</f>
        <v>3.38</v>
      </c>
      <c r="AU22" s="530">
        <f t="shared" si="13"/>
        <v>0</v>
      </c>
    </row>
    <row r="23" spans="1:47" s="531" customFormat="1" ht="79.5" customHeight="1" hidden="1">
      <c r="A23" s="693">
        <v>6</v>
      </c>
      <c r="B23" s="688">
        <f>DADOS!B17</f>
        <v>0</v>
      </c>
      <c r="C23" s="689">
        <f>DADOS!E17</f>
        <v>0</v>
      </c>
      <c r="D23" s="690">
        <f>DADOS!F17</f>
        <v>0</v>
      </c>
      <c r="E23" s="690">
        <v>0.6</v>
      </c>
      <c r="F23" s="690">
        <f t="shared" si="1"/>
        <v>0</v>
      </c>
      <c r="G23" s="690">
        <f t="shared" si="2"/>
        <v>0</v>
      </c>
      <c r="H23" s="690">
        <f t="shared" si="3"/>
        <v>0</v>
      </c>
      <c r="I23" s="690">
        <f aca="true" t="shared" si="14" ref="I23:I37">K23*0.43*0.1</f>
        <v>0</v>
      </c>
      <c r="J23" s="690">
        <f aca="true" t="shared" si="15" ref="J23:J37">C23*2</f>
        <v>0</v>
      </c>
      <c r="K23" s="690">
        <f t="shared" si="4"/>
        <v>0</v>
      </c>
      <c r="L23" s="690">
        <f t="shared" si="5"/>
        <v>0</v>
      </c>
      <c r="M23" s="690">
        <f aca="true" t="shared" si="16" ref="M23:M37">C23*(D23-0.43*2)</f>
        <v>0</v>
      </c>
      <c r="N23" s="690">
        <f aca="true" t="shared" si="17" ref="N23:N37">C23*(D23-0.43*2)</f>
        <v>0</v>
      </c>
      <c r="O23" s="721">
        <v>0.035</v>
      </c>
      <c r="P23" s="690">
        <f t="shared" si="6"/>
        <v>0</v>
      </c>
      <c r="Q23" s="691">
        <f t="shared" si="7"/>
        <v>0</v>
      </c>
      <c r="R23" s="691">
        <f aca="true" t="shared" si="18" ref="R23:R37">C23*D23*$R$15</f>
        <v>0</v>
      </c>
      <c r="S23" s="691">
        <f aca="true" t="shared" si="19" ref="S23:S37">C23*D23*0.7*$S$15</f>
        <v>0</v>
      </c>
      <c r="T23" s="691">
        <f aca="true" t="shared" si="20" ref="T23:T37">C23*D23</f>
        <v>0</v>
      </c>
      <c r="U23" s="690">
        <f t="shared" si="8"/>
        <v>0</v>
      </c>
      <c r="V23" s="690">
        <f t="shared" si="9"/>
        <v>0</v>
      </c>
      <c r="W23" s="694">
        <f t="shared" si="10"/>
        <v>0</v>
      </c>
      <c r="Y23" s="529">
        <f t="shared" si="0"/>
        <v>6</v>
      </c>
      <c r="Z23" s="530">
        <f>'ORÇAMENTO GERAL'!$J$24</f>
        <v>356.9</v>
      </c>
      <c r="AA23" s="530">
        <f>'ORÇAMENTO GERAL'!$J$29</f>
        <v>120.67</v>
      </c>
      <c r="AB23" s="530">
        <f>'ORÇAMENTO GERAL'!$J$25</f>
        <v>138.66</v>
      </c>
      <c r="AC23" s="530">
        <f>'ORÇAMENTO GERAL'!$J$28</f>
        <v>175</v>
      </c>
      <c r="AD23" s="530">
        <f t="shared" si="11"/>
        <v>0</v>
      </c>
      <c r="AF23" s="530">
        <f>'ORÇAMENTO GERAL'!$J$30</f>
        <v>19.78</v>
      </c>
      <c r="AG23" s="530">
        <f>'ORÇAMENTO GERAL'!$J$31</f>
        <v>60.47</v>
      </c>
      <c r="AH23" s="530">
        <f>'ORÇAMENTO GERAL'!$J$32</f>
        <v>48.09</v>
      </c>
      <c r="AI23" s="530">
        <f>'ORÇAMENTO GERAL'!$J$25</f>
        <v>138.66</v>
      </c>
      <c r="AJ23" s="530">
        <f t="shared" si="12"/>
        <v>0</v>
      </c>
      <c r="AL23" s="530">
        <f>'ORÇAMENTO GERAL'!$J$127</f>
        <v>13.35</v>
      </c>
      <c r="AM23" s="530">
        <f>'ORÇAMENTO GERAL'!$J$128</f>
        <v>4.3</v>
      </c>
      <c r="AN23" s="530">
        <f>'ORÇAMENTO GERAL'!$J$131</f>
        <v>3011.31</v>
      </c>
      <c r="AO23" s="530">
        <f>'ORÇAMENTO GERAL'!$J$132</f>
        <v>2.89</v>
      </c>
      <c r="AP23" s="530">
        <f>'ORÇAMENTO GERAL'!$J$134</f>
        <v>9.58</v>
      </c>
      <c r="AQ23" s="530">
        <f>'ORÇAMENTO GERAL'!$J$135</f>
        <v>551.44</v>
      </c>
      <c r="AR23" s="530">
        <f>'ORÇAMENTO GERAL'!$J$136</f>
        <v>23.08</v>
      </c>
      <c r="AS23" s="530">
        <f>'ORÇAMENTO GERAL'!$J$137</f>
        <v>10.64</v>
      </c>
      <c r="AT23" s="530">
        <f>'ORÇAMENTO GERAL'!$J$138</f>
        <v>3.38</v>
      </c>
      <c r="AU23" s="530">
        <f t="shared" si="13"/>
        <v>0</v>
      </c>
    </row>
    <row r="24" spans="1:47" s="531" customFormat="1" ht="79.5" customHeight="1" hidden="1">
      <c r="A24" s="687">
        <v>7</v>
      </c>
      <c r="B24" s="688">
        <f>DADOS!B18</f>
        <v>0</v>
      </c>
      <c r="C24" s="689">
        <f>DADOS!E18</f>
        <v>0</v>
      </c>
      <c r="D24" s="690">
        <f>DADOS!F18</f>
        <v>0</v>
      </c>
      <c r="E24" s="690">
        <v>0.6</v>
      </c>
      <c r="F24" s="690">
        <f t="shared" si="1"/>
        <v>0</v>
      </c>
      <c r="G24" s="690">
        <f t="shared" si="2"/>
        <v>0</v>
      </c>
      <c r="H24" s="690">
        <f t="shared" si="3"/>
        <v>0</v>
      </c>
      <c r="I24" s="690">
        <f t="shared" si="14"/>
        <v>0</v>
      </c>
      <c r="J24" s="690">
        <f t="shared" si="15"/>
        <v>0</v>
      </c>
      <c r="K24" s="690">
        <f t="shared" si="4"/>
        <v>0</v>
      </c>
      <c r="L24" s="690">
        <f t="shared" si="5"/>
        <v>0</v>
      </c>
      <c r="M24" s="690">
        <f t="shared" si="16"/>
        <v>0</v>
      </c>
      <c r="N24" s="690">
        <f t="shared" si="17"/>
        <v>0</v>
      </c>
      <c r="O24" s="721">
        <v>0.035</v>
      </c>
      <c r="P24" s="690">
        <f t="shared" si="6"/>
        <v>0</v>
      </c>
      <c r="Q24" s="691">
        <f t="shared" si="7"/>
        <v>0</v>
      </c>
      <c r="R24" s="691">
        <f t="shared" si="18"/>
        <v>0</v>
      </c>
      <c r="S24" s="691">
        <f t="shared" si="19"/>
        <v>0</v>
      </c>
      <c r="T24" s="691">
        <f t="shared" si="20"/>
        <v>0</v>
      </c>
      <c r="U24" s="690">
        <f t="shared" si="8"/>
        <v>0</v>
      </c>
      <c r="V24" s="690">
        <f t="shared" si="9"/>
        <v>0</v>
      </c>
      <c r="W24" s="694">
        <f t="shared" si="10"/>
        <v>0</v>
      </c>
      <c r="Y24" s="529">
        <f t="shared" si="0"/>
        <v>7</v>
      </c>
      <c r="Z24" s="530">
        <f>'ORÇAMENTO GERAL'!$J$24</f>
        <v>356.9</v>
      </c>
      <c r="AA24" s="530">
        <f>'ORÇAMENTO GERAL'!$J$29</f>
        <v>120.67</v>
      </c>
      <c r="AB24" s="530">
        <f>'ORÇAMENTO GERAL'!$J$25</f>
        <v>138.66</v>
      </c>
      <c r="AC24" s="530">
        <f>'ORÇAMENTO GERAL'!$J$28</f>
        <v>175</v>
      </c>
      <c r="AD24" s="530">
        <f t="shared" si="11"/>
        <v>0</v>
      </c>
      <c r="AF24" s="530">
        <f>'ORÇAMENTO GERAL'!$J$30</f>
        <v>19.78</v>
      </c>
      <c r="AG24" s="530">
        <f>'ORÇAMENTO GERAL'!$J$31</f>
        <v>60.47</v>
      </c>
      <c r="AH24" s="530">
        <f>'ORÇAMENTO GERAL'!$J$32</f>
        <v>48.09</v>
      </c>
      <c r="AI24" s="530">
        <f>'ORÇAMENTO GERAL'!$J$25</f>
        <v>138.66</v>
      </c>
      <c r="AJ24" s="530">
        <f t="shared" si="12"/>
        <v>0</v>
      </c>
      <c r="AL24" s="530">
        <f>'ORÇAMENTO GERAL'!$J$127</f>
        <v>13.35</v>
      </c>
      <c r="AM24" s="530">
        <f>'ORÇAMENTO GERAL'!$J$128</f>
        <v>4.3</v>
      </c>
      <c r="AN24" s="530">
        <f>'ORÇAMENTO GERAL'!$J$131</f>
        <v>3011.31</v>
      </c>
      <c r="AO24" s="530">
        <f>'ORÇAMENTO GERAL'!$J$132</f>
        <v>2.89</v>
      </c>
      <c r="AP24" s="530">
        <f>'ORÇAMENTO GERAL'!$J$134</f>
        <v>9.58</v>
      </c>
      <c r="AQ24" s="530">
        <f>'ORÇAMENTO GERAL'!$J$135</f>
        <v>551.44</v>
      </c>
      <c r="AR24" s="530">
        <f>'ORÇAMENTO GERAL'!$J$136</f>
        <v>23.08</v>
      </c>
      <c r="AS24" s="530">
        <f>'ORÇAMENTO GERAL'!$J$137</f>
        <v>10.64</v>
      </c>
      <c r="AT24" s="530">
        <f>'ORÇAMENTO GERAL'!$J$138</f>
        <v>3.38</v>
      </c>
      <c r="AU24" s="530">
        <f t="shared" si="13"/>
        <v>0</v>
      </c>
    </row>
    <row r="25" spans="1:47" ht="79.5" customHeight="1" hidden="1">
      <c r="A25" s="693">
        <v>8</v>
      </c>
      <c r="B25" s="688">
        <f>DADOS!B19</f>
        <v>0</v>
      </c>
      <c r="C25" s="689">
        <f>DADOS!E19</f>
        <v>0</v>
      </c>
      <c r="D25" s="690">
        <f>DADOS!F19</f>
        <v>0</v>
      </c>
      <c r="E25" s="690">
        <v>0.6</v>
      </c>
      <c r="F25" s="690">
        <f t="shared" si="1"/>
        <v>0</v>
      </c>
      <c r="G25" s="690">
        <f t="shared" si="2"/>
        <v>0</v>
      </c>
      <c r="H25" s="690">
        <f t="shared" si="3"/>
        <v>0</v>
      </c>
      <c r="I25" s="690">
        <f t="shared" si="14"/>
        <v>0</v>
      </c>
      <c r="J25" s="690">
        <f t="shared" si="15"/>
        <v>0</v>
      </c>
      <c r="K25" s="690">
        <f t="shared" si="4"/>
        <v>0</v>
      </c>
      <c r="L25" s="690">
        <f t="shared" si="5"/>
        <v>0</v>
      </c>
      <c r="M25" s="690">
        <f t="shared" si="16"/>
        <v>0</v>
      </c>
      <c r="N25" s="690">
        <f t="shared" si="17"/>
        <v>0</v>
      </c>
      <c r="O25" s="721">
        <v>0.035</v>
      </c>
      <c r="P25" s="690">
        <f t="shared" si="6"/>
        <v>0</v>
      </c>
      <c r="Q25" s="691">
        <f t="shared" si="7"/>
        <v>0</v>
      </c>
      <c r="R25" s="691">
        <f t="shared" si="18"/>
        <v>0</v>
      </c>
      <c r="S25" s="691">
        <f t="shared" si="19"/>
        <v>0</v>
      </c>
      <c r="T25" s="691">
        <f t="shared" si="20"/>
        <v>0</v>
      </c>
      <c r="U25" s="690">
        <f t="shared" si="8"/>
        <v>0</v>
      </c>
      <c r="V25" s="690">
        <f t="shared" si="9"/>
        <v>0</v>
      </c>
      <c r="W25" s="694">
        <f t="shared" si="10"/>
        <v>0</v>
      </c>
      <c r="Y25" s="529">
        <f t="shared" si="0"/>
        <v>8</v>
      </c>
      <c r="Z25" s="530">
        <f>'ORÇAMENTO GERAL'!$J$24</f>
        <v>356.9</v>
      </c>
      <c r="AA25" s="530">
        <f>'ORÇAMENTO GERAL'!$J$29</f>
        <v>120.67</v>
      </c>
      <c r="AB25" s="530">
        <f>'ORÇAMENTO GERAL'!$J$25</f>
        <v>138.66</v>
      </c>
      <c r="AC25" s="530">
        <f>'ORÇAMENTO GERAL'!$J$28</f>
        <v>175</v>
      </c>
      <c r="AD25" s="530">
        <f t="shared" si="11"/>
        <v>0</v>
      </c>
      <c r="AF25" s="530">
        <f>'ORÇAMENTO GERAL'!$J$30</f>
        <v>19.78</v>
      </c>
      <c r="AG25" s="530">
        <f>'ORÇAMENTO GERAL'!$J$31</f>
        <v>60.47</v>
      </c>
      <c r="AH25" s="530">
        <f>'ORÇAMENTO GERAL'!$J$32</f>
        <v>48.09</v>
      </c>
      <c r="AI25" s="530">
        <f>'ORÇAMENTO GERAL'!$J$25</f>
        <v>138.66</v>
      </c>
      <c r="AJ25" s="530">
        <f t="shared" si="12"/>
        <v>0</v>
      </c>
      <c r="AL25" s="530">
        <f>'ORÇAMENTO GERAL'!$J$127</f>
        <v>13.35</v>
      </c>
      <c r="AM25" s="530">
        <f>'ORÇAMENTO GERAL'!$J$128</f>
        <v>4.3</v>
      </c>
      <c r="AN25" s="530">
        <f>'ORÇAMENTO GERAL'!$J$131</f>
        <v>3011.31</v>
      </c>
      <c r="AO25" s="530">
        <f>'ORÇAMENTO GERAL'!$J$132</f>
        <v>2.89</v>
      </c>
      <c r="AP25" s="530">
        <f>'ORÇAMENTO GERAL'!$J$134</f>
        <v>9.58</v>
      </c>
      <c r="AQ25" s="530">
        <f>'ORÇAMENTO GERAL'!$J$135</f>
        <v>551.44</v>
      </c>
      <c r="AR25" s="530">
        <f>'ORÇAMENTO GERAL'!$J$136</f>
        <v>23.08</v>
      </c>
      <c r="AS25" s="530">
        <f>'ORÇAMENTO GERAL'!$J$137</f>
        <v>10.64</v>
      </c>
      <c r="AT25" s="530">
        <f>'ORÇAMENTO GERAL'!$J$138</f>
        <v>3.38</v>
      </c>
      <c r="AU25" s="530">
        <f t="shared" si="13"/>
        <v>0</v>
      </c>
    </row>
    <row r="26" spans="1:47" ht="79.5" customHeight="1" hidden="1">
      <c r="A26" s="687">
        <v>9</v>
      </c>
      <c r="B26" s="688">
        <f>DADOS!B20</f>
        <v>0</v>
      </c>
      <c r="C26" s="689">
        <f>DADOS!E20</f>
        <v>0</v>
      </c>
      <c r="D26" s="690">
        <f>DADOS!F20</f>
        <v>0</v>
      </c>
      <c r="E26" s="690">
        <v>0.6</v>
      </c>
      <c r="F26" s="690">
        <f t="shared" si="1"/>
        <v>0</v>
      </c>
      <c r="G26" s="690">
        <f t="shared" si="2"/>
        <v>0</v>
      </c>
      <c r="H26" s="690">
        <f t="shared" si="3"/>
        <v>0</v>
      </c>
      <c r="I26" s="690">
        <f t="shared" si="14"/>
        <v>0</v>
      </c>
      <c r="J26" s="690">
        <f t="shared" si="15"/>
        <v>0</v>
      </c>
      <c r="K26" s="690">
        <f t="shared" si="4"/>
        <v>0</v>
      </c>
      <c r="L26" s="690">
        <f t="shared" si="5"/>
        <v>0</v>
      </c>
      <c r="M26" s="690">
        <f t="shared" si="16"/>
        <v>0</v>
      </c>
      <c r="N26" s="690">
        <f t="shared" si="17"/>
        <v>0</v>
      </c>
      <c r="O26" s="721">
        <v>0.035</v>
      </c>
      <c r="P26" s="690">
        <f t="shared" si="6"/>
        <v>0</v>
      </c>
      <c r="Q26" s="691">
        <f t="shared" si="7"/>
        <v>0</v>
      </c>
      <c r="R26" s="691">
        <f t="shared" si="18"/>
        <v>0</v>
      </c>
      <c r="S26" s="691">
        <f t="shared" si="19"/>
        <v>0</v>
      </c>
      <c r="T26" s="691">
        <f t="shared" si="20"/>
        <v>0</v>
      </c>
      <c r="U26" s="690">
        <f t="shared" si="8"/>
        <v>0</v>
      </c>
      <c r="V26" s="690">
        <f t="shared" si="9"/>
        <v>0</v>
      </c>
      <c r="W26" s="694">
        <f t="shared" si="10"/>
        <v>0</v>
      </c>
      <c r="Y26" s="529">
        <f t="shared" si="0"/>
        <v>9</v>
      </c>
      <c r="Z26" s="530">
        <f>'ORÇAMENTO GERAL'!$J$24</f>
        <v>356.9</v>
      </c>
      <c r="AA26" s="530">
        <f>'ORÇAMENTO GERAL'!$J$29</f>
        <v>120.67</v>
      </c>
      <c r="AB26" s="530">
        <f>'ORÇAMENTO GERAL'!$J$25</f>
        <v>138.66</v>
      </c>
      <c r="AC26" s="530">
        <f>'ORÇAMENTO GERAL'!$J$28</f>
        <v>175</v>
      </c>
      <c r="AD26" s="530">
        <f t="shared" si="11"/>
        <v>0</v>
      </c>
      <c r="AF26" s="530">
        <f>'ORÇAMENTO GERAL'!$J$30</f>
        <v>19.78</v>
      </c>
      <c r="AG26" s="530">
        <f>'ORÇAMENTO GERAL'!$J$31</f>
        <v>60.47</v>
      </c>
      <c r="AH26" s="530">
        <f>'ORÇAMENTO GERAL'!$J$32</f>
        <v>48.09</v>
      </c>
      <c r="AI26" s="530">
        <f>'ORÇAMENTO GERAL'!$J$25</f>
        <v>138.66</v>
      </c>
      <c r="AJ26" s="530">
        <f t="shared" si="12"/>
        <v>0</v>
      </c>
      <c r="AL26" s="530">
        <f>'ORÇAMENTO GERAL'!$J$127</f>
        <v>13.35</v>
      </c>
      <c r="AM26" s="530">
        <f>'ORÇAMENTO GERAL'!$J$128</f>
        <v>4.3</v>
      </c>
      <c r="AN26" s="530">
        <f>'ORÇAMENTO GERAL'!$J$131</f>
        <v>3011.31</v>
      </c>
      <c r="AO26" s="530">
        <f>'ORÇAMENTO GERAL'!$J$132</f>
        <v>2.89</v>
      </c>
      <c r="AP26" s="530">
        <f>'ORÇAMENTO GERAL'!$J$134</f>
        <v>9.58</v>
      </c>
      <c r="AQ26" s="530">
        <f>'ORÇAMENTO GERAL'!$J$135</f>
        <v>551.44</v>
      </c>
      <c r="AR26" s="530">
        <f>'ORÇAMENTO GERAL'!$J$136</f>
        <v>23.08</v>
      </c>
      <c r="AS26" s="530">
        <f>'ORÇAMENTO GERAL'!$J$137</f>
        <v>10.64</v>
      </c>
      <c r="AT26" s="530">
        <f>'ORÇAMENTO GERAL'!$J$138</f>
        <v>3.38</v>
      </c>
      <c r="AU26" s="530">
        <f t="shared" si="13"/>
        <v>0</v>
      </c>
    </row>
    <row r="27" spans="1:47" ht="79.5" customHeight="1" hidden="1">
      <c r="A27" s="693">
        <v>10</v>
      </c>
      <c r="B27" s="688">
        <f>DADOS!B21</f>
        <v>0</v>
      </c>
      <c r="C27" s="689">
        <f>DADOS!E21</f>
        <v>0</v>
      </c>
      <c r="D27" s="690">
        <f>DADOS!F21</f>
        <v>0</v>
      </c>
      <c r="E27" s="690">
        <v>0.6</v>
      </c>
      <c r="F27" s="690">
        <f t="shared" si="1"/>
        <v>0</v>
      </c>
      <c r="G27" s="690">
        <f t="shared" si="2"/>
        <v>0</v>
      </c>
      <c r="H27" s="690">
        <f t="shared" si="3"/>
        <v>0</v>
      </c>
      <c r="I27" s="690">
        <f t="shared" si="14"/>
        <v>0</v>
      </c>
      <c r="J27" s="690">
        <f t="shared" si="15"/>
        <v>0</v>
      </c>
      <c r="K27" s="690">
        <f t="shared" si="4"/>
        <v>0</v>
      </c>
      <c r="L27" s="690">
        <f t="shared" si="5"/>
        <v>0</v>
      </c>
      <c r="M27" s="690">
        <f t="shared" si="16"/>
        <v>0</v>
      </c>
      <c r="N27" s="690">
        <f t="shared" si="17"/>
        <v>0</v>
      </c>
      <c r="O27" s="721">
        <v>0.035</v>
      </c>
      <c r="P27" s="690">
        <f t="shared" si="6"/>
        <v>0</v>
      </c>
      <c r="Q27" s="691">
        <f t="shared" si="7"/>
        <v>0</v>
      </c>
      <c r="R27" s="691">
        <f t="shared" si="18"/>
        <v>0</v>
      </c>
      <c r="S27" s="691">
        <f t="shared" si="19"/>
        <v>0</v>
      </c>
      <c r="T27" s="691">
        <f t="shared" si="20"/>
        <v>0</v>
      </c>
      <c r="U27" s="690">
        <f t="shared" si="8"/>
        <v>0</v>
      </c>
      <c r="V27" s="690">
        <f t="shared" si="9"/>
        <v>0</v>
      </c>
      <c r="W27" s="694">
        <f t="shared" si="10"/>
        <v>0</v>
      </c>
      <c r="Y27" s="529">
        <f t="shared" si="0"/>
        <v>10</v>
      </c>
      <c r="Z27" s="530">
        <f>'ORÇAMENTO GERAL'!$J$24</f>
        <v>356.9</v>
      </c>
      <c r="AA27" s="530">
        <f>'ORÇAMENTO GERAL'!$J$29</f>
        <v>120.67</v>
      </c>
      <c r="AB27" s="530">
        <f>'ORÇAMENTO GERAL'!$J$25</f>
        <v>138.66</v>
      </c>
      <c r="AC27" s="530">
        <f>'ORÇAMENTO GERAL'!$J$28</f>
        <v>175</v>
      </c>
      <c r="AD27" s="530">
        <f t="shared" si="11"/>
        <v>0</v>
      </c>
      <c r="AF27" s="530">
        <f>'ORÇAMENTO GERAL'!$J$30</f>
        <v>19.78</v>
      </c>
      <c r="AG27" s="530">
        <f>'ORÇAMENTO GERAL'!$J$31</f>
        <v>60.47</v>
      </c>
      <c r="AH27" s="530">
        <f>'ORÇAMENTO GERAL'!$J$32</f>
        <v>48.09</v>
      </c>
      <c r="AI27" s="530">
        <f>'ORÇAMENTO GERAL'!$J$25</f>
        <v>138.66</v>
      </c>
      <c r="AJ27" s="530">
        <f t="shared" si="12"/>
        <v>0</v>
      </c>
      <c r="AL27" s="530">
        <f>'ORÇAMENTO GERAL'!$J$127</f>
        <v>13.35</v>
      </c>
      <c r="AM27" s="530">
        <f>'ORÇAMENTO GERAL'!$J$128</f>
        <v>4.3</v>
      </c>
      <c r="AN27" s="530">
        <f>'ORÇAMENTO GERAL'!$J$131</f>
        <v>3011.31</v>
      </c>
      <c r="AO27" s="530">
        <f>'ORÇAMENTO GERAL'!$J$132</f>
        <v>2.89</v>
      </c>
      <c r="AP27" s="530">
        <f>'ORÇAMENTO GERAL'!$J$134</f>
        <v>9.58</v>
      </c>
      <c r="AQ27" s="530">
        <f>'ORÇAMENTO GERAL'!$J$135</f>
        <v>551.44</v>
      </c>
      <c r="AR27" s="530">
        <f>'ORÇAMENTO GERAL'!$J$136</f>
        <v>23.08</v>
      </c>
      <c r="AS27" s="530">
        <f>'ORÇAMENTO GERAL'!$J$137</f>
        <v>10.64</v>
      </c>
      <c r="AT27" s="530">
        <f>'ORÇAMENTO GERAL'!$J$138</f>
        <v>3.38</v>
      </c>
      <c r="AU27" s="530">
        <f t="shared" si="13"/>
        <v>0</v>
      </c>
    </row>
    <row r="28" spans="1:47" ht="79.5" customHeight="1" hidden="1">
      <c r="A28" s="687">
        <v>11</v>
      </c>
      <c r="B28" s="688">
        <f>DADOS!B22</f>
        <v>0</v>
      </c>
      <c r="C28" s="689">
        <f>DADOS!E22</f>
        <v>0</v>
      </c>
      <c r="D28" s="690">
        <f>DADOS!F22</f>
        <v>0</v>
      </c>
      <c r="E28" s="690">
        <v>0.6</v>
      </c>
      <c r="F28" s="690">
        <f t="shared" si="1"/>
        <v>0</v>
      </c>
      <c r="G28" s="690">
        <f t="shared" si="2"/>
        <v>0</v>
      </c>
      <c r="H28" s="690">
        <f t="shared" si="3"/>
        <v>0</v>
      </c>
      <c r="I28" s="690">
        <f t="shared" si="14"/>
        <v>0</v>
      </c>
      <c r="J28" s="690">
        <f t="shared" si="15"/>
        <v>0</v>
      </c>
      <c r="K28" s="690">
        <f t="shared" si="4"/>
        <v>0</v>
      </c>
      <c r="L28" s="690">
        <f t="shared" si="5"/>
        <v>0</v>
      </c>
      <c r="M28" s="690">
        <f t="shared" si="16"/>
        <v>0</v>
      </c>
      <c r="N28" s="690">
        <f t="shared" si="17"/>
        <v>0</v>
      </c>
      <c r="O28" s="721">
        <v>0.035</v>
      </c>
      <c r="P28" s="690">
        <f t="shared" si="6"/>
        <v>0</v>
      </c>
      <c r="Q28" s="691">
        <f t="shared" si="7"/>
        <v>0</v>
      </c>
      <c r="R28" s="691">
        <f t="shared" si="18"/>
        <v>0</v>
      </c>
      <c r="S28" s="691">
        <f t="shared" si="19"/>
        <v>0</v>
      </c>
      <c r="T28" s="691">
        <f t="shared" si="20"/>
        <v>0</v>
      </c>
      <c r="U28" s="690">
        <f t="shared" si="8"/>
        <v>0</v>
      </c>
      <c r="V28" s="690">
        <f t="shared" si="9"/>
        <v>0</v>
      </c>
      <c r="W28" s="694">
        <f t="shared" si="10"/>
        <v>0</v>
      </c>
      <c r="Y28" s="529">
        <f t="shared" si="0"/>
        <v>11</v>
      </c>
      <c r="Z28" s="530">
        <f>'ORÇAMENTO GERAL'!$J$24</f>
        <v>356.9</v>
      </c>
      <c r="AA28" s="530">
        <f>'ORÇAMENTO GERAL'!$J$29</f>
        <v>120.67</v>
      </c>
      <c r="AB28" s="530">
        <f>'ORÇAMENTO GERAL'!$J$25</f>
        <v>138.66</v>
      </c>
      <c r="AC28" s="530">
        <f>'ORÇAMENTO GERAL'!$J$28</f>
        <v>175</v>
      </c>
      <c r="AD28" s="530">
        <f t="shared" si="11"/>
        <v>0</v>
      </c>
      <c r="AF28" s="530">
        <f>'ORÇAMENTO GERAL'!$J$30</f>
        <v>19.78</v>
      </c>
      <c r="AG28" s="530">
        <f>'ORÇAMENTO GERAL'!$J$31</f>
        <v>60.47</v>
      </c>
      <c r="AH28" s="530">
        <f>'ORÇAMENTO GERAL'!$J$32</f>
        <v>48.09</v>
      </c>
      <c r="AI28" s="530">
        <f>'ORÇAMENTO GERAL'!$J$25</f>
        <v>138.66</v>
      </c>
      <c r="AJ28" s="530">
        <f t="shared" si="12"/>
        <v>0</v>
      </c>
      <c r="AL28" s="530">
        <f>'ORÇAMENTO GERAL'!$J$127</f>
        <v>13.35</v>
      </c>
      <c r="AM28" s="530">
        <f>'ORÇAMENTO GERAL'!$J$128</f>
        <v>4.3</v>
      </c>
      <c r="AN28" s="530">
        <f>'ORÇAMENTO GERAL'!$J$131</f>
        <v>3011.31</v>
      </c>
      <c r="AO28" s="530">
        <f>'ORÇAMENTO GERAL'!$J$132</f>
        <v>2.89</v>
      </c>
      <c r="AP28" s="530">
        <f>'ORÇAMENTO GERAL'!$J$134</f>
        <v>9.58</v>
      </c>
      <c r="AQ28" s="530">
        <f>'ORÇAMENTO GERAL'!$J$135</f>
        <v>551.44</v>
      </c>
      <c r="AR28" s="530">
        <f>'ORÇAMENTO GERAL'!$J$136</f>
        <v>23.08</v>
      </c>
      <c r="AS28" s="530">
        <f>'ORÇAMENTO GERAL'!$J$137</f>
        <v>10.64</v>
      </c>
      <c r="AT28" s="530">
        <f>'ORÇAMENTO GERAL'!$J$138</f>
        <v>3.38</v>
      </c>
      <c r="AU28" s="530">
        <f t="shared" si="13"/>
        <v>0</v>
      </c>
    </row>
    <row r="29" spans="1:47" s="531" customFormat="1" ht="79.5" customHeight="1" hidden="1">
      <c r="A29" s="693">
        <v>12</v>
      </c>
      <c r="B29" s="688">
        <f>DADOS!B23</f>
        <v>0</v>
      </c>
      <c r="C29" s="689">
        <f>DADOS!E23</f>
        <v>0</v>
      </c>
      <c r="D29" s="690">
        <f>DADOS!F23</f>
        <v>0</v>
      </c>
      <c r="E29" s="690">
        <v>0.6</v>
      </c>
      <c r="F29" s="690">
        <f t="shared" si="1"/>
        <v>0</v>
      </c>
      <c r="G29" s="690">
        <f t="shared" si="2"/>
        <v>0</v>
      </c>
      <c r="H29" s="690">
        <f t="shared" si="3"/>
        <v>0</v>
      </c>
      <c r="I29" s="690">
        <f t="shared" si="14"/>
        <v>0</v>
      </c>
      <c r="J29" s="690">
        <f t="shared" si="15"/>
        <v>0</v>
      </c>
      <c r="K29" s="690">
        <f t="shared" si="4"/>
        <v>0</v>
      </c>
      <c r="L29" s="690">
        <f t="shared" si="5"/>
        <v>0</v>
      </c>
      <c r="M29" s="690">
        <f t="shared" si="16"/>
        <v>0</v>
      </c>
      <c r="N29" s="690">
        <f t="shared" si="17"/>
        <v>0</v>
      </c>
      <c r="O29" s="721">
        <v>0.035</v>
      </c>
      <c r="P29" s="690">
        <f t="shared" si="6"/>
        <v>0</v>
      </c>
      <c r="Q29" s="691">
        <f t="shared" si="7"/>
        <v>0</v>
      </c>
      <c r="R29" s="691">
        <f t="shared" si="18"/>
        <v>0</v>
      </c>
      <c r="S29" s="691">
        <f t="shared" si="19"/>
        <v>0</v>
      </c>
      <c r="T29" s="691">
        <f t="shared" si="20"/>
        <v>0</v>
      </c>
      <c r="U29" s="690">
        <f t="shared" si="8"/>
        <v>0</v>
      </c>
      <c r="V29" s="690">
        <f t="shared" si="9"/>
        <v>0</v>
      </c>
      <c r="W29" s="694">
        <f t="shared" si="10"/>
        <v>0</v>
      </c>
      <c r="Y29" s="529">
        <f t="shared" si="0"/>
        <v>12</v>
      </c>
      <c r="Z29" s="530">
        <f>'ORÇAMENTO GERAL'!$J$24</f>
        <v>356.9</v>
      </c>
      <c r="AA29" s="530">
        <f>'ORÇAMENTO GERAL'!$J$29</f>
        <v>120.67</v>
      </c>
      <c r="AB29" s="530">
        <f>'ORÇAMENTO GERAL'!$J$25</f>
        <v>138.66</v>
      </c>
      <c r="AC29" s="530">
        <f>'ORÇAMENTO GERAL'!$J$28</f>
        <v>175</v>
      </c>
      <c r="AD29" s="530">
        <f t="shared" si="11"/>
        <v>0</v>
      </c>
      <c r="AF29" s="530">
        <f>'ORÇAMENTO GERAL'!$J$30</f>
        <v>19.78</v>
      </c>
      <c r="AG29" s="530">
        <f>'ORÇAMENTO GERAL'!$J$31</f>
        <v>60.47</v>
      </c>
      <c r="AH29" s="530">
        <f>'ORÇAMENTO GERAL'!$J$32</f>
        <v>48.09</v>
      </c>
      <c r="AI29" s="530">
        <f>'ORÇAMENTO GERAL'!$J$25</f>
        <v>138.66</v>
      </c>
      <c r="AJ29" s="530">
        <f t="shared" si="12"/>
        <v>0</v>
      </c>
      <c r="AL29" s="530">
        <f>'ORÇAMENTO GERAL'!$J$127</f>
        <v>13.35</v>
      </c>
      <c r="AM29" s="530">
        <f>'ORÇAMENTO GERAL'!$J$128</f>
        <v>4.3</v>
      </c>
      <c r="AN29" s="530">
        <f>'ORÇAMENTO GERAL'!$J$131</f>
        <v>3011.31</v>
      </c>
      <c r="AO29" s="530">
        <f>'ORÇAMENTO GERAL'!$J$132</f>
        <v>2.89</v>
      </c>
      <c r="AP29" s="530">
        <f>'ORÇAMENTO GERAL'!$J$134</f>
        <v>9.58</v>
      </c>
      <c r="AQ29" s="530">
        <f>'ORÇAMENTO GERAL'!$J$135</f>
        <v>551.44</v>
      </c>
      <c r="AR29" s="530">
        <f>'ORÇAMENTO GERAL'!$J$136</f>
        <v>23.08</v>
      </c>
      <c r="AS29" s="530">
        <f>'ORÇAMENTO GERAL'!$J$137</f>
        <v>10.64</v>
      </c>
      <c r="AT29" s="530">
        <f>'ORÇAMENTO GERAL'!$J$138</f>
        <v>3.38</v>
      </c>
      <c r="AU29" s="530">
        <f t="shared" si="13"/>
        <v>0</v>
      </c>
    </row>
    <row r="30" spans="1:47" s="531" customFormat="1" ht="79.5" customHeight="1" hidden="1">
      <c r="A30" s="687">
        <v>13</v>
      </c>
      <c r="B30" s="688">
        <f>DADOS!B24</f>
        <v>0</v>
      </c>
      <c r="C30" s="689">
        <f>DADOS!E24</f>
        <v>0</v>
      </c>
      <c r="D30" s="690">
        <f>DADOS!F24</f>
        <v>0</v>
      </c>
      <c r="E30" s="690">
        <v>0.6</v>
      </c>
      <c r="F30" s="690">
        <f t="shared" si="1"/>
        <v>0</v>
      </c>
      <c r="G30" s="690">
        <f t="shared" si="2"/>
        <v>0</v>
      </c>
      <c r="H30" s="690">
        <f t="shared" si="3"/>
        <v>0</v>
      </c>
      <c r="I30" s="690">
        <f t="shared" si="14"/>
        <v>0</v>
      </c>
      <c r="J30" s="690">
        <f t="shared" si="15"/>
        <v>0</v>
      </c>
      <c r="K30" s="690">
        <f t="shared" si="4"/>
        <v>0</v>
      </c>
      <c r="L30" s="690">
        <f t="shared" si="5"/>
        <v>0</v>
      </c>
      <c r="M30" s="690">
        <f t="shared" si="16"/>
        <v>0</v>
      </c>
      <c r="N30" s="690">
        <f t="shared" si="17"/>
        <v>0</v>
      </c>
      <c r="O30" s="721">
        <v>0.035</v>
      </c>
      <c r="P30" s="690">
        <f t="shared" si="6"/>
        <v>0</v>
      </c>
      <c r="Q30" s="691">
        <f t="shared" si="7"/>
        <v>0</v>
      </c>
      <c r="R30" s="691">
        <f t="shared" si="18"/>
        <v>0</v>
      </c>
      <c r="S30" s="691">
        <f t="shared" si="19"/>
        <v>0</v>
      </c>
      <c r="T30" s="691">
        <f t="shared" si="20"/>
        <v>0</v>
      </c>
      <c r="U30" s="690">
        <f t="shared" si="8"/>
        <v>0</v>
      </c>
      <c r="V30" s="690">
        <f t="shared" si="9"/>
        <v>0</v>
      </c>
      <c r="W30" s="694">
        <f t="shared" si="10"/>
        <v>0</v>
      </c>
      <c r="Y30" s="529">
        <f t="shared" si="0"/>
        <v>13</v>
      </c>
      <c r="Z30" s="530">
        <f>'ORÇAMENTO GERAL'!$J$24</f>
        <v>356.9</v>
      </c>
      <c r="AA30" s="530">
        <f>'ORÇAMENTO GERAL'!$J$29</f>
        <v>120.67</v>
      </c>
      <c r="AB30" s="530">
        <f>'ORÇAMENTO GERAL'!$J$25</f>
        <v>138.66</v>
      </c>
      <c r="AC30" s="530">
        <f>'ORÇAMENTO GERAL'!$J$28</f>
        <v>175</v>
      </c>
      <c r="AD30" s="530">
        <f t="shared" si="11"/>
        <v>0</v>
      </c>
      <c r="AF30" s="530">
        <f>'ORÇAMENTO GERAL'!$J$30</f>
        <v>19.78</v>
      </c>
      <c r="AG30" s="530">
        <f>'ORÇAMENTO GERAL'!$J$31</f>
        <v>60.47</v>
      </c>
      <c r="AH30" s="530">
        <f>'ORÇAMENTO GERAL'!$J$32</f>
        <v>48.09</v>
      </c>
      <c r="AI30" s="530">
        <f>'ORÇAMENTO GERAL'!$J$25</f>
        <v>138.66</v>
      </c>
      <c r="AJ30" s="530">
        <f t="shared" si="12"/>
        <v>0</v>
      </c>
      <c r="AL30" s="530">
        <f>'ORÇAMENTO GERAL'!$J$127</f>
        <v>13.35</v>
      </c>
      <c r="AM30" s="530">
        <f>'ORÇAMENTO GERAL'!$J$128</f>
        <v>4.3</v>
      </c>
      <c r="AN30" s="530">
        <f>'ORÇAMENTO GERAL'!$J$131</f>
        <v>3011.31</v>
      </c>
      <c r="AO30" s="530">
        <f>'ORÇAMENTO GERAL'!$J$132</f>
        <v>2.89</v>
      </c>
      <c r="AP30" s="530">
        <f>'ORÇAMENTO GERAL'!$J$134</f>
        <v>9.58</v>
      </c>
      <c r="AQ30" s="530">
        <f>'ORÇAMENTO GERAL'!$J$135</f>
        <v>551.44</v>
      </c>
      <c r="AR30" s="530">
        <f>'ORÇAMENTO GERAL'!$J$136</f>
        <v>23.08</v>
      </c>
      <c r="AS30" s="530">
        <f>'ORÇAMENTO GERAL'!$J$137</f>
        <v>10.64</v>
      </c>
      <c r="AT30" s="530">
        <f>'ORÇAMENTO GERAL'!$J$138</f>
        <v>3.38</v>
      </c>
      <c r="AU30" s="530">
        <f t="shared" si="13"/>
        <v>0</v>
      </c>
    </row>
    <row r="31" spans="1:47" s="531" customFormat="1" ht="79.5" customHeight="1" hidden="1">
      <c r="A31" s="693">
        <v>14</v>
      </c>
      <c r="B31" s="688">
        <f>DADOS!B25</f>
        <v>0</v>
      </c>
      <c r="C31" s="689">
        <f>DADOS!E25</f>
        <v>0</v>
      </c>
      <c r="D31" s="690">
        <f>DADOS!F25</f>
        <v>0</v>
      </c>
      <c r="E31" s="690">
        <v>0.6</v>
      </c>
      <c r="F31" s="690">
        <f t="shared" si="1"/>
        <v>0</v>
      </c>
      <c r="G31" s="690">
        <f t="shared" si="2"/>
        <v>0</v>
      </c>
      <c r="H31" s="690">
        <f t="shared" si="3"/>
        <v>0</v>
      </c>
      <c r="I31" s="690">
        <f t="shared" si="14"/>
        <v>0</v>
      </c>
      <c r="J31" s="690">
        <f t="shared" si="15"/>
        <v>0</v>
      </c>
      <c r="K31" s="690">
        <f t="shared" si="4"/>
        <v>0</v>
      </c>
      <c r="L31" s="690">
        <f t="shared" si="5"/>
        <v>0</v>
      </c>
      <c r="M31" s="690">
        <f t="shared" si="16"/>
        <v>0</v>
      </c>
      <c r="N31" s="690">
        <f t="shared" si="17"/>
        <v>0</v>
      </c>
      <c r="O31" s="721">
        <v>0.035</v>
      </c>
      <c r="P31" s="690">
        <f t="shared" si="6"/>
        <v>0</v>
      </c>
      <c r="Q31" s="691">
        <f t="shared" si="7"/>
        <v>0</v>
      </c>
      <c r="R31" s="691">
        <f t="shared" si="18"/>
        <v>0</v>
      </c>
      <c r="S31" s="691">
        <f t="shared" si="19"/>
        <v>0</v>
      </c>
      <c r="T31" s="691">
        <f t="shared" si="20"/>
        <v>0</v>
      </c>
      <c r="U31" s="690">
        <f t="shared" si="8"/>
        <v>0</v>
      </c>
      <c r="V31" s="690">
        <f t="shared" si="9"/>
        <v>0</v>
      </c>
      <c r="W31" s="694">
        <f t="shared" si="10"/>
        <v>0</v>
      </c>
      <c r="Y31" s="529">
        <f t="shared" si="0"/>
        <v>14</v>
      </c>
      <c r="Z31" s="530">
        <f>'ORÇAMENTO GERAL'!$J$24</f>
        <v>356.9</v>
      </c>
      <c r="AA31" s="530">
        <f>'ORÇAMENTO GERAL'!$J$29</f>
        <v>120.67</v>
      </c>
      <c r="AB31" s="530">
        <f>'ORÇAMENTO GERAL'!$J$25</f>
        <v>138.66</v>
      </c>
      <c r="AC31" s="530">
        <f>'ORÇAMENTO GERAL'!$J$28</f>
        <v>175</v>
      </c>
      <c r="AD31" s="530">
        <f t="shared" si="11"/>
        <v>0</v>
      </c>
      <c r="AF31" s="530">
        <f>'ORÇAMENTO GERAL'!$J$30</f>
        <v>19.78</v>
      </c>
      <c r="AG31" s="530">
        <f>'ORÇAMENTO GERAL'!$J$31</f>
        <v>60.47</v>
      </c>
      <c r="AH31" s="530">
        <f>'ORÇAMENTO GERAL'!$J$32</f>
        <v>48.09</v>
      </c>
      <c r="AI31" s="530">
        <f>'ORÇAMENTO GERAL'!$J$25</f>
        <v>138.66</v>
      </c>
      <c r="AJ31" s="530">
        <f t="shared" si="12"/>
        <v>0</v>
      </c>
      <c r="AL31" s="530">
        <f>'ORÇAMENTO GERAL'!$J$127</f>
        <v>13.35</v>
      </c>
      <c r="AM31" s="530">
        <f>'ORÇAMENTO GERAL'!$J$128</f>
        <v>4.3</v>
      </c>
      <c r="AN31" s="530">
        <f>'ORÇAMENTO GERAL'!$J$131</f>
        <v>3011.31</v>
      </c>
      <c r="AO31" s="530">
        <f>'ORÇAMENTO GERAL'!$J$132</f>
        <v>2.89</v>
      </c>
      <c r="AP31" s="530">
        <f>'ORÇAMENTO GERAL'!$J$134</f>
        <v>9.58</v>
      </c>
      <c r="AQ31" s="530">
        <f>'ORÇAMENTO GERAL'!$J$135</f>
        <v>551.44</v>
      </c>
      <c r="AR31" s="530">
        <f>'ORÇAMENTO GERAL'!$J$136</f>
        <v>23.08</v>
      </c>
      <c r="AS31" s="530">
        <f>'ORÇAMENTO GERAL'!$J$137</f>
        <v>10.64</v>
      </c>
      <c r="AT31" s="530">
        <f>'ORÇAMENTO GERAL'!$J$138</f>
        <v>3.38</v>
      </c>
      <c r="AU31" s="530">
        <f t="shared" si="13"/>
        <v>0</v>
      </c>
    </row>
    <row r="32" spans="1:47" s="531" customFormat="1" ht="79.5" customHeight="1" hidden="1">
      <c r="A32" s="687">
        <v>15</v>
      </c>
      <c r="B32" s="688">
        <f>DADOS!B26</f>
        <v>0</v>
      </c>
      <c r="C32" s="689">
        <f>DADOS!E26</f>
        <v>0</v>
      </c>
      <c r="D32" s="690">
        <f>DADOS!F26</f>
        <v>0</v>
      </c>
      <c r="E32" s="690">
        <v>0.6</v>
      </c>
      <c r="F32" s="690">
        <f t="shared" si="1"/>
        <v>0</v>
      </c>
      <c r="G32" s="690">
        <f t="shared" si="2"/>
        <v>0</v>
      </c>
      <c r="H32" s="690">
        <f t="shared" si="3"/>
        <v>0</v>
      </c>
      <c r="I32" s="690">
        <f t="shared" si="14"/>
        <v>0</v>
      </c>
      <c r="J32" s="690">
        <f t="shared" si="15"/>
        <v>0</v>
      </c>
      <c r="K32" s="690">
        <f t="shared" si="4"/>
        <v>0</v>
      </c>
      <c r="L32" s="690">
        <f t="shared" si="5"/>
        <v>0</v>
      </c>
      <c r="M32" s="690">
        <f t="shared" si="16"/>
        <v>0</v>
      </c>
      <c r="N32" s="690">
        <f t="shared" si="17"/>
        <v>0</v>
      </c>
      <c r="O32" s="721">
        <v>0.035</v>
      </c>
      <c r="P32" s="690">
        <f t="shared" si="6"/>
        <v>0</v>
      </c>
      <c r="Q32" s="691">
        <f t="shared" si="7"/>
        <v>0</v>
      </c>
      <c r="R32" s="691">
        <f t="shared" si="18"/>
        <v>0</v>
      </c>
      <c r="S32" s="691">
        <f t="shared" si="19"/>
        <v>0</v>
      </c>
      <c r="T32" s="691">
        <f t="shared" si="20"/>
        <v>0</v>
      </c>
      <c r="U32" s="690">
        <f t="shared" si="8"/>
        <v>0</v>
      </c>
      <c r="V32" s="690">
        <f t="shared" si="9"/>
        <v>0</v>
      </c>
      <c r="W32" s="694">
        <f t="shared" si="10"/>
        <v>0</v>
      </c>
      <c r="Y32" s="529">
        <f t="shared" si="0"/>
        <v>15</v>
      </c>
      <c r="Z32" s="530">
        <f>'ORÇAMENTO GERAL'!$J$24</f>
        <v>356.9</v>
      </c>
      <c r="AA32" s="530">
        <f>'ORÇAMENTO GERAL'!$J$29</f>
        <v>120.67</v>
      </c>
      <c r="AB32" s="530">
        <f>'ORÇAMENTO GERAL'!$J$25</f>
        <v>138.66</v>
      </c>
      <c r="AC32" s="530">
        <f>'ORÇAMENTO GERAL'!$J$28</f>
        <v>175</v>
      </c>
      <c r="AD32" s="530">
        <f t="shared" si="11"/>
        <v>0</v>
      </c>
      <c r="AF32" s="530">
        <f>'ORÇAMENTO GERAL'!$J$30</f>
        <v>19.78</v>
      </c>
      <c r="AG32" s="530">
        <f>'ORÇAMENTO GERAL'!$J$31</f>
        <v>60.47</v>
      </c>
      <c r="AH32" s="530">
        <f>'ORÇAMENTO GERAL'!$J$32</f>
        <v>48.09</v>
      </c>
      <c r="AI32" s="530">
        <f>'ORÇAMENTO GERAL'!$J$25</f>
        <v>138.66</v>
      </c>
      <c r="AJ32" s="530">
        <f t="shared" si="12"/>
        <v>0</v>
      </c>
      <c r="AL32" s="530">
        <f>'ORÇAMENTO GERAL'!$J$127</f>
        <v>13.35</v>
      </c>
      <c r="AM32" s="530">
        <f>'ORÇAMENTO GERAL'!$J$128</f>
        <v>4.3</v>
      </c>
      <c r="AN32" s="530">
        <f>'ORÇAMENTO GERAL'!$J$131</f>
        <v>3011.31</v>
      </c>
      <c r="AO32" s="530">
        <f>'ORÇAMENTO GERAL'!$J$132</f>
        <v>2.89</v>
      </c>
      <c r="AP32" s="530">
        <f>'ORÇAMENTO GERAL'!$J$134</f>
        <v>9.58</v>
      </c>
      <c r="AQ32" s="530">
        <f>'ORÇAMENTO GERAL'!$J$135</f>
        <v>551.44</v>
      </c>
      <c r="AR32" s="530">
        <f>'ORÇAMENTO GERAL'!$J$136</f>
        <v>23.08</v>
      </c>
      <c r="AS32" s="530">
        <f>'ORÇAMENTO GERAL'!$J$137</f>
        <v>10.64</v>
      </c>
      <c r="AT32" s="530">
        <f>'ORÇAMENTO GERAL'!$J$138</f>
        <v>3.38</v>
      </c>
      <c r="AU32" s="530">
        <f t="shared" si="13"/>
        <v>0</v>
      </c>
    </row>
    <row r="33" spans="1:47" s="531" customFormat="1" ht="79.5" customHeight="1" hidden="1">
      <c r="A33" s="693">
        <v>16</v>
      </c>
      <c r="B33" s="688">
        <f>DADOS!B27</f>
        <v>0</v>
      </c>
      <c r="C33" s="689">
        <f>DADOS!E27</f>
        <v>0</v>
      </c>
      <c r="D33" s="690">
        <f>DADOS!F27</f>
        <v>0</v>
      </c>
      <c r="E33" s="690">
        <v>0.6</v>
      </c>
      <c r="F33" s="690">
        <f t="shared" si="1"/>
        <v>0</v>
      </c>
      <c r="G33" s="690">
        <f t="shared" si="2"/>
        <v>0</v>
      </c>
      <c r="H33" s="690">
        <f t="shared" si="3"/>
        <v>0</v>
      </c>
      <c r="I33" s="690">
        <f t="shared" si="14"/>
        <v>0</v>
      </c>
      <c r="J33" s="690">
        <f t="shared" si="15"/>
        <v>0</v>
      </c>
      <c r="K33" s="690">
        <f t="shared" si="4"/>
        <v>0</v>
      </c>
      <c r="L33" s="690">
        <f t="shared" si="5"/>
        <v>0</v>
      </c>
      <c r="M33" s="690">
        <f t="shared" si="16"/>
        <v>0</v>
      </c>
      <c r="N33" s="690">
        <f t="shared" si="17"/>
        <v>0</v>
      </c>
      <c r="O33" s="721">
        <v>0.035</v>
      </c>
      <c r="P33" s="690">
        <f t="shared" si="6"/>
        <v>0</v>
      </c>
      <c r="Q33" s="691">
        <f t="shared" si="7"/>
        <v>0</v>
      </c>
      <c r="R33" s="691">
        <f t="shared" si="18"/>
        <v>0</v>
      </c>
      <c r="S33" s="691">
        <f t="shared" si="19"/>
        <v>0</v>
      </c>
      <c r="T33" s="691">
        <f t="shared" si="20"/>
        <v>0</v>
      </c>
      <c r="U33" s="690">
        <f t="shared" si="8"/>
        <v>0</v>
      </c>
      <c r="V33" s="690">
        <f t="shared" si="9"/>
        <v>0</v>
      </c>
      <c r="W33" s="694">
        <f t="shared" si="10"/>
        <v>0</v>
      </c>
      <c r="Y33" s="529">
        <f t="shared" si="0"/>
        <v>16</v>
      </c>
      <c r="Z33" s="530">
        <f>'ORÇAMENTO GERAL'!$J$24</f>
        <v>356.9</v>
      </c>
      <c r="AA33" s="530">
        <f>'ORÇAMENTO GERAL'!$J$29</f>
        <v>120.67</v>
      </c>
      <c r="AB33" s="530">
        <f>'ORÇAMENTO GERAL'!$J$25</f>
        <v>138.66</v>
      </c>
      <c r="AC33" s="530">
        <f>'ORÇAMENTO GERAL'!$J$28</f>
        <v>175</v>
      </c>
      <c r="AD33" s="530">
        <f t="shared" si="11"/>
        <v>0</v>
      </c>
      <c r="AF33" s="530">
        <f>'ORÇAMENTO GERAL'!$J$30</f>
        <v>19.78</v>
      </c>
      <c r="AG33" s="530">
        <f>'ORÇAMENTO GERAL'!$J$31</f>
        <v>60.47</v>
      </c>
      <c r="AH33" s="530">
        <f>'ORÇAMENTO GERAL'!$J$32</f>
        <v>48.09</v>
      </c>
      <c r="AI33" s="530">
        <f>'ORÇAMENTO GERAL'!$J$25</f>
        <v>138.66</v>
      </c>
      <c r="AJ33" s="530">
        <f t="shared" si="12"/>
        <v>0</v>
      </c>
      <c r="AL33" s="530">
        <f>'ORÇAMENTO GERAL'!$J$127</f>
        <v>13.35</v>
      </c>
      <c r="AM33" s="530">
        <f>'ORÇAMENTO GERAL'!$J$128</f>
        <v>4.3</v>
      </c>
      <c r="AN33" s="530">
        <f>'ORÇAMENTO GERAL'!$J$131</f>
        <v>3011.31</v>
      </c>
      <c r="AO33" s="530">
        <f>'ORÇAMENTO GERAL'!$J$132</f>
        <v>2.89</v>
      </c>
      <c r="AP33" s="530">
        <f>'ORÇAMENTO GERAL'!$J$134</f>
        <v>9.58</v>
      </c>
      <c r="AQ33" s="530">
        <f>'ORÇAMENTO GERAL'!$J$135</f>
        <v>551.44</v>
      </c>
      <c r="AR33" s="530">
        <f>'ORÇAMENTO GERAL'!$J$136</f>
        <v>23.08</v>
      </c>
      <c r="AS33" s="530">
        <f>'ORÇAMENTO GERAL'!$J$137</f>
        <v>10.64</v>
      </c>
      <c r="AT33" s="530">
        <f>'ORÇAMENTO GERAL'!$J$138</f>
        <v>3.38</v>
      </c>
      <c r="AU33" s="530">
        <f t="shared" si="13"/>
        <v>0</v>
      </c>
    </row>
    <row r="34" spans="1:47" ht="79.5" customHeight="1" hidden="1">
      <c r="A34" s="687">
        <v>17</v>
      </c>
      <c r="B34" s="688">
        <f>DADOS!B28</f>
        <v>0</v>
      </c>
      <c r="C34" s="689">
        <f>DADOS!E28</f>
        <v>0</v>
      </c>
      <c r="D34" s="690">
        <f>DADOS!F28</f>
        <v>0</v>
      </c>
      <c r="E34" s="690">
        <v>0.6</v>
      </c>
      <c r="F34" s="690">
        <f t="shared" si="1"/>
        <v>0</v>
      </c>
      <c r="G34" s="690">
        <f t="shared" si="2"/>
        <v>0</v>
      </c>
      <c r="H34" s="690">
        <f t="shared" si="3"/>
        <v>0</v>
      </c>
      <c r="I34" s="690">
        <f t="shared" si="14"/>
        <v>0</v>
      </c>
      <c r="J34" s="690">
        <f t="shared" si="15"/>
        <v>0</v>
      </c>
      <c r="K34" s="690">
        <f t="shared" si="4"/>
        <v>0</v>
      </c>
      <c r="L34" s="690">
        <f t="shared" si="5"/>
        <v>0</v>
      </c>
      <c r="M34" s="690">
        <f t="shared" si="16"/>
        <v>0</v>
      </c>
      <c r="N34" s="690">
        <f t="shared" si="17"/>
        <v>0</v>
      </c>
      <c r="O34" s="721">
        <v>0.035</v>
      </c>
      <c r="P34" s="690">
        <f t="shared" si="6"/>
        <v>0</v>
      </c>
      <c r="Q34" s="691">
        <f t="shared" si="7"/>
        <v>0</v>
      </c>
      <c r="R34" s="691">
        <f t="shared" si="18"/>
        <v>0</v>
      </c>
      <c r="S34" s="691">
        <f t="shared" si="19"/>
        <v>0</v>
      </c>
      <c r="T34" s="691">
        <f t="shared" si="20"/>
        <v>0</v>
      </c>
      <c r="U34" s="690">
        <f t="shared" si="8"/>
        <v>0</v>
      </c>
      <c r="V34" s="690">
        <f t="shared" si="9"/>
        <v>0</v>
      </c>
      <c r="W34" s="694">
        <f t="shared" si="10"/>
        <v>0</v>
      </c>
      <c r="Y34" s="529">
        <f t="shared" si="0"/>
        <v>17</v>
      </c>
      <c r="Z34" s="530">
        <f>'ORÇAMENTO GERAL'!$J$24</f>
        <v>356.9</v>
      </c>
      <c r="AA34" s="530">
        <f>'ORÇAMENTO GERAL'!$J$29</f>
        <v>120.67</v>
      </c>
      <c r="AB34" s="530">
        <f>'ORÇAMENTO GERAL'!$J$25</f>
        <v>138.66</v>
      </c>
      <c r="AC34" s="530">
        <f>'ORÇAMENTO GERAL'!$J$28</f>
        <v>175</v>
      </c>
      <c r="AD34" s="530">
        <f t="shared" si="11"/>
        <v>0</v>
      </c>
      <c r="AF34" s="530">
        <f>'ORÇAMENTO GERAL'!$J$30</f>
        <v>19.78</v>
      </c>
      <c r="AG34" s="530">
        <f>'ORÇAMENTO GERAL'!$J$31</f>
        <v>60.47</v>
      </c>
      <c r="AH34" s="530">
        <f>'ORÇAMENTO GERAL'!$J$32</f>
        <v>48.09</v>
      </c>
      <c r="AI34" s="530">
        <f>'ORÇAMENTO GERAL'!$J$25</f>
        <v>138.66</v>
      </c>
      <c r="AJ34" s="530">
        <f t="shared" si="12"/>
        <v>0</v>
      </c>
      <c r="AL34" s="530">
        <f>'ORÇAMENTO GERAL'!$J$127</f>
        <v>13.35</v>
      </c>
      <c r="AM34" s="530">
        <f>'ORÇAMENTO GERAL'!$J$128</f>
        <v>4.3</v>
      </c>
      <c r="AN34" s="530">
        <f>'ORÇAMENTO GERAL'!$J$131</f>
        <v>3011.31</v>
      </c>
      <c r="AO34" s="530">
        <f>'ORÇAMENTO GERAL'!$J$132</f>
        <v>2.89</v>
      </c>
      <c r="AP34" s="530">
        <f>'ORÇAMENTO GERAL'!$J$134</f>
        <v>9.58</v>
      </c>
      <c r="AQ34" s="530">
        <f>'ORÇAMENTO GERAL'!$J$135</f>
        <v>551.44</v>
      </c>
      <c r="AR34" s="530">
        <f>'ORÇAMENTO GERAL'!$J$136</f>
        <v>23.08</v>
      </c>
      <c r="AS34" s="530">
        <f>'ORÇAMENTO GERAL'!$J$137</f>
        <v>10.64</v>
      </c>
      <c r="AT34" s="530">
        <f>'ORÇAMENTO GERAL'!$J$138</f>
        <v>3.38</v>
      </c>
      <c r="AU34" s="530">
        <f t="shared" si="13"/>
        <v>0</v>
      </c>
    </row>
    <row r="35" spans="1:47" ht="79.5" customHeight="1" hidden="1">
      <c r="A35" s="693">
        <v>18</v>
      </c>
      <c r="B35" s="688">
        <f>DADOS!B29</f>
        <v>0</v>
      </c>
      <c r="C35" s="689">
        <f>DADOS!E29</f>
        <v>0</v>
      </c>
      <c r="D35" s="690">
        <f>DADOS!F29</f>
        <v>0</v>
      </c>
      <c r="E35" s="690">
        <v>0.6</v>
      </c>
      <c r="F35" s="690">
        <f t="shared" si="1"/>
        <v>0</v>
      </c>
      <c r="G35" s="690">
        <f t="shared" si="2"/>
        <v>0</v>
      </c>
      <c r="H35" s="690">
        <f t="shared" si="3"/>
        <v>0</v>
      </c>
      <c r="I35" s="690">
        <f t="shared" si="14"/>
        <v>0</v>
      </c>
      <c r="J35" s="690">
        <f t="shared" si="15"/>
        <v>0</v>
      </c>
      <c r="K35" s="690">
        <f t="shared" si="4"/>
        <v>0</v>
      </c>
      <c r="L35" s="690">
        <f t="shared" si="5"/>
        <v>0</v>
      </c>
      <c r="M35" s="690">
        <f t="shared" si="16"/>
        <v>0</v>
      </c>
      <c r="N35" s="690">
        <f t="shared" si="17"/>
        <v>0</v>
      </c>
      <c r="O35" s="721">
        <v>0.035</v>
      </c>
      <c r="P35" s="690">
        <f t="shared" si="6"/>
        <v>0</v>
      </c>
      <c r="Q35" s="691">
        <f t="shared" si="7"/>
        <v>0</v>
      </c>
      <c r="R35" s="691">
        <f t="shared" si="18"/>
        <v>0</v>
      </c>
      <c r="S35" s="691">
        <f t="shared" si="19"/>
        <v>0</v>
      </c>
      <c r="T35" s="691">
        <f t="shared" si="20"/>
        <v>0</v>
      </c>
      <c r="U35" s="690">
        <f t="shared" si="8"/>
        <v>0</v>
      </c>
      <c r="V35" s="690">
        <f t="shared" si="9"/>
        <v>0</v>
      </c>
      <c r="W35" s="694">
        <f t="shared" si="10"/>
        <v>0</v>
      </c>
      <c r="Y35" s="529">
        <f t="shared" si="0"/>
        <v>18</v>
      </c>
      <c r="Z35" s="530">
        <f>'ORÇAMENTO GERAL'!$J$24</f>
        <v>356.9</v>
      </c>
      <c r="AA35" s="530">
        <f>'ORÇAMENTO GERAL'!$J$29</f>
        <v>120.67</v>
      </c>
      <c r="AB35" s="530">
        <f>'ORÇAMENTO GERAL'!$J$25</f>
        <v>138.66</v>
      </c>
      <c r="AC35" s="530">
        <f>'ORÇAMENTO GERAL'!$J$28</f>
        <v>175</v>
      </c>
      <c r="AD35" s="530">
        <f t="shared" si="11"/>
        <v>0</v>
      </c>
      <c r="AF35" s="530">
        <f>'ORÇAMENTO GERAL'!$J$30</f>
        <v>19.78</v>
      </c>
      <c r="AG35" s="530">
        <f>'ORÇAMENTO GERAL'!$J$31</f>
        <v>60.47</v>
      </c>
      <c r="AH35" s="530">
        <f>'ORÇAMENTO GERAL'!$J$32</f>
        <v>48.09</v>
      </c>
      <c r="AI35" s="530">
        <f>'ORÇAMENTO GERAL'!$J$25</f>
        <v>138.66</v>
      </c>
      <c r="AJ35" s="530">
        <f t="shared" si="12"/>
        <v>0</v>
      </c>
      <c r="AL35" s="530">
        <f>'ORÇAMENTO GERAL'!$J$127</f>
        <v>13.35</v>
      </c>
      <c r="AM35" s="530">
        <f>'ORÇAMENTO GERAL'!$J$128</f>
        <v>4.3</v>
      </c>
      <c r="AN35" s="530">
        <f>'ORÇAMENTO GERAL'!$J$131</f>
        <v>3011.31</v>
      </c>
      <c r="AO35" s="530">
        <f>'ORÇAMENTO GERAL'!$J$132</f>
        <v>2.89</v>
      </c>
      <c r="AP35" s="530">
        <f>'ORÇAMENTO GERAL'!$J$134</f>
        <v>9.58</v>
      </c>
      <c r="AQ35" s="530">
        <f>'ORÇAMENTO GERAL'!$J$135</f>
        <v>551.44</v>
      </c>
      <c r="AR35" s="530">
        <f>'ORÇAMENTO GERAL'!$J$136</f>
        <v>23.08</v>
      </c>
      <c r="AS35" s="530">
        <f>'ORÇAMENTO GERAL'!$J$137</f>
        <v>10.64</v>
      </c>
      <c r="AT35" s="530">
        <f>'ORÇAMENTO GERAL'!$J$138</f>
        <v>3.38</v>
      </c>
      <c r="AU35" s="530">
        <f t="shared" si="13"/>
        <v>0</v>
      </c>
    </row>
    <row r="36" spans="1:47" ht="79.5" customHeight="1" hidden="1">
      <c r="A36" s="687">
        <v>19</v>
      </c>
      <c r="B36" s="688">
        <f>DADOS!B30</f>
        <v>0</v>
      </c>
      <c r="C36" s="689">
        <f>DADOS!E30</f>
        <v>0</v>
      </c>
      <c r="D36" s="690">
        <f>DADOS!F30</f>
        <v>0</v>
      </c>
      <c r="E36" s="690">
        <v>0.6</v>
      </c>
      <c r="F36" s="690">
        <f t="shared" si="1"/>
        <v>0</v>
      </c>
      <c r="G36" s="690">
        <f t="shared" si="2"/>
        <v>0</v>
      </c>
      <c r="H36" s="690">
        <f t="shared" si="3"/>
        <v>0</v>
      </c>
      <c r="I36" s="690">
        <f t="shared" si="14"/>
        <v>0</v>
      </c>
      <c r="J36" s="690">
        <f t="shared" si="15"/>
        <v>0</v>
      </c>
      <c r="K36" s="690">
        <f t="shared" si="4"/>
        <v>0</v>
      </c>
      <c r="L36" s="690">
        <f t="shared" si="5"/>
        <v>0</v>
      </c>
      <c r="M36" s="690">
        <f t="shared" si="16"/>
        <v>0</v>
      </c>
      <c r="N36" s="690">
        <f t="shared" si="17"/>
        <v>0</v>
      </c>
      <c r="O36" s="721">
        <v>0.035</v>
      </c>
      <c r="P36" s="690">
        <f t="shared" si="6"/>
        <v>0</v>
      </c>
      <c r="Q36" s="691">
        <f t="shared" si="7"/>
        <v>0</v>
      </c>
      <c r="R36" s="691">
        <f t="shared" si="18"/>
        <v>0</v>
      </c>
      <c r="S36" s="691">
        <f t="shared" si="19"/>
        <v>0</v>
      </c>
      <c r="T36" s="691">
        <f t="shared" si="20"/>
        <v>0</v>
      </c>
      <c r="U36" s="690">
        <f t="shared" si="8"/>
        <v>0</v>
      </c>
      <c r="V36" s="690">
        <f t="shared" si="9"/>
        <v>0</v>
      </c>
      <c r="W36" s="694">
        <f t="shared" si="10"/>
        <v>0</v>
      </c>
      <c r="Y36" s="529">
        <f t="shared" si="0"/>
        <v>19</v>
      </c>
      <c r="Z36" s="530">
        <f>'ORÇAMENTO GERAL'!$J$24</f>
        <v>356.9</v>
      </c>
      <c r="AA36" s="530">
        <f>'ORÇAMENTO GERAL'!$J$29</f>
        <v>120.67</v>
      </c>
      <c r="AB36" s="530">
        <f>'ORÇAMENTO GERAL'!$J$25</f>
        <v>138.66</v>
      </c>
      <c r="AC36" s="530">
        <f>'ORÇAMENTO GERAL'!$J$28</f>
        <v>175</v>
      </c>
      <c r="AD36" s="530">
        <f t="shared" si="11"/>
        <v>0</v>
      </c>
      <c r="AF36" s="530">
        <f>'ORÇAMENTO GERAL'!$J$30</f>
        <v>19.78</v>
      </c>
      <c r="AG36" s="530">
        <f>'ORÇAMENTO GERAL'!$J$31</f>
        <v>60.47</v>
      </c>
      <c r="AH36" s="530">
        <f>'ORÇAMENTO GERAL'!$J$32</f>
        <v>48.09</v>
      </c>
      <c r="AI36" s="530">
        <f>'ORÇAMENTO GERAL'!$J$25</f>
        <v>138.66</v>
      </c>
      <c r="AJ36" s="530">
        <f t="shared" si="12"/>
        <v>0</v>
      </c>
      <c r="AL36" s="530">
        <f>'ORÇAMENTO GERAL'!$J$127</f>
        <v>13.35</v>
      </c>
      <c r="AM36" s="530">
        <f>'ORÇAMENTO GERAL'!$J$128</f>
        <v>4.3</v>
      </c>
      <c r="AN36" s="530">
        <f>'ORÇAMENTO GERAL'!$J$131</f>
        <v>3011.31</v>
      </c>
      <c r="AO36" s="530">
        <f>'ORÇAMENTO GERAL'!$J$132</f>
        <v>2.89</v>
      </c>
      <c r="AP36" s="530">
        <f>'ORÇAMENTO GERAL'!$J$134</f>
        <v>9.58</v>
      </c>
      <c r="AQ36" s="530">
        <f>'ORÇAMENTO GERAL'!$J$135</f>
        <v>551.44</v>
      </c>
      <c r="AR36" s="530">
        <f>'ORÇAMENTO GERAL'!$J$136</f>
        <v>23.08</v>
      </c>
      <c r="AS36" s="530">
        <f>'ORÇAMENTO GERAL'!$J$137</f>
        <v>10.64</v>
      </c>
      <c r="AT36" s="530">
        <f>'ORÇAMENTO GERAL'!$J$138</f>
        <v>3.38</v>
      </c>
      <c r="AU36" s="530">
        <f t="shared" si="13"/>
        <v>0</v>
      </c>
    </row>
    <row r="37" spans="1:47" ht="79.5" customHeight="1" hidden="1" thickBot="1">
      <c r="A37" s="695">
        <v>20</v>
      </c>
      <c r="B37" s="688">
        <f>DADOS!B31</f>
        <v>0</v>
      </c>
      <c r="C37" s="689">
        <f>DADOS!E31</f>
        <v>0</v>
      </c>
      <c r="D37" s="690">
        <f>DADOS!F31</f>
        <v>0</v>
      </c>
      <c r="E37" s="690">
        <v>0.6</v>
      </c>
      <c r="F37" s="690">
        <f t="shared" si="1"/>
        <v>0</v>
      </c>
      <c r="G37" s="690">
        <f t="shared" si="2"/>
        <v>0</v>
      </c>
      <c r="H37" s="690">
        <f t="shared" si="3"/>
        <v>0</v>
      </c>
      <c r="I37" s="690">
        <f t="shared" si="14"/>
        <v>0</v>
      </c>
      <c r="J37" s="690">
        <f t="shared" si="15"/>
        <v>0</v>
      </c>
      <c r="K37" s="690">
        <f t="shared" si="4"/>
        <v>0</v>
      </c>
      <c r="L37" s="690">
        <f t="shared" si="5"/>
        <v>0</v>
      </c>
      <c r="M37" s="690">
        <f t="shared" si="16"/>
        <v>0</v>
      </c>
      <c r="N37" s="690">
        <f t="shared" si="17"/>
        <v>0</v>
      </c>
      <c r="O37" s="721">
        <v>0.035</v>
      </c>
      <c r="P37" s="690">
        <f t="shared" si="6"/>
        <v>0</v>
      </c>
      <c r="Q37" s="691">
        <f t="shared" si="7"/>
        <v>0</v>
      </c>
      <c r="R37" s="691">
        <f t="shared" si="18"/>
        <v>0</v>
      </c>
      <c r="S37" s="691">
        <f t="shared" si="19"/>
        <v>0</v>
      </c>
      <c r="T37" s="691">
        <f t="shared" si="20"/>
        <v>0</v>
      </c>
      <c r="U37" s="690">
        <f t="shared" si="8"/>
        <v>0</v>
      </c>
      <c r="V37" s="690">
        <f t="shared" si="9"/>
        <v>0</v>
      </c>
      <c r="W37" s="694">
        <f t="shared" si="10"/>
        <v>0</v>
      </c>
      <c r="Y37" s="529">
        <f t="shared" si="0"/>
        <v>20</v>
      </c>
      <c r="Z37" s="530">
        <f>'ORÇAMENTO GERAL'!$J$24</f>
        <v>356.9</v>
      </c>
      <c r="AA37" s="530">
        <f>'ORÇAMENTO GERAL'!$J$29</f>
        <v>120.67</v>
      </c>
      <c r="AB37" s="530">
        <f>'ORÇAMENTO GERAL'!$J$25</f>
        <v>138.66</v>
      </c>
      <c r="AC37" s="530">
        <f>'ORÇAMENTO GERAL'!$J$28</f>
        <v>175</v>
      </c>
      <c r="AD37" s="530">
        <f t="shared" si="11"/>
        <v>0</v>
      </c>
      <c r="AF37" s="530">
        <f>'ORÇAMENTO GERAL'!$J$30</f>
        <v>19.78</v>
      </c>
      <c r="AG37" s="530">
        <f>'ORÇAMENTO GERAL'!$J$31</f>
        <v>60.47</v>
      </c>
      <c r="AH37" s="530">
        <f>'ORÇAMENTO GERAL'!$J$32</f>
        <v>48.09</v>
      </c>
      <c r="AI37" s="530">
        <f>'ORÇAMENTO GERAL'!$J$25</f>
        <v>138.66</v>
      </c>
      <c r="AJ37" s="530">
        <f t="shared" si="12"/>
        <v>0</v>
      </c>
      <c r="AL37" s="530">
        <f>'ORÇAMENTO GERAL'!$J$127</f>
        <v>13.35</v>
      </c>
      <c r="AM37" s="530">
        <f>'ORÇAMENTO GERAL'!$J$128</f>
        <v>4.3</v>
      </c>
      <c r="AN37" s="530">
        <f>'ORÇAMENTO GERAL'!$J$131</f>
        <v>3011.31</v>
      </c>
      <c r="AO37" s="530">
        <f>'ORÇAMENTO GERAL'!$J$132</f>
        <v>2.89</v>
      </c>
      <c r="AP37" s="530">
        <f>'ORÇAMENTO GERAL'!$J$134</f>
        <v>9.58</v>
      </c>
      <c r="AQ37" s="530">
        <f>'ORÇAMENTO GERAL'!$J$135</f>
        <v>551.44</v>
      </c>
      <c r="AR37" s="530">
        <f>'ORÇAMENTO GERAL'!$J$136</f>
        <v>23.08</v>
      </c>
      <c r="AS37" s="530">
        <f>'ORÇAMENTO GERAL'!$J$137</f>
        <v>10.64</v>
      </c>
      <c r="AT37" s="530">
        <f>'ORÇAMENTO GERAL'!$J$138</f>
        <v>3.38</v>
      </c>
      <c r="AU37" s="530">
        <f t="shared" si="13"/>
        <v>0</v>
      </c>
    </row>
    <row r="38" spans="1:23" s="531" customFormat="1" ht="79.5" customHeight="1" thickBot="1">
      <c r="A38" s="983" t="s">
        <v>378</v>
      </c>
      <c r="B38" s="984"/>
      <c r="C38" s="696">
        <f aca="true" t="shared" si="21" ref="C38:W38">SUM(C18:C37)</f>
        <v>735</v>
      </c>
      <c r="D38" s="696"/>
      <c r="E38" s="696"/>
      <c r="F38" s="696">
        <f t="shared" si="21"/>
        <v>23.45</v>
      </c>
      <c r="G38" s="696">
        <f t="shared" si="21"/>
        <v>16.42</v>
      </c>
      <c r="H38" s="696">
        <f t="shared" si="21"/>
        <v>469</v>
      </c>
      <c r="I38" s="696">
        <f t="shared" si="21"/>
        <v>0</v>
      </c>
      <c r="J38" s="696">
        <f t="shared" si="21"/>
        <v>0</v>
      </c>
      <c r="K38" s="696">
        <f t="shared" si="21"/>
        <v>0</v>
      </c>
      <c r="L38" s="696">
        <f t="shared" si="21"/>
        <v>0</v>
      </c>
      <c r="M38" s="696">
        <f t="shared" si="21"/>
        <v>0</v>
      </c>
      <c r="N38" s="696">
        <f t="shared" si="21"/>
        <v>0</v>
      </c>
      <c r="O38" s="696">
        <f t="shared" si="21"/>
        <v>0.7</v>
      </c>
      <c r="P38" s="696">
        <f t="shared" si="21"/>
        <v>0</v>
      </c>
      <c r="Q38" s="696">
        <f t="shared" si="21"/>
        <v>0</v>
      </c>
      <c r="R38" s="696">
        <f t="shared" si="21"/>
        <v>0</v>
      </c>
      <c r="S38" s="696">
        <f t="shared" si="21"/>
        <v>0</v>
      </c>
      <c r="T38" s="696">
        <f t="shared" si="21"/>
        <v>0</v>
      </c>
      <c r="U38" s="696">
        <f t="shared" si="21"/>
        <v>0</v>
      </c>
      <c r="V38" s="696">
        <f t="shared" si="21"/>
        <v>0</v>
      </c>
      <c r="W38" s="696">
        <f t="shared" si="21"/>
        <v>3724</v>
      </c>
    </row>
    <row r="39" spans="1:23" s="531" customFormat="1" ht="19.5" customHeight="1">
      <c r="A39" s="532"/>
      <c r="B39" s="533"/>
      <c r="C39" s="533"/>
      <c r="D39" s="533"/>
      <c r="E39" s="533"/>
      <c r="F39" s="533"/>
      <c r="G39" s="533"/>
      <c r="H39" s="533"/>
      <c r="I39" s="533"/>
      <c r="J39" s="533"/>
      <c r="K39" s="533"/>
      <c r="L39" s="533"/>
      <c r="M39" s="533"/>
      <c r="N39" s="533"/>
      <c r="O39" s="533"/>
      <c r="P39" s="533"/>
      <c r="Q39" s="533"/>
      <c r="R39" s="533"/>
      <c r="S39" s="533"/>
      <c r="T39" s="533"/>
      <c r="U39" s="533"/>
      <c r="V39" s="533"/>
      <c r="W39" s="533"/>
    </row>
    <row r="40" spans="1:23" s="531" customFormat="1" ht="19.5" customHeight="1">
      <c r="A40" s="532"/>
      <c r="B40" s="533"/>
      <c r="C40" s="533"/>
      <c r="D40" s="533"/>
      <c r="E40" s="533"/>
      <c r="F40" s="533"/>
      <c r="G40" s="533"/>
      <c r="H40" s="533"/>
      <c r="I40" s="533"/>
      <c r="J40" s="533"/>
      <c r="K40" s="533"/>
      <c r="L40" s="533"/>
      <c r="M40" s="533"/>
      <c r="N40" s="533"/>
      <c r="O40" s="533"/>
      <c r="P40" s="533"/>
      <c r="Q40" s="533"/>
      <c r="R40" s="533"/>
      <c r="S40" s="533"/>
      <c r="T40" s="533"/>
      <c r="U40" s="533"/>
      <c r="V40" s="533"/>
      <c r="W40" s="533"/>
    </row>
    <row r="41" spans="1:23" s="531" customFormat="1" ht="19.5" customHeight="1">
      <c r="A41" s="532"/>
      <c r="B41" s="533"/>
      <c r="C41" s="533"/>
      <c r="D41" s="533"/>
      <c r="E41" s="533"/>
      <c r="F41" s="533"/>
      <c r="G41" s="533"/>
      <c r="H41" s="533"/>
      <c r="I41" s="533"/>
      <c r="J41" s="533"/>
      <c r="K41" s="533"/>
      <c r="L41" s="533"/>
      <c r="M41" s="533"/>
      <c r="N41" s="533"/>
      <c r="O41" s="533"/>
      <c r="P41" s="533"/>
      <c r="Q41" s="533"/>
      <c r="R41" s="533"/>
      <c r="S41" s="533"/>
      <c r="T41" s="533"/>
      <c r="U41" s="533"/>
      <c r="V41" s="533"/>
      <c r="W41" s="533"/>
    </row>
    <row r="42" spans="1:23" s="531" customFormat="1" ht="19.5" customHeight="1">
      <c r="A42" s="532"/>
      <c r="B42" s="533"/>
      <c r="C42" s="533"/>
      <c r="D42" s="533"/>
      <c r="E42" s="533"/>
      <c r="F42" s="533"/>
      <c r="G42" s="533"/>
      <c r="H42" s="533"/>
      <c r="I42" s="533"/>
      <c r="J42" s="533"/>
      <c r="K42" s="533"/>
      <c r="L42" s="533"/>
      <c r="M42" s="533"/>
      <c r="N42" s="533"/>
      <c r="O42" s="533"/>
      <c r="P42" s="533"/>
      <c r="Q42" s="533"/>
      <c r="R42" s="533"/>
      <c r="S42" s="533"/>
      <c r="T42" s="533"/>
      <c r="U42" s="533"/>
      <c r="V42" s="533"/>
      <c r="W42" s="533"/>
    </row>
    <row r="43" spans="1:23" s="531" customFormat="1" ht="19.5" customHeight="1">
      <c r="A43" s="532"/>
      <c r="B43" s="533"/>
      <c r="C43" s="533"/>
      <c r="D43" s="533"/>
      <c r="E43" s="533"/>
      <c r="F43" s="533"/>
      <c r="G43" s="533"/>
      <c r="H43" s="533"/>
      <c r="I43" s="533"/>
      <c r="J43" s="533"/>
      <c r="K43" s="533"/>
      <c r="L43" s="533"/>
      <c r="M43" s="533"/>
      <c r="N43" s="533"/>
      <c r="O43" s="533"/>
      <c r="P43" s="533"/>
      <c r="Q43" s="533"/>
      <c r="R43" s="533"/>
      <c r="S43" s="533"/>
      <c r="T43" s="533"/>
      <c r="U43" s="533"/>
      <c r="V43" s="533"/>
      <c r="W43" s="533"/>
    </row>
    <row r="44" spans="1:23" s="531" customFormat="1" ht="19.5" customHeight="1">
      <c r="A44" s="532"/>
      <c r="B44" s="533"/>
      <c r="C44" s="533"/>
      <c r="D44" s="533"/>
      <c r="E44" s="533"/>
      <c r="F44" s="533"/>
      <c r="G44" s="533"/>
      <c r="H44" s="533"/>
      <c r="I44" s="533"/>
      <c r="J44" s="533"/>
      <c r="K44" s="533"/>
      <c r="L44" s="533"/>
      <c r="M44" s="533"/>
      <c r="N44" s="533"/>
      <c r="O44" s="533"/>
      <c r="P44" s="533"/>
      <c r="Q44" s="533"/>
      <c r="R44" s="533"/>
      <c r="S44" s="533"/>
      <c r="T44" s="533"/>
      <c r="U44" s="533"/>
      <c r="V44" s="533"/>
      <c r="W44" s="533"/>
    </row>
    <row r="45" spans="1:23" s="531" customFormat="1" ht="19.5" customHeight="1">
      <c r="A45" s="532"/>
      <c r="B45" s="533"/>
      <c r="C45" s="533"/>
      <c r="D45" s="533"/>
      <c r="E45" s="533"/>
      <c r="F45" s="533"/>
      <c r="G45" s="533"/>
      <c r="H45" s="533"/>
      <c r="I45" s="533"/>
      <c r="J45" s="533"/>
      <c r="K45" s="533"/>
      <c r="L45" s="533"/>
      <c r="M45" s="533"/>
      <c r="N45" s="533"/>
      <c r="O45" s="533"/>
      <c r="P45" s="533"/>
      <c r="Q45" s="533"/>
      <c r="R45" s="533"/>
      <c r="S45" s="533"/>
      <c r="T45" s="533"/>
      <c r="U45" s="533"/>
      <c r="V45" s="533"/>
      <c r="W45" s="533"/>
    </row>
    <row r="46" spans="1:23" s="531" customFormat="1" ht="19.5" customHeight="1">
      <c r="A46" s="532"/>
      <c r="B46" s="533"/>
      <c r="C46" s="533"/>
      <c r="D46" s="533"/>
      <c r="E46" s="533"/>
      <c r="F46" s="533"/>
      <c r="G46" s="533"/>
      <c r="H46" s="533"/>
      <c r="I46" s="533"/>
      <c r="J46" s="533"/>
      <c r="K46" s="533"/>
      <c r="L46" s="533"/>
      <c r="M46" s="533"/>
      <c r="N46" s="533"/>
      <c r="O46" s="533"/>
      <c r="P46" s="533"/>
      <c r="Q46" s="533"/>
      <c r="R46" s="533"/>
      <c r="S46" s="533"/>
      <c r="T46" s="533"/>
      <c r="U46" s="533"/>
      <c r="V46" s="533"/>
      <c r="W46" s="533"/>
    </row>
    <row r="47" spans="1:23" s="531" customFormat="1" ht="19.5" customHeight="1">
      <c r="A47" s="532"/>
      <c r="B47" s="533"/>
      <c r="C47" s="533"/>
      <c r="D47" s="533"/>
      <c r="E47" s="533"/>
      <c r="F47" s="533"/>
      <c r="G47" s="533"/>
      <c r="H47" s="533"/>
      <c r="I47" s="533"/>
      <c r="J47" s="533"/>
      <c r="K47" s="533"/>
      <c r="L47" s="533"/>
      <c r="M47" s="533"/>
      <c r="N47" s="533"/>
      <c r="O47" s="533"/>
      <c r="P47" s="533"/>
      <c r="Q47" s="533"/>
      <c r="R47" s="533"/>
      <c r="S47" s="533"/>
      <c r="T47" s="533"/>
      <c r="U47" s="533"/>
      <c r="V47" s="533"/>
      <c r="W47" s="533"/>
    </row>
    <row r="48" spans="1:23" s="531" customFormat="1" ht="19.5" customHeight="1">
      <c r="A48" s="532"/>
      <c r="B48" s="533"/>
      <c r="C48" s="533"/>
      <c r="D48" s="533"/>
      <c r="E48" s="533"/>
      <c r="F48" s="533"/>
      <c r="G48" s="533"/>
      <c r="H48" s="533"/>
      <c r="I48" s="533"/>
      <c r="J48" s="533"/>
      <c r="K48" s="533"/>
      <c r="L48" s="533"/>
      <c r="M48" s="533"/>
      <c r="N48" s="533"/>
      <c r="O48" s="533"/>
      <c r="P48" s="533"/>
      <c r="Q48" s="533"/>
      <c r="R48" s="533"/>
      <c r="S48" s="533"/>
      <c r="T48" s="533"/>
      <c r="U48" s="533"/>
      <c r="V48" s="533"/>
      <c r="W48" s="533"/>
    </row>
    <row r="49" spans="1:23" s="531" customFormat="1" ht="19.5" customHeight="1">
      <c r="A49" s="532"/>
      <c r="B49" s="533"/>
      <c r="C49" s="533"/>
      <c r="D49" s="533"/>
      <c r="E49" s="533"/>
      <c r="F49" s="533"/>
      <c r="G49" s="533"/>
      <c r="H49" s="533"/>
      <c r="I49" s="533"/>
      <c r="J49" s="533"/>
      <c r="K49" s="533"/>
      <c r="L49" s="533"/>
      <c r="M49" s="533"/>
      <c r="N49" s="533"/>
      <c r="O49" s="533"/>
      <c r="P49" s="533"/>
      <c r="Q49" s="533"/>
      <c r="R49" s="533"/>
      <c r="S49" s="533"/>
      <c r="T49" s="533"/>
      <c r="U49" s="533"/>
      <c r="V49" s="533"/>
      <c r="W49" s="533"/>
    </row>
    <row r="50" spans="1:23" s="531" customFormat="1" ht="19.5" customHeight="1">
      <c r="A50" s="532"/>
      <c r="B50" s="533"/>
      <c r="C50" s="533"/>
      <c r="D50" s="533"/>
      <c r="E50" s="533"/>
      <c r="F50" s="533"/>
      <c r="G50" s="533"/>
      <c r="H50" s="533"/>
      <c r="I50" s="533"/>
      <c r="J50" s="533"/>
      <c r="K50" s="533"/>
      <c r="L50" s="533"/>
      <c r="M50" s="533"/>
      <c r="N50" s="533"/>
      <c r="O50" s="533"/>
      <c r="P50" s="533"/>
      <c r="Q50" s="533"/>
      <c r="R50" s="533"/>
      <c r="S50" s="533"/>
      <c r="T50" s="533"/>
      <c r="U50" s="533"/>
      <c r="V50" s="533"/>
      <c r="W50" s="533"/>
    </row>
    <row r="51" spans="1:23" s="531" customFormat="1" ht="19.5" customHeight="1">
      <c r="A51" s="532"/>
      <c r="B51" s="533"/>
      <c r="C51" s="533"/>
      <c r="D51" s="533"/>
      <c r="E51" s="533"/>
      <c r="F51" s="533"/>
      <c r="G51" s="533"/>
      <c r="H51" s="533"/>
      <c r="I51" s="533"/>
      <c r="J51" s="533"/>
      <c r="K51" s="533"/>
      <c r="L51" s="533"/>
      <c r="M51" s="533"/>
      <c r="N51" s="533"/>
      <c r="O51" s="533"/>
      <c r="P51" s="533"/>
      <c r="Q51" s="533"/>
      <c r="R51" s="533"/>
      <c r="S51" s="533"/>
      <c r="T51" s="533"/>
      <c r="U51" s="533"/>
      <c r="V51" s="533"/>
      <c r="W51" s="533"/>
    </row>
    <row r="52" spans="1:23" s="531" customFormat="1" ht="19.5" customHeight="1">
      <c r="A52" s="532"/>
      <c r="B52" s="533"/>
      <c r="C52" s="533"/>
      <c r="D52" s="533"/>
      <c r="E52" s="533"/>
      <c r="F52" s="533"/>
      <c r="G52" s="533"/>
      <c r="H52" s="533"/>
      <c r="I52" s="533"/>
      <c r="J52" s="533"/>
      <c r="K52" s="533"/>
      <c r="L52" s="533"/>
      <c r="M52" s="533"/>
      <c r="N52" s="533"/>
      <c r="O52" s="533"/>
      <c r="P52" s="533"/>
      <c r="Q52" s="533"/>
      <c r="R52" s="533"/>
      <c r="S52" s="533"/>
      <c r="T52" s="533"/>
      <c r="U52" s="533"/>
      <c r="V52" s="533"/>
      <c r="W52" s="533"/>
    </row>
    <row r="53" spans="1:23" s="531" customFormat="1" ht="19.5" customHeight="1">
      <c r="A53" s="532"/>
      <c r="B53" s="533"/>
      <c r="C53" s="533"/>
      <c r="D53" s="533"/>
      <c r="E53" s="533"/>
      <c r="F53" s="533"/>
      <c r="G53" s="533"/>
      <c r="H53" s="533"/>
      <c r="I53" s="533"/>
      <c r="J53" s="533"/>
      <c r="K53" s="533"/>
      <c r="L53" s="533"/>
      <c r="M53" s="533"/>
      <c r="N53" s="533"/>
      <c r="O53" s="533"/>
      <c r="P53" s="533"/>
      <c r="Q53" s="533"/>
      <c r="R53" s="533"/>
      <c r="S53" s="533"/>
      <c r="T53" s="533"/>
      <c r="U53" s="533"/>
      <c r="V53" s="533"/>
      <c r="W53" s="533"/>
    </row>
    <row r="54" spans="1:23" s="531" customFormat="1" ht="19.5" customHeight="1">
      <c r="A54" s="532"/>
      <c r="B54" s="533"/>
      <c r="C54" s="533"/>
      <c r="D54" s="533"/>
      <c r="E54" s="533"/>
      <c r="F54" s="533"/>
      <c r="G54" s="533"/>
      <c r="H54" s="533"/>
      <c r="I54" s="533"/>
      <c r="J54" s="533"/>
      <c r="K54" s="533"/>
      <c r="L54" s="533"/>
      <c r="M54" s="533"/>
      <c r="N54" s="533"/>
      <c r="O54" s="533"/>
      <c r="P54" s="533"/>
      <c r="Q54" s="533"/>
      <c r="R54" s="533"/>
      <c r="S54" s="533"/>
      <c r="T54" s="533"/>
      <c r="U54" s="533"/>
      <c r="V54" s="533"/>
      <c r="W54" s="533"/>
    </row>
    <row r="55" spans="1:23" s="531" customFormat="1" ht="19.5" customHeight="1">
      <c r="A55" s="532"/>
      <c r="B55" s="533"/>
      <c r="C55" s="533"/>
      <c r="D55" s="533"/>
      <c r="E55" s="533"/>
      <c r="F55" s="533"/>
      <c r="G55" s="533"/>
      <c r="H55" s="533"/>
      <c r="I55" s="533"/>
      <c r="J55" s="533"/>
      <c r="K55" s="533"/>
      <c r="L55" s="533"/>
      <c r="M55" s="533"/>
      <c r="N55" s="533"/>
      <c r="O55" s="533"/>
      <c r="P55" s="533"/>
      <c r="Q55" s="533"/>
      <c r="R55" s="533"/>
      <c r="S55" s="533"/>
      <c r="T55" s="533"/>
      <c r="U55" s="533"/>
      <c r="V55" s="533"/>
      <c r="W55" s="533"/>
    </row>
    <row r="56" spans="1:23" s="531" customFormat="1" ht="19.5" customHeight="1">
      <c r="A56" s="532"/>
      <c r="B56" s="533"/>
      <c r="C56" s="533"/>
      <c r="D56" s="533"/>
      <c r="E56" s="533"/>
      <c r="F56" s="533"/>
      <c r="G56" s="533"/>
      <c r="H56" s="533"/>
      <c r="I56" s="533"/>
      <c r="J56" s="533"/>
      <c r="K56" s="533"/>
      <c r="L56" s="533"/>
      <c r="M56" s="533"/>
      <c r="N56" s="533"/>
      <c r="O56" s="533"/>
      <c r="P56" s="533"/>
      <c r="Q56" s="533"/>
      <c r="R56" s="533"/>
      <c r="S56" s="533"/>
      <c r="T56" s="533"/>
      <c r="U56" s="533"/>
      <c r="V56" s="533"/>
      <c r="W56" s="533"/>
    </row>
    <row r="57" spans="1:23" s="531" customFormat="1" ht="19.5" customHeight="1">
      <c r="A57" s="532"/>
      <c r="B57" s="533"/>
      <c r="C57" s="533"/>
      <c r="D57" s="533"/>
      <c r="E57" s="533"/>
      <c r="F57" s="533"/>
      <c r="G57" s="533"/>
      <c r="H57" s="533"/>
      <c r="I57" s="533"/>
      <c r="J57" s="533"/>
      <c r="K57" s="533"/>
      <c r="L57" s="533"/>
      <c r="M57" s="533"/>
      <c r="N57" s="533"/>
      <c r="O57" s="533"/>
      <c r="P57" s="533"/>
      <c r="Q57" s="533"/>
      <c r="R57" s="533"/>
      <c r="S57" s="533"/>
      <c r="T57" s="533"/>
      <c r="U57" s="533"/>
      <c r="V57" s="533"/>
      <c r="W57" s="533"/>
    </row>
    <row r="58" spans="1:23" s="531" customFormat="1" ht="19.5" customHeight="1">
      <c r="A58" s="532"/>
      <c r="B58" s="533"/>
      <c r="C58" s="533"/>
      <c r="D58" s="533"/>
      <c r="E58" s="533"/>
      <c r="F58" s="533"/>
      <c r="G58" s="533"/>
      <c r="H58" s="533"/>
      <c r="I58" s="533"/>
      <c r="J58" s="533"/>
      <c r="K58" s="533"/>
      <c r="L58" s="533"/>
      <c r="M58" s="533"/>
      <c r="N58" s="533"/>
      <c r="O58" s="533"/>
      <c r="P58" s="533"/>
      <c r="Q58" s="533"/>
      <c r="R58" s="533"/>
      <c r="S58" s="533"/>
      <c r="T58" s="533"/>
      <c r="U58" s="533"/>
      <c r="V58" s="533"/>
      <c r="W58" s="533"/>
    </row>
    <row r="59" spans="1:23" s="531" customFormat="1" ht="19.5" customHeight="1">
      <c r="A59" s="532"/>
      <c r="B59" s="533"/>
      <c r="C59" s="533"/>
      <c r="D59" s="533"/>
      <c r="E59" s="533"/>
      <c r="F59" s="533"/>
      <c r="G59" s="533"/>
      <c r="H59" s="533"/>
      <c r="I59" s="533"/>
      <c r="J59" s="533"/>
      <c r="K59" s="533"/>
      <c r="L59" s="533"/>
      <c r="M59" s="533"/>
      <c r="N59" s="533"/>
      <c r="O59" s="533"/>
      <c r="P59" s="533"/>
      <c r="Q59" s="533"/>
      <c r="R59" s="533"/>
      <c r="S59" s="533"/>
      <c r="T59" s="533"/>
      <c r="U59" s="533"/>
      <c r="V59" s="533"/>
      <c r="W59" s="533"/>
    </row>
    <row r="60" spans="1:23" s="531" customFormat="1" ht="19.5" customHeight="1">
      <c r="A60" s="532"/>
      <c r="B60" s="533"/>
      <c r="C60" s="533"/>
      <c r="D60" s="533"/>
      <c r="E60" s="533"/>
      <c r="F60" s="533"/>
      <c r="G60" s="533"/>
      <c r="H60" s="533"/>
      <c r="I60" s="533"/>
      <c r="J60" s="533"/>
      <c r="K60" s="533"/>
      <c r="L60" s="533"/>
      <c r="M60" s="533"/>
      <c r="N60" s="533"/>
      <c r="O60" s="533"/>
      <c r="P60" s="533"/>
      <c r="Q60" s="533"/>
      <c r="R60" s="533"/>
      <c r="S60" s="533"/>
      <c r="T60" s="533"/>
      <c r="U60" s="533"/>
      <c r="V60" s="533"/>
      <c r="W60" s="533"/>
    </row>
    <row r="61" spans="1:23" s="531" customFormat="1" ht="19.5" customHeight="1">
      <c r="A61" s="532"/>
      <c r="B61" s="533"/>
      <c r="C61" s="533"/>
      <c r="D61" s="533"/>
      <c r="E61" s="533"/>
      <c r="F61" s="533"/>
      <c r="G61" s="533"/>
      <c r="H61" s="533"/>
      <c r="I61" s="533"/>
      <c r="J61" s="533"/>
      <c r="K61" s="533"/>
      <c r="L61" s="533"/>
      <c r="M61" s="533"/>
      <c r="N61" s="533"/>
      <c r="O61" s="533"/>
      <c r="P61" s="533"/>
      <c r="Q61" s="533"/>
      <c r="R61" s="533"/>
      <c r="S61" s="533"/>
      <c r="T61" s="533"/>
      <c r="U61" s="533"/>
      <c r="V61" s="533"/>
      <c r="W61" s="533"/>
    </row>
    <row r="62" spans="1:23" s="531" customFormat="1" ht="19.5" customHeight="1">
      <c r="A62" s="532"/>
      <c r="B62" s="533"/>
      <c r="C62" s="533"/>
      <c r="D62" s="533"/>
      <c r="E62" s="533"/>
      <c r="F62" s="533"/>
      <c r="G62" s="533"/>
      <c r="H62" s="533"/>
      <c r="I62" s="533"/>
      <c r="J62" s="533"/>
      <c r="K62" s="533"/>
      <c r="L62" s="533"/>
      <c r="M62" s="533"/>
      <c r="N62" s="533"/>
      <c r="O62" s="533"/>
      <c r="P62" s="533"/>
      <c r="Q62" s="533"/>
      <c r="R62" s="533"/>
      <c r="S62" s="533"/>
      <c r="T62" s="533"/>
      <c r="U62" s="533"/>
      <c r="V62" s="533"/>
      <c r="W62" s="533"/>
    </row>
    <row r="63" spans="1:23" s="531" customFormat="1" ht="19.5" customHeight="1">
      <c r="A63" s="532"/>
      <c r="B63" s="533"/>
      <c r="C63" s="533"/>
      <c r="D63" s="533"/>
      <c r="E63" s="533"/>
      <c r="F63" s="533"/>
      <c r="G63" s="533"/>
      <c r="H63" s="533"/>
      <c r="I63" s="533"/>
      <c r="J63" s="533"/>
      <c r="K63" s="533"/>
      <c r="L63" s="533"/>
      <c r="M63" s="533"/>
      <c r="N63" s="533"/>
      <c r="O63" s="533"/>
      <c r="P63" s="533"/>
      <c r="Q63" s="533"/>
      <c r="R63" s="533"/>
      <c r="S63" s="533"/>
      <c r="T63" s="533"/>
      <c r="U63" s="533"/>
      <c r="V63" s="533"/>
      <c r="W63" s="533"/>
    </row>
    <row r="64" spans="1:23" s="531" customFormat="1" ht="19.5" customHeight="1">
      <c r="A64" s="532"/>
      <c r="B64" s="533"/>
      <c r="C64" s="533"/>
      <c r="D64" s="533"/>
      <c r="E64" s="533"/>
      <c r="F64" s="533"/>
      <c r="G64" s="533"/>
      <c r="H64" s="533"/>
      <c r="I64" s="533"/>
      <c r="J64" s="533"/>
      <c r="K64" s="533"/>
      <c r="L64" s="533"/>
      <c r="M64" s="533"/>
      <c r="N64" s="533"/>
      <c r="O64" s="533"/>
      <c r="P64" s="533"/>
      <c r="Q64" s="533"/>
      <c r="R64" s="533"/>
      <c r="S64" s="533"/>
      <c r="T64" s="533"/>
      <c r="U64" s="533"/>
      <c r="V64" s="533"/>
      <c r="W64" s="533"/>
    </row>
    <row r="65" spans="1:23" s="531" customFormat="1" ht="19.5" customHeight="1">
      <c r="A65" s="532"/>
      <c r="B65" s="533"/>
      <c r="C65" s="533"/>
      <c r="D65" s="533"/>
      <c r="E65" s="533"/>
      <c r="F65" s="533"/>
      <c r="G65" s="533"/>
      <c r="H65" s="533"/>
      <c r="I65" s="533"/>
      <c r="J65" s="533"/>
      <c r="K65" s="533"/>
      <c r="L65" s="533"/>
      <c r="M65" s="533"/>
      <c r="N65" s="533"/>
      <c r="O65" s="533"/>
      <c r="P65" s="533"/>
      <c r="Q65" s="533"/>
      <c r="R65" s="533"/>
      <c r="S65" s="533"/>
      <c r="T65" s="533"/>
      <c r="U65" s="533"/>
      <c r="V65" s="533"/>
      <c r="W65" s="533"/>
    </row>
    <row r="66" spans="1:23" s="531" customFormat="1" ht="19.5" customHeight="1">
      <c r="A66" s="532"/>
      <c r="B66" s="533"/>
      <c r="C66" s="533"/>
      <c r="D66" s="533"/>
      <c r="E66" s="533"/>
      <c r="F66" s="533"/>
      <c r="G66" s="533"/>
      <c r="H66" s="533"/>
      <c r="I66" s="533"/>
      <c r="J66" s="533"/>
      <c r="K66" s="533"/>
      <c r="L66" s="533"/>
      <c r="M66" s="533"/>
      <c r="N66" s="533"/>
      <c r="O66" s="533"/>
      <c r="P66" s="533"/>
      <c r="Q66" s="533"/>
      <c r="R66" s="533"/>
      <c r="S66" s="533"/>
      <c r="T66" s="533"/>
      <c r="U66" s="533"/>
      <c r="V66" s="533"/>
      <c r="W66" s="533"/>
    </row>
    <row r="67" spans="1:23" s="531" customFormat="1" ht="19.5" customHeight="1">
      <c r="A67" s="532"/>
      <c r="B67" s="533"/>
      <c r="C67" s="533"/>
      <c r="D67" s="533"/>
      <c r="E67" s="533"/>
      <c r="F67" s="533"/>
      <c r="G67" s="533"/>
      <c r="H67" s="533"/>
      <c r="I67" s="533"/>
      <c r="J67" s="533"/>
      <c r="K67" s="533"/>
      <c r="L67" s="533"/>
      <c r="M67" s="533"/>
      <c r="N67" s="533"/>
      <c r="O67" s="533"/>
      <c r="P67" s="533"/>
      <c r="Q67" s="533"/>
      <c r="R67" s="533"/>
      <c r="S67" s="533"/>
      <c r="T67" s="533"/>
      <c r="U67" s="533"/>
      <c r="V67" s="533"/>
      <c r="W67" s="533"/>
    </row>
    <row r="68" spans="1:23" s="531" customFormat="1" ht="19.5" customHeight="1">
      <c r="A68" s="532"/>
      <c r="B68" s="533"/>
      <c r="C68" s="533"/>
      <c r="D68" s="533"/>
      <c r="E68" s="533"/>
      <c r="F68" s="533"/>
      <c r="G68" s="533"/>
      <c r="H68" s="533"/>
      <c r="I68" s="533"/>
      <c r="J68" s="533"/>
      <c r="K68" s="533"/>
      <c r="L68" s="533"/>
      <c r="M68" s="533"/>
      <c r="N68" s="533"/>
      <c r="O68" s="533"/>
      <c r="P68" s="533"/>
      <c r="Q68" s="533"/>
      <c r="R68" s="533"/>
      <c r="S68" s="533"/>
      <c r="T68" s="533"/>
      <c r="U68" s="533"/>
      <c r="V68" s="533"/>
      <c r="W68" s="533"/>
    </row>
    <row r="69" spans="1:23" s="531" customFormat="1" ht="19.5" customHeight="1">
      <c r="A69" s="532"/>
      <c r="B69" s="533"/>
      <c r="C69" s="533"/>
      <c r="D69" s="533"/>
      <c r="E69" s="533"/>
      <c r="F69" s="533"/>
      <c r="G69" s="533"/>
      <c r="H69" s="533"/>
      <c r="I69" s="533"/>
      <c r="J69" s="533"/>
      <c r="K69" s="533"/>
      <c r="L69" s="533"/>
      <c r="M69" s="533"/>
      <c r="N69" s="533"/>
      <c r="O69" s="533"/>
      <c r="P69" s="533"/>
      <c r="Q69" s="533"/>
      <c r="R69" s="533"/>
      <c r="S69" s="533"/>
      <c r="T69" s="533"/>
      <c r="U69" s="533"/>
      <c r="V69" s="533"/>
      <c r="W69" s="533"/>
    </row>
    <row r="70" spans="1:23" s="531" customFormat="1" ht="19.5" customHeight="1">
      <c r="A70" s="532"/>
      <c r="B70" s="533"/>
      <c r="C70" s="533"/>
      <c r="D70" s="533"/>
      <c r="E70" s="533"/>
      <c r="F70" s="533"/>
      <c r="G70" s="533"/>
      <c r="H70" s="533"/>
      <c r="I70" s="533"/>
      <c r="J70" s="533"/>
      <c r="K70" s="533"/>
      <c r="L70" s="533"/>
      <c r="M70" s="533"/>
      <c r="N70" s="533"/>
      <c r="O70" s="533"/>
      <c r="P70" s="533"/>
      <c r="Q70" s="533"/>
      <c r="R70" s="533"/>
      <c r="S70" s="533"/>
      <c r="T70" s="533"/>
      <c r="U70" s="533"/>
      <c r="V70" s="533"/>
      <c r="W70" s="533"/>
    </row>
    <row r="71" spans="1:23" s="531" customFormat="1" ht="19.5" customHeight="1">
      <c r="A71" s="532"/>
      <c r="B71" s="533"/>
      <c r="C71" s="533"/>
      <c r="D71" s="533"/>
      <c r="E71" s="533"/>
      <c r="F71" s="533"/>
      <c r="G71" s="533"/>
      <c r="H71" s="533"/>
      <c r="I71" s="533"/>
      <c r="J71" s="533"/>
      <c r="K71" s="533"/>
      <c r="L71" s="533"/>
      <c r="M71" s="533"/>
      <c r="N71" s="533"/>
      <c r="O71" s="533"/>
      <c r="P71" s="533"/>
      <c r="Q71" s="533"/>
      <c r="R71" s="533"/>
      <c r="S71" s="533"/>
      <c r="T71" s="533"/>
      <c r="U71" s="533"/>
      <c r="V71" s="533"/>
      <c r="W71" s="533"/>
    </row>
    <row r="72" spans="1:23" s="531" customFormat="1" ht="19.5" customHeight="1">
      <c r="A72" s="532"/>
      <c r="B72" s="533"/>
      <c r="C72" s="533"/>
      <c r="D72" s="533"/>
      <c r="E72" s="533"/>
      <c r="F72" s="533"/>
      <c r="G72" s="533"/>
      <c r="H72" s="533"/>
      <c r="I72" s="533"/>
      <c r="J72" s="533"/>
      <c r="K72" s="533"/>
      <c r="L72" s="533"/>
      <c r="M72" s="533"/>
      <c r="N72" s="533"/>
      <c r="O72" s="533"/>
      <c r="P72" s="533"/>
      <c r="Q72" s="533"/>
      <c r="R72" s="533"/>
      <c r="S72" s="533"/>
      <c r="T72" s="533"/>
      <c r="U72" s="533"/>
      <c r="V72" s="533"/>
      <c r="W72" s="533"/>
    </row>
    <row r="73" ht="19.5" customHeight="1"/>
    <row r="74" ht="9.75" customHeight="1"/>
    <row r="75" ht="19.5" customHeight="1"/>
    <row r="76" ht="19.5" customHeight="1"/>
    <row r="77" ht="19.5" customHeight="1"/>
    <row r="78" spans="1:23" s="531" customFormat="1" ht="19.5" customHeight="1">
      <c r="A78" s="532"/>
      <c r="B78" s="533"/>
      <c r="C78" s="533"/>
      <c r="D78" s="533"/>
      <c r="E78" s="533"/>
      <c r="F78" s="533"/>
      <c r="G78" s="533"/>
      <c r="H78" s="533"/>
      <c r="I78" s="533"/>
      <c r="J78" s="533"/>
      <c r="K78" s="533"/>
      <c r="L78" s="533"/>
      <c r="M78" s="533"/>
      <c r="N78" s="533"/>
      <c r="O78" s="533"/>
      <c r="P78" s="533"/>
      <c r="Q78" s="533"/>
      <c r="R78" s="533"/>
      <c r="S78" s="533"/>
      <c r="T78" s="533"/>
      <c r="U78" s="533"/>
      <c r="V78" s="533"/>
      <c r="W78" s="533"/>
    </row>
    <row r="79" spans="1:23" s="531" customFormat="1" ht="19.5" customHeight="1">
      <c r="A79" s="532"/>
      <c r="B79" s="533"/>
      <c r="C79" s="533"/>
      <c r="D79" s="533"/>
      <c r="E79" s="533"/>
      <c r="F79" s="533"/>
      <c r="G79" s="533"/>
      <c r="H79" s="533"/>
      <c r="I79" s="533"/>
      <c r="J79" s="533"/>
      <c r="K79" s="533"/>
      <c r="L79" s="533"/>
      <c r="M79" s="533"/>
      <c r="N79" s="533"/>
      <c r="O79" s="533"/>
      <c r="P79" s="533"/>
      <c r="Q79" s="533"/>
      <c r="R79" s="533"/>
      <c r="S79" s="533"/>
      <c r="T79" s="533"/>
      <c r="U79" s="533"/>
      <c r="V79" s="533"/>
      <c r="W79" s="533"/>
    </row>
    <row r="80" spans="1:23" s="531" customFormat="1" ht="19.5" customHeight="1">
      <c r="A80" s="532"/>
      <c r="B80" s="533"/>
      <c r="C80" s="533"/>
      <c r="D80" s="533"/>
      <c r="E80" s="533"/>
      <c r="F80" s="533"/>
      <c r="G80" s="533"/>
      <c r="H80" s="533"/>
      <c r="I80" s="533"/>
      <c r="J80" s="533"/>
      <c r="K80" s="533"/>
      <c r="L80" s="533"/>
      <c r="M80" s="533"/>
      <c r="N80" s="533"/>
      <c r="O80" s="533"/>
      <c r="P80" s="533"/>
      <c r="Q80" s="533"/>
      <c r="R80" s="533"/>
      <c r="S80" s="533"/>
      <c r="T80" s="533"/>
      <c r="U80" s="533"/>
      <c r="V80" s="533"/>
      <c r="W80" s="533"/>
    </row>
    <row r="81" spans="1:23" s="531" customFormat="1" ht="19.5" customHeight="1">
      <c r="A81" s="532"/>
      <c r="B81" s="533"/>
      <c r="C81" s="533"/>
      <c r="D81" s="533"/>
      <c r="E81" s="533"/>
      <c r="F81" s="533"/>
      <c r="G81" s="533"/>
      <c r="H81" s="533"/>
      <c r="I81" s="533"/>
      <c r="J81" s="533"/>
      <c r="K81" s="533"/>
      <c r="L81" s="533"/>
      <c r="M81" s="533"/>
      <c r="N81" s="533"/>
      <c r="O81" s="533"/>
      <c r="P81" s="533"/>
      <c r="Q81" s="533"/>
      <c r="R81" s="533"/>
      <c r="S81" s="533"/>
      <c r="T81" s="533"/>
      <c r="U81" s="533"/>
      <c r="V81" s="533"/>
      <c r="W81" s="533"/>
    </row>
    <row r="82" spans="1:23" s="531" customFormat="1" ht="19.5" customHeight="1">
      <c r="A82" s="532"/>
      <c r="B82" s="533"/>
      <c r="C82" s="533"/>
      <c r="D82" s="533"/>
      <c r="E82" s="533"/>
      <c r="F82" s="533"/>
      <c r="G82" s="533"/>
      <c r="H82" s="533"/>
      <c r="I82" s="533"/>
      <c r="J82" s="533"/>
      <c r="K82" s="533"/>
      <c r="L82" s="533"/>
      <c r="M82" s="533"/>
      <c r="N82" s="533"/>
      <c r="O82" s="533"/>
      <c r="P82" s="533"/>
      <c r="Q82" s="533"/>
      <c r="R82" s="533"/>
      <c r="S82" s="533"/>
      <c r="T82" s="533"/>
      <c r="U82" s="533"/>
      <c r="V82" s="533"/>
      <c r="W82" s="533"/>
    </row>
    <row r="83" spans="1:23" s="531" customFormat="1" ht="19.5" customHeight="1">
      <c r="A83" s="532"/>
      <c r="B83" s="533"/>
      <c r="C83" s="533"/>
      <c r="D83" s="533"/>
      <c r="E83" s="533"/>
      <c r="F83" s="533"/>
      <c r="G83" s="533"/>
      <c r="H83" s="533"/>
      <c r="I83" s="533"/>
      <c r="J83" s="533"/>
      <c r="K83" s="533"/>
      <c r="L83" s="533"/>
      <c r="M83" s="533"/>
      <c r="N83" s="533"/>
      <c r="O83" s="533"/>
      <c r="P83" s="533"/>
      <c r="Q83" s="533"/>
      <c r="R83" s="533"/>
      <c r="S83" s="533"/>
      <c r="T83" s="533"/>
      <c r="U83" s="533"/>
      <c r="V83" s="533"/>
      <c r="W83" s="533"/>
    </row>
    <row r="84" spans="1:23" s="531" customFormat="1" ht="19.5" customHeight="1">
      <c r="A84" s="532"/>
      <c r="B84" s="533"/>
      <c r="C84" s="533"/>
      <c r="D84" s="533"/>
      <c r="E84" s="533"/>
      <c r="F84" s="533"/>
      <c r="G84" s="533"/>
      <c r="H84" s="533"/>
      <c r="I84" s="533"/>
      <c r="J84" s="533"/>
      <c r="K84" s="533"/>
      <c r="L84" s="533"/>
      <c r="M84" s="533"/>
      <c r="N84" s="533"/>
      <c r="O84" s="533"/>
      <c r="P84" s="533"/>
      <c r="Q84" s="533"/>
      <c r="R84" s="533"/>
      <c r="S84" s="533"/>
      <c r="T84" s="533"/>
      <c r="U84" s="533"/>
      <c r="V84" s="533"/>
      <c r="W84" s="533"/>
    </row>
    <row r="85" spans="1:23" s="531" customFormat="1" ht="19.5" customHeight="1">
      <c r="A85" s="532"/>
      <c r="B85" s="533"/>
      <c r="C85" s="533"/>
      <c r="D85" s="533"/>
      <c r="E85" s="533"/>
      <c r="F85" s="533"/>
      <c r="G85" s="533"/>
      <c r="H85" s="533"/>
      <c r="I85" s="533"/>
      <c r="J85" s="533"/>
      <c r="K85" s="533"/>
      <c r="L85" s="533"/>
      <c r="M85" s="533"/>
      <c r="N85" s="533"/>
      <c r="O85" s="533"/>
      <c r="P85" s="533"/>
      <c r="Q85" s="533"/>
      <c r="R85" s="533"/>
      <c r="S85" s="533"/>
      <c r="T85" s="533"/>
      <c r="U85" s="533"/>
      <c r="V85" s="533"/>
      <c r="W85" s="533"/>
    </row>
    <row r="86" spans="1:23" s="531" customFormat="1" ht="19.5" customHeight="1">
      <c r="A86" s="532"/>
      <c r="B86" s="533"/>
      <c r="C86" s="533"/>
      <c r="D86" s="533"/>
      <c r="E86" s="533"/>
      <c r="F86" s="533"/>
      <c r="G86" s="533"/>
      <c r="H86" s="533"/>
      <c r="I86" s="533"/>
      <c r="J86" s="533"/>
      <c r="K86" s="533"/>
      <c r="L86" s="533"/>
      <c r="M86" s="533"/>
      <c r="N86" s="533"/>
      <c r="O86" s="533"/>
      <c r="P86" s="533"/>
      <c r="Q86" s="533"/>
      <c r="R86" s="533"/>
      <c r="S86" s="533"/>
      <c r="T86" s="533"/>
      <c r="U86" s="533"/>
      <c r="V86" s="533"/>
      <c r="W86" s="533"/>
    </row>
    <row r="87" spans="1:23" s="531" customFormat="1" ht="19.5" customHeight="1">
      <c r="A87" s="532"/>
      <c r="B87" s="533"/>
      <c r="C87" s="533"/>
      <c r="D87" s="533"/>
      <c r="E87" s="533"/>
      <c r="F87" s="533"/>
      <c r="G87" s="533"/>
      <c r="H87" s="533"/>
      <c r="I87" s="533"/>
      <c r="J87" s="533"/>
      <c r="K87" s="533"/>
      <c r="L87" s="533"/>
      <c r="M87" s="533"/>
      <c r="N87" s="533"/>
      <c r="O87" s="533"/>
      <c r="P87" s="533"/>
      <c r="Q87" s="533"/>
      <c r="R87" s="533"/>
      <c r="S87" s="533"/>
      <c r="T87" s="533"/>
      <c r="U87" s="533"/>
      <c r="V87" s="533"/>
      <c r="W87" s="533"/>
    </row>
    <row r="88" spans="1:23" s="531" customFormat="1" ht="19.5" customHeight="1">
      <c r="A88" s="532"/>
      <c r="B88" s="533"/>
      <c r="C88" s="533"/>
      <c r="D88" s="533"/>
      <c r="E88" s="533"/>
      <c r="F88" s="533"/>
      <c r="G88" s="533"/>
      <c r="H88" s="533"/>
      <c r="I88" s="533"/>
      <c r="J88" s="533"/>
      <c r="K88" s="533"/>
      <c r="L88" s="533"/>
      <c r="M88" s="533"/>
      <c r="N88" s="533"/>
      <c r="O88" s="533"/>
      <c r="P88" s="533"/>
      <c r="Q88" s="533"/>
      <c r="R88" s="533"/>
      <c r="S88" s="533"/>
      <c r="T88" s="533"/>
      <c r="U88" s="533"/>
      <c r="V88" s="533"/>
      <c r="W88" s="533"/>
    </row>
    <row r="89" spans="1:23" s="531" customFormat="1" ht="19.5" customHeight="1">
      <c r="A89" s="532"/>
      <c r="B89" s="533"/>
      <c r="C89" s="533"/>
      <c r="D89" s="533"/>
      <c r="E89" s="533"/>
      <c r="F89" s="533"/>
      <c r="G89" s="533"/>
      <c r="H89" s="533"/>
      <c r="I89" s="533"/>
      <c r="J89" s="533"/>
      <c r="K89" s="533"/>
      <c r="L89" s="533"/>
      <c r="M89" s="533"/>
      <c r="N89" s="533"/>
      <c r="O89" s="533"/>
      <c r="P89" s="533"/>
      <c r="Q89" s="533"/>
      <c r="R89" s="533"/>
      <c r="S89" s="533"/>
      <c r="T89" s="533"/>
      <c r="U89" s="533"/>
      <c r="V89" s="533"/>
      <c r="W89" s="533"/>
    </row>
    <row r="90" spans="1:23" s="531" customFormat="1" ht="19.5" customHeight="1">
      <c r="A90" s="532"/>
      <c r="B90" s="533"/>
      <c r="C90" s="533"/>
      <c r="D90" s="533"/>
      <c r="E90" s="533"/>
      <c r="F90" s="533"/>
      <c r="G90" s="533"/>
      <c r="H90" s="533"/>
      <c r="I90" s="533"/>
      <c r="J90" s="533"/>
      <c r="K90" s="533"/>
      <c r="L90" s="533"/>
      <c r="M90" s="533"/>
      <c r="N90" s="533"/>
      <c r="O90" s="533"/>
      <c r="P90" s="533"/>
      <c r="Q90" s="533"/>
      <c r="R90" s="533"/>
      <c r="S90" s="533"/>
      <c r="T90" s="533"/>
      <c r="U90" s="533"/>
      <c r="V90" s="533"/>
      <c r="W90" s="533"/>
    </row>
    <row r="91" spans="1:23" s="531" customFormat="1" ht="19.5" customHeight="1">
      <c r="A91" s="532"/>
      <c r="B91" s="533"/>
      <c r="C91" s="533"/>
      <c r="D91" s="533"/>
      <c r="E91" s="533"/>
      <c r="F91" s="533"/>
      <c r="G91" s="533"/>
      <c r="H91" s="533"/>
      <c r="I91" s="533"/>
      <c r="J91" s="533"/>
      <c r="K91" s="533"/>
      <c r="L91" s="533"/>
      <c r="M91" s="533"/>
      <c r="N91" s="533"/>
      <c r="O91" s="533"/>
      <c r="P91" s="533"/>
      <c r="Q91" s="533"/>
      <c r="R91" s="533"/>
      <c r="S91" s="533"/>
      <c r="T91" s="533"/>
      <c r="U91" s="533"/>
      <c r="V91" s="533"/>
      <c r="W91" s="533"/>
    </row>
    <row r="92" spans="1:23" s="531" customFormat="1" ht="19.5" customHeight="1">
      <c r="A92" s="532"/>
      <c r="B92" s="533"/>
      <c r="C92" s="533"/>
      <c r="D92" s="533"/>
      <c r="E92" s="533"/>
      <c r="F92" s="533"/>
      <c r="G92" s="533"/>
      <c r="H92" s="533"/>
      <c r="I92" s="533"/>
      <c r="J92" s="533"/>
      <c r="K92" s="533"/>
      <c r="L92" s="533"/>
      <c r="M92" s="533"/>
      <c r="N92" s="533"/>
      <c r="O92" s="533"/>
      <c r="P92" s="533"/>
      <c r="Q92" s="533"/>
      <c r="R92" s="533"/>
      <c r="S92" s="533"/>
      <c r="T92" s="533"/>
      <c r="U92" s="533"/>
      <c r="V92" s="533"/>
      <c r="W92" s="533"/>
    </row>
    <row r="93" spans="1:23" s="531" customFormat="1" ht="19.5" customHeight="1">
      <c r="A93" s="532"/>
      <c r="B93" s="533"/>
      <c r="C93" s="533"/>
      <c r="D93" s="533"/>
      <c r="E93" s="533"/>
      <c r="F93" s="533"/>
      <c r="G93" s="533"/>
      <c r="H93" s="533"/>
      <c r="I93" s="533"/>
      <c r="J93" s="533"/>
      <c r="K93" s="533"/>
      <c r="L93" s="533"/>
      <c r="M93" s="533"/>
      <c r="N93" s="533"/>
      <c r="O93" s="533"/>
      <c r="P93" s="533"/>
      <c r="Q93" s="533"/>
      <c r="R93" s="533"/>
      <c r="S93" s="533"/>
      <c r="T93" s="533"/>
      <c r="U93" s="533"/>
      <c r="V93" s="533"/>
      <c r="W93" s="533"/>
    </row>
    <row r="94" spans="1:23" s="531" customFormat="1" ht="19.5" customHeight="1">
      <c r="A94" s="532"/>
      <c r="B94" s="533"/>
      <c r="C94" s="533"/>
      <c r="D94" s="533"/>
      <c r="E94" s="533"/>
      <c r="F94" s="533"/>
      <c r="G94" s="533"/>
      <c r="H94" s="533"/>
      <c r="I94" s="533"/>
      <c r="J94" s="533"/>
      <c r="K94" s="533"/>
      <c r="L94" s="533"/>
      <c r="M94" s="533"/>
      <c r="N94" s="533"/>
      <c r="O94" s="533"/>
      <c r="P94" s="533"/>
      <c r="Q94" s="533"/>
      <c r="R94" s="533"/>
      <c r="S94" s="533"/>
      <c r="T94" s="533"/>
      <c r="U94" s="533"/>
      <c r="V94" s="533"/>
      <c r="W94" s="533"/>
    </row>
    <row r="95" spans="1:23" s="531" customFormat="1" ht="19.5" customHeight="1">
      <c r="A95" s="532"/>
      <c r="B95" s="533"/>
      <c r="C95" s="533"/>
      <c r="D95" s="533"/>
      <c r="E95" s="533"/>
      <c r="F95" s="533"/>
      <c r="G95" s="533"/>
      <c r="H95" s="533"/>
      <c r="I95" s="533"/>
      <c r="J95" s="533"/>
      <c r="K95" s="533"/>
      <c r="L95" s="533"/>
      <c r="M95" s="533"/>
      <c r="N95" s="533"/>
      <c r="O95" s="533"/>
      <c r="P95" s="533"/>
      <c r="Q95" s="533"/>
      <c r="R95" s="533"/>
      <c r="S95" s="533"/>
      <c r="T95" s="533"/>
      <c r="U95" s="533"/>
      <c r="V95" s="533"/>
      <c r="W95" s="533"/>
    </row>
    <row r="96" spans="1:23" s="531" customFormat="1" ht="19.5" customHeight="1">
      <c r="A96" s="532"/>
      <c r="B96" s="533"/>
      <c r="C96" s="533"/>
      <c r="D96" s="533"/>
      <c r="E96" s="533"/>
      <c r="F96" s="533"/>
      <c r="G96" s="533"/>
      <c r="H96" s="533"/>
      <c r="I96" s="533"/>
      <c r="J96" s="533"/>
      <c r="K96" s="533"/>
      <c r="L96" s="533"/>
      <c r="M96" s="533"/>
      <c r="N96" s="533"/>
      <c r="O96" s="533"/>
      <c r="P96" s="533"/>
      <c r="Q96" s="533"/>
      <c r="R96" s="533"/>
      <c r="S96" s="533"/>
      <c r="T96" s="533"/>
      <c r="U96" s="533"/>
      <c r="V96" s="533"/>
      <c r="W96" s="533"/>
    </row>
    <row r="97" spans="1:23" s="531" customFormat="1" ht="19.5" customHeight="1">
      <c r="A97" s="532"/>
      <c r="B97" s="533"/>
      <c r="C97" s="533"/>
      <c r="D97" s="533"/>
      <c r="E97" s="533"/>
      <c r="F97" s="533"/>
      <c r="G97" s="533"/>
      <c r="H97" s="533"/>
      <c r="I97" s="533"/>
      <c r="J97" s="533"/>
      <c r="K97" s="533"/>
      <c r="L97" s="533"/>
      <c r="M97" s="533"/>
      <c r="N97" s="533"/>
      <c r="O97" s="533"/>
      <c r="P97" s="533"/>
      <c r="Q97" s="533"/>
      <c r="R97" s="533"/>
      <c r="S97" s="533"/>
      <c r="T97" s="533"/>
      <c r="U97" s="533"/>
      <c r="V97" s="533"/>
      <c r="W97" s="533"/>
    </row>
    <row r="98" spans="1:23" s="531" customFormat="1" ht="19.5" customHeight="1">
      <c r="A98" s="532"/>
      <c r="B98" s="533"/>
      <c r="C98" s="533"/>
      <c r="D98" s="533"/>
      <c r="E98" s="533"/>
      <c r="F98" s="533"/>
      <c r="G98" s="533"/>
      <c r="H98" s="533"/>
      <c r="I98" s="533"/>
      <c r="J98" s="533"/>
      <c r="K98" s="533"/>
      <c r="L98" s="533"/>
      <c r="M98" s="533"/>
      <c r="N98" s="533"/>
      <c r="O98" s="533"/>
      <c r="P98" s="533"/>
      <c r="Q98" s="533"/>
      <c r="R98" s="533"/>
      <c r="S98" s="533"/>
      <c r="T98" s="533"/>
      <c r="U98" s="533"/>
      <c r="V98" s="533"/>
      <c r="W98" s="533"/>
    </row>
    <row r="99" spans="1:23" s="531" customFormat="1" ht="19.5" customHeight="1">
      <c r="A99" s="532"/>
      <c r="B99" s="533"/>
      <c r="C99" s="533"/>
      <c r="D99" s="533"/>
      <c r="E99" s="533"/>
      <c r="F99" s="533"/>
      <c r="G99" s="533"/>
      <c r="H99" s="533"/>
      <c r="I99" s="533"/>
      <c r="J99" s="533"/>
      <c r="K99" s="533"/>
      <c r="L99" s="533"/>
      <c r="M99" s="533"/>
      <c r="N99" s="533"/>
      <c r="O99" s="533"/>
      <c r="P99" s="533"/>
      <c r="Q99" s="533"/>
      <c r="R99" s="533"/>
      <c r="S99" s="533"/>
      <c r="T99" s="533"/>
      <c r="U99" s="533"/>
      <c r="V99" s="533"/>
      <c r="W99" s="533"/>
    </row>
    <row r="100" spans="1:23" s="531" customFormat="1" ht="19.5" customHeight="1">
      <c r="A100" s="532"/>
      <c r="B100" s="533"/>
      <c r="C100" s="533"/>
      <c r="D100" s="533"/>
      <c r="E100" s="533"/>
      <c r="F100" s="533"/>
      <c r="G100" s="533"/>
      <c r="H100" s="533"/>
      <c r="I100" s="533"/>
      <c r="J100" s="533"/>
      <c r="K100" s="533"/>
      <c r="L100" s="533"/>
      <c r="M100" s="533"/>
      <c r="N100" s="533"/>
      <c r="O100" s="533"/>
      <c r="P100" s="533"/>
      <c r="Q100" s="533"/>
      <c r="R100" s="533"/>
      <c r="S100" s="533"/>
      <c r="T100" s="533"/>
      <c r="U100" s="533"/>
      <c r="V100" s="533"/>
      <c r="W100" s="533"/>
    </row>
    <row r="101" spans="1:23" s="531" customFormat="1" ht="19.5" customHeight="1">
      <c r="A101" s="532"/>
      <c r="B101" s="533"/>
      <c r="C101" s="533"/>
      <c r="D101" s="533"/>
      <c r="E101" s="533"/>
      <c r="F101" s="533"/>
      <c r="G101" s="533"/>
      <c r="H101" s="533"/>
      <c r="I101" s="533"/>
      <c r="J101" s="533"/>
      <c r="K101" s="533"/>
      <c r="L101" s="533"/>
      <c r="M101" s="533"/>
      <c r="N101" s="533"/>
      <c r="O101" s="533"/>
      <c r="P101" s="533"/>
      <c r="Q101" s="533"/>
      <c r="R101" s="533"/>
      <c r="S101" s="533"/>
      <c r="T101" s="533"/>
      <c r="U101" s="533"/>
      <c r="V101" s="533"/>
      <c r="W101" s="533"/>
    </row>
    <row r="102" spans="1:23" s="531" customFormat="1" ht="19.5" customHeight="1">
      <c r="A102" s="532"/>
      <c r="B102" s="533"/>
      <c r="C102" s="533"/>
      <c r="D102" s="533"/>
      <c r="E102" s="533"/>
      <c r="F102" s="533"/>
      <c r="G102" s="533"/>
      <c r="H102" s="533"/>
      <c r="I102" s="533"/>
      <c r="J102" s="533"/>
      <c r="K102" s="533"/>
      <c r="L102" s="533"/>
      <c r="M102" s="533"/>
      <c r="N102" s="533"/>
      <c r="O102" s="533"/>
      <c r="P102" s="533"/>
      <c r="Q102" s="533"/>
      <c r="R102" s="533"/>
      <c r="S102" s="533"/>
      <c r="T102" s="533"/>
      <c r="U102" s="533"/>
      <c r="V102" s="533"/>
      <c r="W102" s="533"/>
    </row>
    <row r="103" spans="1:23" s="531" customFormat="1" ht="19.5" customHeight="1">
      <c r="A103" s="532"/>
      <c r="B103" s="533"/>
      <c r="C103" s="533"/>
      <c r="D103" s="533"/>
      <c r="E103" s="533"/>
      <c r="F103" s="533"/>
      <c r="G103" s="533"/>
      <c r="H103" s="533"/>
      <c r="I103" s="533"/>
      <c r="J103" s="533"/>
      <c r="K103" s="533"/>
      <c r="L103" s="533"/>
      <c r="M103" s="533"/>
      <c r="N103" s="533"/>
      <c r="O103" s="533"/>
      <c r="P103" s="533"/>
      <c r="Q103" s="533"/>
      <c r="R103" s="533"/>
      <c r="S103" s="533"/>
      <c r="T103" s="533"/>
      <c r="U103" s="533"/>
      <c r="V103" s="533"/>
      <c r="W103" s="533"/>
    </row>
    <row r="104" spans="1:23" s="531" customFormat="1" ht="19.5" customHeight="1">
      <c r="A104" s="532"/>
      <c r="B104" s="533"/>
      <c r="C104" s="533"/>
      <c r="D104" s="533"/>
      <c r="E104" s="533"/>
      <c r="F104" s="533"/>
      <c r="G104" s="533"/>
      <c r="H104" s="533"/>
      <c r="I104" s="533"/>
      <c r="J104" s="533"/>
      <c r="K104" s="533"/>
      <c r="L104" s="533"/>
      <c r="M104" s="533"/>
      <c r="N104" s="533"/>
      <c r="O104" s="533"/>
      <c r="P104" s="533"/>
      <c r="Q104" s="533"/>
      <c r="R104" s="533"/>
      <c r="S104" s="533"/>
      <c r="T104" s="533"/>
      <c r="U104" s="533"/>
      <c r="V104" s="533"/>
      <c r="W104" s="533"/>
    </row>
    <row r="105" spans="1:23" s="531" customFormat="1" ht="19.5" customHeight="1">
      <c r="A105" s="532"/>
      <c r="B105" s="533"/>
      <c r="C105" s="533"/>
      <c r="D105" s="533"/>
      <c r="E105" s="533"/>
      <c r="F105" s="533"/>
      <c r="G105" s="533"/>
      <c r="H105" s="533"/>
      <c r="I105" s="533"/>
      <c r="J105" s="533"/>
      <c r="K105" s="533"/>
      <c r="L105" s="533"/>
      <c r="M105" s="533"/>
      <c r="N105" s="533"/>
      <c r="O105" s="533"/>
      <c r="P105" s="533"/>
      <c r="Q105" s="533"/>
      <c r="R105" s="533"/>
      <c r="S105" s="533"/>
      <c r="T105" s="533"/>
      <c r="U105" s="533"/>
      <c r="V105" s="533"/>
      <c r="W105" s="533"/>
    </row>
    <row r="106" spans="1:23" s="531" customFormat="1" ht="19.5" customHeight="1">
      <c r="A106" s="532"/>
      <c r="B106" s="533"/>
      <c r="C106" s="533"/>
      <c r="D106" s="533"/>
      <c r="E106" s="533"/>
      <c r="F106" s="533"/>
      <c r="G106" s="533"/>
      <c r="H106" s="533"/>
      <c r="I106" s="533"/>
      <c r="J106" s="533"/>
      <c r="K106" s="533"/>
      <c r="L106" s="533"/>
      <c r="M106" s="533"/>
      <c r="N106" s="533"/>
      <c r="O106" s="533"/>
      <c r="P106" s="533"/>
      <c r="Q106" s="533"/>
      <c r="R106" s="533"/>
      <c r="S106" s="533"/>
      <c r="T106" s="533"/>
      <c r="U106" s="533"/>
      <c r="V106" s="533"/>
      <c r="W106" s="533"/>
    </row>
    <row r="107" spans="1:23" s="531" customFormat="1" ht="19.5" customHeight="1">
      <c r="A107" s="532"/>
      <c r="B107" s="533"/>
      <c r="C107" s="533"/>
      <c r="D107" s="533"/>
      <c r="E107" s="533"/>
      <c r="F107" s="533"/>
      <c r="G107" s="533"/>
      <c r="H107" s="533"/>
      <c r="I107" s="533"/>
      <c r="J107" s="533"/>
      <c r="K107" s="533"/>
      <c r="L107" s="533"/>
      <c r="M107" s="533"/>
      <c r="N107" s="533"/>
      <c r="O107" s="533"/>
      <c r="P107" s="533"/>
      <c r="Q107" s="533"/>
      <c r="R107" s="533"/>
      <c r="S107" s="533"/>
      <c r="T107" s="533"/>
      <c r="U107" s="533"/>
      <c r="V107" s="533"/>
      <c r="W107" s="533"/>
    </row>
    <row r="108" spans="1:23" s="531" customFormat="1" ht="19.5" customHeight="1">
      <c r="A108" s="532"/>
      <c r="B108" s="533"/>
      <c r="C108" s="533"/>
      <c r="D108" s="533"/>
      <c r="E108" s="533"/>
      <c r="F108" s="533"/>
      <c r="G108" s="533"/>
      <c r="H108" s="533"/>
      <c r="I108" s="533"/>
      <c r="J108" s="533"/>
      <c r="K108" s="533"/>
      <c r="L108" s="533"/>
      <c r="M108" s="533"/>
      <c r="N108" s="533"/>
      <c r="O108" s="533"/>
      <c r="P108" s="533"/>
      <c r="Q108" s="533"/>
      <c r="R108" s="533"/>
      <c r="S108" s="533"/>
      <c r="T108" s="533"/>
      <c r="U108" s="533"/>
      <c r="V108" s="533"/>
      <c r="W108" s="533"/>
    </row>
    <row r="109" spans="1:23" s="531" customFormat="1" ht="19.5" customHeight="1">
      <c r="A109" s="532"/>
      <c r="B109" s="533"/>
      <c r="C109" s="533"/>
      <c r="D109" s="533"/>
      <c r="E109" s="533"/>
      <c r="F109" s="533"/>
      <c r="G109" s="533"/>
      <c r="H109" s="533"/>
      <c r="I109" s="533"/>
      <c r="J109" s="533"/>
      <c r="K109" s="533"/>
      <c r="L109" s="533"/>
      <c r="M109" s="533"/>
      <c r="N109" s="533"/>
      <c r="O109" s="533"/>
      <c r="P109" s="533"/>
      <c r="Q109" s="533"/>
      <c r="R109" s="533"/>
      <c r="S109" s="533"/>
      <c r="T109" s="533"/>
      <c r="U109" s="533"/>
      <c r="V109" s="533"/>
      <c r="W109" s="533"/>
    </row>
    <row r="110" spans="1:23" s="531" customFormat="1" ht="19.5" customHeight="1">
      <c r="A110" s="532"/>
      <c r="B110" s="533"/>
      <c r="C110" s="533"/>
      <c r="D110" s="533"/>
      <c r="E110" s="533"/>
      <c r="F110" s="533"/>
      <c r="G110" s="533"/>
      <c r="H110" s="533"/>
      <c r="I110" s="533"/>
      <c r="J110" s="533"/>
      <c r="K110" s="533"/>
      <c r="L110" s="533"/>
      <c r="M110" s="533"/>
      <c r="N110" s="533"/>
      <c r="O110" s="533"/>
      <c r="P110" s="533"/>
      <c r="Q110" s="533"/>
      <c r="R110" s="533"/>
      <c r="S110" s="533"/>
      <c r="T110" s="533"/>
      <c r="U110" s="533"/>
      <c r="V110" s="533"/>
      <c r="W110" s="533"/>
    </row>
    <row r="111" spans="1:23" s="531" customFormat="1" ht="19.5" customHeight="1">
      <c r="A111" s="532"/>
      <c r="B111" s="533"/>
      <c r="C111" s="533"/>
      <c r="D111" s="533"/>
      <c r="E111" s="533"/>
      <c r="F111" s="533"/>
      <c r="G111" s="533"/>
      <c r="H111" s="533"/>
      <c r="I111" s="533"/>
      <c r="J111" s="533"/>
      <c r="K111" s="533"/>
      <c r="L111" s="533"/>
      <c r="M111" s="533"/>
      <c r="N111" s="533"/>
      <c r="O111" s="533"/>
      <c r="P111" s="533"/>
      <c r="Q111" s="533"/>
      <c r="R111" s="533"/>
      <c r="S111" s="533"/>
      <c r="T111" s="533"/>
      <c r="U111" s="533"/>
      <c r="V111" s="533"/>
      <c r="W111" s="533"/>
    </row>
    <row r="112" spans="1:23" s="531" customFormat="1" ht="19.5" customHeight="1">
      <c r="A112" s="532"/>
      <c r="B112" s="533"/>
      <c r="C112" s="533"/>
      <c r="D112" s="533"/>
      <c r="E112" s="533"/>
      <c r="F112" s="533"/>
      <c r="G112" s="533"/>
      <c r="H112" s="533"/>
      <c r="I112" s="533"/>
      <c r="J112" s="533"/>
      <c r="K112" s="533"/>
      <c r="L112" s="533"/>
      <c r="M112" s="533"/>
      <c r="N112" s="533"/>
      <c r="O112" s="533"/>
      <c r="P112" s="533"/>
      <c r="Q112" s="533"/>
      <c r="R112" s="533"/>
      <c r="S112" s="533"/>
      <c r="T112" s="533"/>
      <c r="U112" s="533"/>
      <c r="V112" s="533"/>
      <c r="W112" s="533"/>
    </row>
    <row r="113" spans="1:23" s="531" customFormat="1" ht="19.5" customHeight="1">
      <c r="A113" s="532"/>
      <c r="B113" s="533"/>
      <c r="C113" s="533"/>
      <c r="D113" s="533"/>
      <c r="E113" s="533"/>
      <c r="F113" s="533"/>
      <c r="G113" s="533"/>
      <c r="H113" s="533"/>
      <c r="I113" s="533"/>
      <c r="J113" s="533"/>
      <c r="K113" s="533"/>
      <c r="L113" s="533"/>
      <c r="M113" s="533"/>
      <c r="N113" s="533"/>
      <c r="O113" s="533"/>
      <c r="P113" s="533"/>
      <c r="Q113" s="533"/>
      <c r="R113" s="533"/>
      <c r="S113" s="533"/>
      <c r="T113" s="533"/>
      <c r="U113" s="533"/>
      <c r="V113" s="533"/>
      <c r="W113" s="533"/>
    </row>
    <row r="114" spans="1:23" s="531" customFormat="1" ht="19.5" customHeight="1">
      <c r="A114" s="532"/>
      <c r="B114" s="533"/>
      <c r="C114" s="533"/>
      <c r="D114" s="533"/>
      <c r="E114" s="533"/>
      <c r="F114" s="533"/>
      <c r="G114" s="533"/>
      <c r="H114" s="533"/>
      <c r="I114" s="533"/>
      <c r="J114" s="533"/>
      <c r="K114" s="533"/>
      <c r="L114" s="533"/>
      <c r="M114" s="533"/>
      <c r="N114" s="533"/>
      <c r="O114" s="533"/>
      <c r="P114" s="533"/>
      <c r="Q114" s="533"/>
      <c r="R114" s="533"/>
      <c r="S114" s="533"/>
      <c r="T114" s="533"/>
      <c r="U114" s="533"/>
      <c r="V114" s="533"/>
      <c r="W114" s="533"/>
    </row>
    <row r="115" ht="19.5" customHeight="1"/>
    <row r="116" ht="9.75" customHeight="1"/>
    <row r="117" ht="19.5" customHeight="1"/>
    <row r="118" ht="19.5" customHeight="1"/>
    <row r="119" ht="19.5" customHeight="1"/>
    <row r="120" ht="19.5" customHeight="1"/>
    <row r="121" spans="1:23" s="531" customFormat="1" ht="19.5" customHeight="1">
      <c r="A121" s="532"/>
      <c r="B121" s="533"/>
      <c r="C121" s="533"/>
      <c r="D121" s="533"/>
      <c r="E121" s="533"/>
      <c r="F121" s="533"/>
      <c r="G121" s="533"/>
      <c r="H121" s="533"/>
      <c r="I121" s="533"/>
      <c r="J121" s="533"/>
      <c r="K121" s="533"/>
      <c r="L121" s="533"/>
      <c r="M121" s="533"/>
      <c r="N121" s="533"/>
      <c r="O121" s="533"/>
      <c r="P121" s="533"/>
      <c r="Q121" s="533"/>
      <c r="R121" s="533"/>
      <c r="S121" s="533"/>
      <c r="T121" s="533"/>
      <c r="U121" s="533"/>
      <c r="V121" s="533"/>
      <c r="W121" s="533"/>
    </row>
    <row r="122" spans="1:23" s="531" customFormat="1" ht="19.5" customHeight="1">
      <c r="A122" s="532"/>
      <c r="B122" s="533"/>
      <c r="C122" s="533"/>
      <c r="D122" s="533"/>
      <c r="E122" s="533"/>
      <c r="F122" s="533"/>
      <c r="G122" s="533"/>
      <c r="H122" s="533"/>
      <c r="I122" s="533"/>
      <c r="J122" s="533"/>
      <c r="K122" s="533"/>
      <c r="L122" s="533"/>
      <c r="M122" s="533"/>
      <c r="N122" s="533"/>
      <c r="O122" s="533"/>
      <c r="P122" s="533"/>
      <c r="Q122" s="533"/>
      <c r="R122" s="533"/>
      <c r="S122" s="533"/>
      <c r="T122" s="533"/>
      <c r="U122" s="533"/>
      <c r="V122" s="533"/>
      <c r="W122" s="533"/>
    </row>
    <row r="123" spans="1:23" s="531" customFormat="1" ht="19.5" customHeight="1">
      <c r="A123" s="532"/>
      <c r="B123" s="533"/>
      <c r="C123" s="533"/>
      <c r="D123" s="533"/>
      <c r="E123" s="533"/>
      <c r="F123" s="533"/>
      <c r="G123" s="533"/>
      <c r="H123" s="533"/>
      <c r="I123" s="533"/>
      <c r="J123" s="533"/>
      <c r="K123" s="533"/>
      <c r="L123" s="533"/>
      <c r="M123" s="533"/>
      <c r="N123" s="533"/>
      <c r="O123" s="533"/>
      <c r="P123" s="533"/>
      <c r="Q123" s="533"/>
      <c r="R123" s="533"/>
      <c r="S123" s="533"/>
      <c r="T123" s="533"/>
      <c r="U123" s="533"/>
      <c r="V123" s="533"/>
      <c r="W123" s="533"/>
    </row>
    <row r="124" spans="1:23" s="531" customFormat="1" ht="19.5" customHeight="1">
      <c r="A124" s="532"/>
      <c r="B124" s="533"/>
      <c r="C124" s="533"/>
      <c r="D124" s="533"/>
      <c r="E124" s="533"/>
      <c r="F124" s="533"/>
      <c r="G124" s="533"/>
      <c r="H124" s="533"/>
      <c r="I124" s="533"/>
      <c r="J124" s="533"/>
      <c r="K124" s="533"/>
      <c r="L124" s="533"/>
      <c r="M124" s="533"/>
      <c r="N124" s="533"/>
      <c r="O124" s="533"/>
      <c r="P124" s="533"/>
      <c r="Q124" s="533"/>
      <c r="R124" s="533"/>
      <c r="S124" s="533"/>
      <c r="T124" s="533"/>
      <c r="U124" s="533"/>
      <c r="V124" s="533"/>
      <c r="W124" s="533"/>
    </row>
    <row r="125" spans="1:23" s="531" customFormat="1" ht="19.5" customHeight="1">
      <c r="A125" s="532"/>
      <c r="B125" s="533"/>
      <c r="C125" s="533"/>
      <c r="D125" s="533"/>
      <c r="E125" s="533"/>
      <c r="F125" s="533"/>
      <c r="G125" s="533"/>
      <c r="H125" s="533"/>
      <c r="I125" s="533"/>
      <c r="J125" s="533"/>
      <c r="K125" s="533"/>
      <c r="L125" s="533"/>
      <c r="M125" s="533"/>
      <c r="N125" s="533"/>
      <c r="O125" s="533"/>
      <c r="P125" s="533"/>
      <c r="Q125" s="533"/>
      <c r="R125" s="533"/>
      <c r="S125" s="533"/>
      <c r="T125" s="533"/>
      <c r="U125" s="533"/>
      <c r="V125" s="533"/>
      <c r="W125" s="533"/>
    </row>
    <row r="126" spans="1:23" s="531" customFormat="1" ht="19.5" customHeight="1">
      <c r="A126" s="532"/>
      <c r="B126" s="533"/>
      <c r="C126" s="533"/>
      <c r="D126" s="533"/>
      <c r="E126" s="533"/>
      <c r="F126" s="533"/>
      <c r="G126" s="533"/>
      <c r="H126" s="533"/>
      <c r="I126" s="533"/>
      <c r="J126" s="533"/>
      <c r="K126" s="533"/>
      <c r="L126" s="533"/>
      <c r="M126" s="533"/>
      <c r="N126" s="533"/>
      <c r="O126" s="533"/>
      <c r="P126" s="533"/>
      <c r="Q126" s="533"/>
      <c r="R126" s="533"/>
      <c r="S126" s="533"/>
      <c r="T126" s="533"/>
      <c r="U126" s="533"/>
      <c r="V126" s="533"/>
      <c r="W126" s="533"/>
    </row>
    <row r="127" spans="1:23" s="531" customFormat="1" ht="19.5" customHeight="1">
      <c r="A127" s="532"/>
      <c r="B127" s="533"/>
      <c r="C127" s="533"/>
      <c r="D127" s="533"/>
      <c r="E127" s="533"/>
      <c r="F127" s="533"/>
      <c r="G127" s="533"/>
      <c r="H127" s="533"/>
      <c r="I127" s="533"/>
      <c r="J127" s="533"/>
      <c r="K127" s="533"/>
      <c r="L127" s="533"/>
      <c r="M127" s="533"/>
      <c r="N127" s="533"/>
      <c r="O127" s="533"/>
      <c r="P127" s="533"/>
      <c r="Q127" s="533"/>
      <c r="R127" s="533"/>
      <c r="S127" s="533"/>
      <c r="T127" s="533"/>
      <c r="U127" s="533"/>
      <c r="V127" s="533"/>
      <c r="W127" s="533"/>
    </row>
    <row r="128" spans="1:23" s="531" customFormat="1" ht="19.5" customHeight="1">
      <c r="A128" s="532"/>
      <c r="B128" s="533"/>
      <c r="C128" s="533"/>
      <c r="D128" s="533"/>
      <c r="E128" s="533"/>
      <c r="F128" s="533"/>
      <c r="G128" s="533"/>
      <c r="H128" s="533"/>
      <c r="I128" s="533"/>
      <c r="J128" s="533"/>
      <c r="K128" s="533"/>
      <c r="L128" s="533"/>
      <c r="M128" s="533"/>
      <c r="N128" s="533"/>
      <c r="O128" s="533"/>
      <c r="P128" s="533"/>
      <c r="Q128" s="533"/>
      <c r="R128" s="533"/>
      <c r="S128" s="533"/>
      <c r="T128" s="533"/>
      <c r="U128" s="533"/>
      <c r="V128" s="533"/>
      <c r="W128" s="533"/>
    </row>
    <row r="129" spans="1:23" s="531" customFormat="1" ht="19.5" customHeight="1">
      <c r="A129" s="532"/>
      <c r="B129" s="533"/>
      <c r="C129" s="533"/>
      <c r="D129" s="533"/>
      <c r="E129" s="533"/>
      <c r="F129" s="533"/>
      <c r="G129" s="533"/>
      <c r="H129" s="533"/>
      <c r="I129" s="533"/>
      <c r="J129" s="533"/>
      <c r="K129" s="533"/>
      <c r="L129" s="533"/>
      <c r="M129" s="533"/>
      <c r="N129" s="533"/>
      <c r="O129" s="533"/>
      <c r="P129" s="533"/>
      <c r="Q129" s="533"/>
      <c r="R129" s="533"/>
      <c r="S129" s="533"/>
      <c r="T129" s="533"/>
      <c r="U129" s="533"/>
      <c r="V129" s="533"/>
      <c r="W129" s="533"/>
    </row>
    <row r="130" spans="1:23" s="531" customFormat="1" ht="19.5" customHeight="1">
      <c r="A130" s="532"/>
      <c r="B130" s="533"/>
      <c r="C130" s="533"/>
      <c r="D130" s="533"/>
      <c r="E130" s="533"/>
      <c r="F130" s="533"/>
      <c r="G130" s="533"/>
      <c r="H130" s="533"/>
      <c r="I130" s="533"/>
      <c r="J130" s="533"/>
      <c r="K130" s="533"/>
      <c r="L130" s="533"/>
      <c r="M130" s="533"/>
      <c r="N130" s="533"/>
      <c r="O130" s="533"/>
      <c r="P130" s="533"/>
      <c r="Q130" s="533"/>
      <c r="R130" s="533"/>
      <c r="S130" s="533"/>
      <c r="T130" s="533"/>
      <c r="U130" s="533"/>
      <c r="V130" s="533"/>
      <c r="W130" s="533"/>
    </row>
    <row r="131" spans="1:23" s="531" customFormat="1" ht="19.5" customHeight="1">
      <c r="A131" s="532"/>
      <c r="B131" s="533"/>
      <c r="C131" s="533"/>
      <c r="D131" s="533"/>
      <c r="E131" s="533"/>
      <c r="F131" s="533"/>
      <c r="G131" s="533"/>
      <c r="H131" s="533"/>
      <c r="I131" s="533"/>
      <c r="J131" s="533"/>
      <c r="K131" s="533"/>
      <c r="L131" s="533"/>
      <c r="M131" s="533"/>
      <c r="N131" s="533"/>
      <c r="O131" s="533"/>
      <c r="P131" s="533"/>
      <c r="Q131" s="533"/>
      <c r="R131" s="533"/>
      <c r="S131" s="533"/>
      <c r="T131" s="533"/>
      <c r="U131" s="533"/>
      <c r="V131" s="533"/>
      <c r="W131" s="533"/>
    </row>
    <row r="132" spans="1:23" s="531" customFormat="1" ht="19.5" customHeight="1">
      <c r="A132" s="532"/>
      <c r="B132" s="533"/>
      <c r="C132" s="533"/>
      <c r="D132" s="533"/>
      <c r="E132" s="533"/>
      <c r="F132" s="533"/>
      <c r="G132" s="533"/>
      <c r="H132" s="533"/>
      <c r="I132" s="533"/>
      <c r="J132" s="533"/>
      <c r="K132" s="533"/>
      <c r="L132" s="533"/>
      <c r="M132" s="533"/>
      <c r="N132" s="533"/>
      <c r="O132" s="533"/>
      <c r="P132" s="533"/>
      <c r="Q132" s="533"/>
      <c r="R132" s="533"/>
      <c r="S132" s="533"/>
      <c r="T132" s="533"/>
      <c r="U132" s="533"/>
      <c r="V132" s="533"/>
      <c r="W132" s="533"/>
    </row>
    <row r="133" spans="1:23" s="531" customFormat="1" ht="19.5" customHeight="1">
      <c r="A133" s="532"/>
      <c r="B133" s="533"/>
      <c r="C133" s="533"/>
      <c r="D133" s="533"/>
      <c r="E133" s="533"/>
      <c r="F133" s="533"/>
      <c r="G133" s="533"/>
      <c r="H133" s="533"/>
      <c r="I133" s="533"/>
      <c r="J133" s="533"/>
      <c r="K133" s="533"/>
      <c r="L133" s="533"/>
      <c r="M133" s="533"/>
      <c r="N133" s="533"/>
      <c r="O133" s="533"/>
      <c r="P133" s="533"/>
      <c r="Q133" s="533"/>
      <c r="R133" s="533"/>
      <c r="S133" s="533"/>
      <c r="T133" s="533"/>
      <c r="U133" s="533"/>
      <c r="V133" s="533"/>
      <c r="W133" s="533"/>
    </row>
    <row r="134" spans="1:23" s="531" customFormat="1" ht="19.5" customHeight="1">
      <c r="A134" s="532"/>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533"/>
    </row>
    <row r="135" spans="1:23" s="531" customFormat="1" ht="19.5" customHeight="1">
      <c r="A135" s="532"/>
      <c r="B135" s="533"/>
      <c r="C135" s="533"/>
      <c r="D135" s="533"/>
      <c r="E135" s="533"/>
      <c r="F135" s="533"/>
      <c r="G135" s="533"/>
      <c r="H135" s="533"/>
      <c r="I135" s="533"/>
      <c r="J135" s="533"/>
      <c r="K135" s="533"/>
      <c r="L135" s="533"/>
      <c r="M135" s="533"/>
      <c r="N135" s="533"/>
      <c r="O135" s="533"/>
      <c r="P135" s="533"/>
      <c r="Q135" s="533"/>
      <c r="R135" s="533"/>
      <c r="S135" s="533"/>
      <c r="T135" s="533"/>
      <c r="U135" s="533"/>
      <c r="V135" s="533"/>
      <c r="W135" s="533"/>
    </row>
    <row r="136" spans="1:23" s="531" customFormat="1" ht="19.5" customHeight="1">
      <c r="A136" s="532"/>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row>
    <row r="137" spans="1:23" s="531" customFormat="1" ht="19.5" customHeight="1">
      <c r="A137" s="532"/>
      <c r="B137" s="533"/>
      <c r="C137" s="533"/>
      <c r="D137" s="533"/>
      <c r="E137" s="533"/>
      <c r="F137" s="533"/>
      <c r="G137" s="533"/>
      <c r="H137" s="533"/>
      <c r="I137" s="533"/>
      <c r="J137" s="533"/>
      <c r="K137" s="533"/>
      <c r="L137" s="533"/>
      <c r="M137" s="533"/>
      <c r="N137" s="533"/>
      <c r="O137" s="533"/>
      <c r="P137" s="533"/>
      <c r="Q137" s="533"/>
      <c r="R137" s="533"/>
      <c r="S137" s="533"/>
      <c r="T137" s="533"/>
      <c r="U137" s="533"/>
      <c r="V137" s="533"/>
      <c r="W137" s="533"/>
    </row>
    <row r="138" spans="1:23" s="531" customFormat="1" ht="19.5" customHeight="1">
      <c r="A138" s="532"/>
      <c r="B138" s="533"/>
      <c r="C138" s="533"/>
      <c r="D138" s="533"/>
      <c r="E138" s="533"/>
      <c r="F138" s="533"/>
      <c r="G138" s="533"/>
      <c r="H138" s="533"/>
      <c r="I138" s="533"/>
      <c r="J138" s="533"/>
      <c r="K138" s="533"/>
      <c r="L138" s="533"/>
      <c r="M138" s="533"/>
      <c r="N138" s="533"/>
      <c r="O138" s="533"/>
      <c r="P138" s="533"/>
      <c r="Q138" s="533"/>
      <c r="R138" s="533"/>
      <c r="S138" s="533"/>
      <c r="T138" s="533"/>
      <c r="U138" s="533"/>
      <c r="V138" s="533"/>
      <c r="W138" s="533"/>
    </row>
    <row r="139" spans="1:23" s="531" customFormat="1" ht="19.5" customHeight="1">
      <c r="A139" s="532"/>
      <c r="B139" s="533"/>
      <c r="C139" s="533"/>
      <c r="D139" s="533"/>
      <c r="E139" s="533"/>
      <c r="F139" s="533"/>
      <c r="G139" s="533"/>
      <c r="H139" s="533"/>
      <c r="I139" s="533"/>
      <c r="J139" s="533"/>
      <c r="K139" s="533"/>
      <c r="L139" s="533"/>
      <c r="M139" s="533"/>
      <c r="N139" s="533"/>
      <c r="O139" s="533"/>
      <c r="P139" s="533"/>
      <c r="Q139" s="533"/>
      <c r="R139" s="533"/>
      <c r="S139" s="533"/>
      <c r="T139" s="533"/>
      <c r="U139" s="533"/>
      <c r="V139" s="533"/>
      <c r="W139" s="533"/>
    </row>
    <row r="140" spans="1:23" s="531" customFormat="1" ht="19.5" customHeight="1">
      <c r="A140" s="532"/>
      <c r="B140" s="533"/>
      <c r="C140" s="533"/>
      <c r="D140" s="533"/>
      <c r="E140" s="533"/>
      <c r="F140" s="533"/>
      <c r="G140" s="533"/>
      <c r="H140" s="533"/>
      <c r="I140" s="533"/>
      <c r="J140" s="533"/>
      <c r="K140" s="533"/>
      <c r="L140" s="533"/>
      <c r="M140" s="533"/>
      <c r="N140" s="533"/>
      <c r="O140" s="533"/>
      <c r="P140" s="533"/>
      <c r="Q140" s="533"/>
      <c r="R140" s="533"/>
      <c r="S140" s="533"/>
      <c r="T140" s="533"/>
      <c r="U140" s="533"/>
      <c r="V140" s="533"/>
      <c r="W140" s="533"/>
    </row>
    <row r="141" spans="1:23" s="531" customFormat="1" ht="19.5" customHeight="1">
      <c r="A141" s="532"/>
      <c r="B141" s="533"/>
      <c r="C141" s="533"/>
      <c r="D141" s="533"/>
      <c r="E141" s="533"/>
      <c r="F141" s="533"/>
      <c r="G141" s="533"/>
      <c r="H141" s="533"/>
      <c r="I141" s="533"/>
      <c r="J141" s="533"/>
      <c r="K141" s="533"/>
      <c r="L141" s="533"/>
      <c r="M141" s="533"/>
      <c r="N141" s="533"/>
      <c r="O141" s="533"/>
      <c r="P141" s="533"/>
      <c r="Q141" s="533"/>
      <c r="R141" s="533"/>
      <c r="S141" s="533"/>
      <c r="T141" s="533"/>
      <c r="U141" s="533"/>
      <c r="V141" s="533"/>
      <c r="W141" s="533"/>
    </row>
    <row r="142" spans="1:23" s="531" customFormat="1" ht="19.5" customHeight="1">
      <c r="A142" s="532"/>
      <c r="B142" s="533"/>
      <c r="C142" s="533"/>
      <c r="D142" s="533"/>
      <c r="E142" s="533"/>
      <c r="F142" s="533"/>
      <c r="G142" s="533"/>
      <c r="H142" s="533"/>
      <c r="I142" s="533"/>
      <c r="J142" s="533"/>
      <c r="K142" s="533"/>
      <c r="L142" s="533"/>
      <c r="M142" s="533"/>
      <c r="N142" s="533"/>
      <c r="O142" s="533"/>
      <c r="P142" s="533"/>
      <c r="Q142" s="533"/>
      <c r="R142" s="533"/>
      <c r="S142" s="533"/>
      <c r="T142" s="533"/>
      <c r="U142" s="533"/>
      <c r="V142" s="533"/>
      <c r="W142" s="533"/>
    </row>
    <row r="143" spans="1:23" s="531" customFormat="1" ht="19.5" customHeight="1">
      <c r="A143" s="532"/>
      <c r="B143" s="533"/>
      <c r="C143" s="533"/>
      <c r="D143" s="533"/>
      <c r="E143" s="533"/>
      <c r="F143" s="533"/>
      <c r="G143" s="533"/>
      <c r="H143" s="533"/>
      <c r="I143" s="533"/>
      <c r="J143" s="533"/>
      <c r="K143" s="533"/>
      <c r="L143" s="533"/>
      <c r="M143" s="533"/>
      <c r="N143" s="533"/>
      <c r="O143" s="533"/>
      <c r="P143" s="533"/>
      <c r="Q143" s="533"/>
      <c r="R143" s="533"/>
      <c r="S143" s="533"/>
      <c r="T143" s="533"/>
      <c r="U143" s="533"/>
      <c r="V143" s="533"/>
      <c r="W143" s="533"/>
    </row>
    <row r="144" spans="1:23" s="531" customFormat="1" ht="19.5" customHeight="1">
      <c r="A144" s="532"/>
      <c r="B144" s="533"/>
      <c r="C144" s="533"/>
      <c r="D144" s="533"/>
      <c r="E144" s="533"/>
      <c r="F144" s="533"/>
      <c r="G144" s="533"/>
      <c r="H144" s="533"/>
      <c r="I144" s="533"/>
      <c r="J144" s="533"/>
      <c r="K144" s="533"/>
      <c r="L144" s="533"/>
      <c r="M144" s="533"/>
      <c r="N144" s="533"/>
      <c r="O144" s="533"/>
      <c r="P144" s="533"/>
      <c r="Q144" s="533"/>
      <c r="R144" s="533"/>
      <c r="S144" s="533"/>
      <c r="T144" s="533"/>
      <c r="U144" s="533"/>
      <c r="V144" s="533"/>
      <c r="W144" s="533"/>
    </row>
    <row r="145" spans="1:23" s="531" customFormat="1" ht="19.5" customHeight="1">
      <c r="A145" s="532"/>
      <c r="B145" s="533"/>
      <c r="C145" s="533"/>
      <c r="D145" s="533"/>
      <c r="E145" s="533"/>
      <c r="F145" s="533"/>
      <c r="G145" s="533"/>
      <c r="H145" s="533"/>
      <c r="I145" s="533"/>
      <c r="J145" s="533"/>
      <c r="K145" s="533"/>
      <c r="L145" s="533"/>
      <c r="M145" s="533"/>
      <c r="N145" s="533"/>
      <c r="O145" s="533"/>
      <c r="P145" s="533"/>
      <c r="Q145" s="533"/>
      <c r="R145" s="533"/>
      <c r="S145" s="533"/>
      <c r="T145" s="533"/>
      <c r="U145" s="533"/>
      <c r="V145" s="533"/>
      <c r="W145" s="533"/>
    </row>
    <row r="146" spans="1:23" s="531" customFormat="1" ht="19.5" customHeight="1">
      <c r="A146" s="532"/>
      <c r="B146" s="533"/>
      <c r="C146" s="533"/>
      <c r="D146" s="533"/>
      <c r="E146" s="533"/>
      <c r="F146" s="533"/>
      <c r="G146" s="533"/>
      <c r="H146" s="533"/>
      <c r="I146" s="533"/>
      <c r="J146" s="533"/>
      <c r="K146" s="533"/>
      <c r="L146" s="533"/>
      <c r="M146" s="533"/>
      <c r="N146" s="533"/>
      <c r="O146" s="533"/>
      <c r="P146" s="533"/>
      <c r="Q146" s="533"/>
      <c r="R146" s="533"/>
      <c r="S146" s="533"/>
      <c r="T146" s="533"/>
      <c r="U146" s="533"/>
      <c r="V146" s="533"/>
      <c r="W146" s="533"/>
    </row>
    <row r="147" spans="1:23" s="531" customFormat="1" ht="19.5" customHeight="1">
      <c r="A147" s="532"/>
      <c r="B147" s="533"/>
      <c r="C147" s="533"/>
      <c r="D147" s="533"/>
      <c r="E147" s="533"/>
      <c r="F147" s="533"/>
      <c r="G147" s="533"/>
      <c r="H147" s="533"/>
      <c r="I147" s="533"/>
      <c r="J147" s="533"/>
      <c r="K147" s="533"/>
      <c r="L147" s="533"/>
      <c r="M147" s="533"/>
      <c r="N147" s="533"/>
      <c r="O147" s="533"/>
      <c r="P147" s="533"/>
      <c r="Q147" s="533"/>
      <c r="R147" s="533"/>
      <c r="S147" s="533"/>
      <c r="T147" s="533"/>
      <c r="U147" s="533"/>
      <c r="V147" s="533"/>
      <c r="W147" s="533"/>
    </row>
    <row r="148" spans="1:23" s="531" customFormat="1" ht="19.5" customHeight="1">
      <c r="A148" s="532"/>
      <c r="B148" s="533"/>
      <c r="C148" s="533"/>
      <c r="D148" s="533"/>
      <c r="E148" s="533"/>
      <c r="F148" s="533"/>
      <c r="G148" s="533"/>
      <c r="H148" s="533"/>
      <c r="I148" s="533"/>
      <c r="J148" s="533"/>
      <c r="K148" s="533"/>
      <c r="L148" s="533"/>
      <c r="M148" s="533"/>
      <c r="N148" s="533"/>
      <c r="O148" s="533"/>
      <c r="P148" s="533"/>
      <c r="Q148" s="533"/>
      <c r="R148" s="533"/>
      <c r="S148" s="533"/>
      <c r="T148" s="533"/>
      <c r="U148" s="533"/>
      <c r="V148" s="533"/>
      <c r="W148" s="533"/>
    </row>
    <row r="149" spans="1:23" s="531" customFormat="1" ht="19.5" customHeight="1">
      <c r="A149" s="532"/>
      <c r="B149" s="533"/>
      <c r="C149" s="533"/>
      <c r="D149" s="533"/>
      <c r="E149" s="533"/>
      <c r="F149" s="533"/>
      <c r="G149" s="533"/>
      <c r="H149" s="533"/>
      <c r="I149" s="533"/>
      <c r="J149" s="533"/>
      <c r="K149" s="533"/>
      <c r="L149" s="533"/>
      <c r="M149" s="533"/>
      <c r="N149" s="533"/>
      <c r="O149" s="533"/>
      <c r="P149" s="533"/>
      <c r="Q149" s="533"/>
      <c r="R149" s="533"/>
      <c r="S149" s="533"/>
      <c r="T149" s="533"/>
      <c r="U149" s="533"/>
      <c r="V149" s="533"/>
      <c r="W149" s="533"/>
    </row>
    <row r="150" spans="1:23" s="531" customFormat="1" ht="19.5" customHeight="1">
      <c r="A150" s="532"/>
      <c r="B150" s="533"/>
      <c r="C150" s="533"/>
      <c r="D150" s="533"/>
      <c r="E150" s="533"/>
      <c r="F150" s="533"/>
      <c r="G150" s="533"/>
      <c r="H150" s="533"/>
      <c r="I150" s="533"/>
      <c r="J150" s="533"/>
      <c r="K150" s="533"/>
      <c r="L150" s="533"/>
      <c r="M150" s="533"/>
      <c r="N150" s="533"/>
      <c r="O150" s="533"/>
      <c r="P150" s="533"/>
      <c r="Q150" s="533"/>
      <c r="R150" s="533"/>
      <c r="S150" s="533"/>
      <c r="T150" s="533"/>
      <c r="U150" s="533"/>
      <c r="V150" s="533"/>
      <c r="W150" s="533"/>
    </row>
    <row r="151" spans="1:23" s="531" customFormat="1" ht="19.5" customHeight="1">
      <c r="A151" s="532"/>
      <c r="B151" s="533"/>
      <c r="C151" s="533"/>
      <c r="D151" s="533"/>
      <c r="E151" s="533"/>
      <c r="F151" s="533"/>
      <c r="G151" s="533"/>
      <c r="H151" s="533"/>
      <c r="I151" s="533"/>
      <c r="J151" s="533"/>
      <c r="K151" s="533"/>
      <c r="L151" s="533"/>
      <c r="M151" s="533"/>
      <c r="N151" s="533"/>
      <c r="O151" s="533"/>
      <c r="P151" s="533"/>
      <c r="Q151" s="533"/>
      <c r="R151" s="533"/>
      <c r="S151" s="533"/>
      <c r="T151" s="533"/>
      <c r="U151" s="533"/>
      <c r="V151" s="533"/>
      <c r="W151" s="533"/>
    </row>
    <row r="152" spans="1:23" s="531" customFormat="1" ht="19.5" customHeight="1">
      <c r="A152" s="532"/>
      <c r="B152" s="533"/>
      <c r="C152" s="533"/>
      <c r="D152" s="533"/>
      <c r="E152" s="533"/>
      <c r="F152" s="533"/>
      <c r="G152" s="533"/>
      <c r="H152" s="533"/>
      <c r="I152" s="533"/>
      <c r="J152" s="533"/>
      <c r="K152" s="533"/>
      <c r="L152" s="533"/>
      <c r="M152" s="533"/>
      <c r="N152" s="533"/>
      <c r="O152" s="533"/>
      <c r="P152" s="533"/>
      <c r="Q152" s="533"/>
      <c r="R152" s="533"/>
      <c r="S152" s="533"/>
      <c r="T152" s="533"/>
      <c r="U152" s="533"/>
      <c r="V152" s="533"/>
      <c r="W152" s="533"/>
    </row>
    <row r="153" spans="1:23" s="531" customFormat="1" ht="19.5" customHeight="1">
      <c r="A153" s="532"/>
      <c r="B153" s="533"/>
      <c r="C153" s="533"/>
      <c r="D153" s="533"/>
      <c r="E153" s="533"/>
      <c r="F153" s="533"/>
      <c r="G153" s="533"/>
      <c r="H153" s="533"/>
      <c r="I153" s="533"/>
      <c r="J153" s="533"/>
      <c r="K153" s="533"/>
      <c r="L153" s="533"/>
      <c r="M153" s="533"/>
      <c r="N153" s="533"/>
      <c r="O153" s="533"/>
      <c r="P153" s="533"/>
      <c r="Q153" s="533"/>
      <c r="R153" s="533"/>
      <c r="S153" s="533"/>
      <c r="T153" s="533"/>
      <c r="U153" s="533"/>
      <c r="V153" s="533"/>
      <c r="W153" s="533"/>
    </row>
    <row r="154" spans="1:23" s="531" customFormat="1" ht="19.5" customHeight="1">
      <c r="A154" s="532"/>
      <c r="B154" s="533"/>
      <c r="C154" s="533"/>
      <c r="D154" s="533"/>
      <c r="E154" s="533"/>
      <c r="F154" s="533"/>
      <c r="G154" s="533"/>
      <c r="H154" s="533"/>
      <c r="I154" s="533"/>
      <c r="J154" s="533"/>
      <c r="K154" s="533"/>
      <c r="L154" s="533"/>
      <c r="M154" s="533"/>
      <c r="N154" s="533"/>
      <c r="O154" s="533"/>
      <c r="P154" s="533"/>
      <c r="Q154" s="533"/>
      <c r="R154" s="533"/>
      <c r="S154" s="533"/>
      <c r="T154" s="533"/>
      <c r="U154" s="533"/>
      <c r="V154" s="533"/>
      <c r="W154" s="533"/>
    </row>
    <row r="155" spans="1:23" s="531" customFormat="1" ht="19.5" customHeight="1">
      <c r="A155" s="532"/>
      <c r="B155" s="533"/>
      <c r="C155" s="533"/>
      <c r="D155" s="533"/>
      <c r="E155" s="533"/>
      <c r="F155" s="533"/>
      <c r="G155" s="533"/>
      <c r="H155" s="533"/>
      <c r="I155" s="533"/>
      <c r="J155" s="533"/>
      <c r="K155" s="533"/>
      <c r="L155" s="533"/>
      <c r="M155" s="533"/>
      <c r="N155" s="533"/>
      <c r="O155" s="533"/>
      <c r="P155" s="533"/>
      <c r="Q155" s="533"/>
      <c r="R155" s="533"/>
      <c r="S155" s="533"/>
      <c r="T155" s="533"/>
      <c r="U155" s="533"/>
      <c r="V155" s="533"/>
      <c r="W155" s="533"/>
    </row>
    <row r="156" spans="1:23" s="531" customFormat="1" ht="19.5" customHeight="1">
      <c r="A156" s="532"/>
      <c r="B156" s="533"/>
      <c r="C156" s="533"/>
      <c r="D156" s="533"/>
      <c r="E156" s="533"/>
      <c r="F156" s="533"/>
      <c r="G156" s="533"/>
      <c r="H156" s="533"/>
      <c r="I156" s="533"/>
      <c r="J156" s="533"/>
      <c r="K156" s="533"/>
      <c r="L156" s="533"/>
      <c r="M156" s="533"/>
      <c r="N156" s="533"/>
      <c r="O156" s="533"/>
      <c r="P156" s="533"/>
      <c r="Q156" s="533"/>
      <c r="R156" s="533"/>
      <c r="S156" s="533"/>
      <c r="T156" s="533"/>
      <c r="U156" s="533"/>
      <c r="V156" s="533"/>
      <c r="W156" s="533"/>
    </row>
    <row r="157" spans="1:23" s="531" customFormat="1" ht="19.5" customHeight="1">
      <c r="A157" s="532"/>
      <c r="B157" s="533"/>
      <c r="C157" s="533"/>
      <c r="D157" s="533"/>
      <c r="E157" s="533"/>
      <c r="F157" s="533"/>
      <c r="G157" s="533"/>
      <c r="H157" s="533"/>
      <c r="I157" s="533"/>
      <c r="J157" s="533"/>
      <c r="K157" s="533"/>
      <c r="L157" s="533"/>
      <c r="M157" s="533"/>
      <c r="N157" s="533"/>
      <c r="O157" s="533"/>
      <c r="P157" s="533"/>
      <c r="Q157" s="533"/>
      <c r="R157" s="533"/>
      <c r="S157" s="533"/>
      <c r="T157" s="533"/>
      <c r="U157" s="533"/>
      <c r="V157" s="533"/>
      <c r="W157" s="533"/>
    </row>
    <row r="158" ht="19.5" customHeight="1"/>
    <row r="159" ht="9.75" customHeight="1"/>
    <row r="160" ht="19.5" customHeight="1"/>
    <row r="161" ht="19.5" customHeight="1"/>
    <row r="162" ht="19.5" customHeight="1"/>
    <row r="163" spans="1:23" s="531" customFormat="1" ht="19.5" customHeight="1">
      <c r="A163" s="532"/>
      <c r="B163" s="533"/>
      <c r="C163" s="533"/>
      <c r="D163" s="533"/>
      <c r="E163" s="533"/>
      <c r="F163" s="533"/>
      <c r="G163" s="533"/>
      <c r="H163" s="533"/>
      <c r="I163" s="533"/>
      <c r="J163" s="533"/>
      <c r="K163" s="533"/>
      <c r="L163" s="533"/>
      <c r="M163" s="533"/>
      <c r="N163" s="533"/>
      <c r="O163" s="533"/>
      <c r="P163" s="533"/>
      <c r="Q163" s="533"/>
      <c r="R163" s="533"/>
      <c r="S163" s="533"/>
      <c r="T163" s="533"/>
      <c r="U163" s="533"/>
      <c r="V163" s="533"/>
      <c r="W163" s="533"/>
    </row>
    <row r="164" spans="1:23" s="531" customFormat="1" ht="19.5" customHeight="1">
      <c r="A164" s="532"/>
      <c r="B164" s="533"/>
      <c r="C164" s="533"/>
      <c r="D164" s="533"/>
      <c r="E164" s="533"/>
      <c r="F164" s="533"/>
      <c r="G164" s="533"/>
      <c r="H164" s="533"/>
      <c r="I164" s="533"/>
      <c r="J164" s="533"/>
      <c r="K164" s="533"/>
      <c r="L164" s="533"/>
      <c r="M164" s="533"/>
      <c r="N164" s="533"/>
      <c r="O164" s="533"/>
      <c r="P164" s="533"/>
      <c r="Q164" s="533"/>
      <c r="R164" s="533"/>
      <c r="S164" s="533"/>
      <c r="T164" s="533"/>
      <c r="U164" s="533"/>
      <c r="V164" s="533"/>
      <c r="W164" s="533"/>
    </row>
    <row r="165" spans="1:23" s="531" customFormat="1" ht="19.5" customHeight="1">
      <c r="A165" s="532"/>
      <c r="B165" s="533"/>
      <c r="C165" s="533"/>
      <c r="D165" s="533"/>
      <c r="E165" s="533"/>
      <c r="F165" s="533"/>
      <c r="G165" s="533"/>
      <c r="H165" s="533"/>
      <c r="I165" s="533"/>
      <c r="J165" s="533"/>
      <c r="K165" s="533"/>
      <c r="L165" s="533"/>
      <c r="M165" s="533"/>
      <c r="N165" s="533"/>
      <c r="O165" s="533"/>
      <c r="P165" s="533"/>
      <c r="Q165" s="533"/>
      <c r="R165" s="533"/>
      <c r="S165" s="533"/>
      <c r="T165" s="533"/>
      <c r="U165" s="533"/>
      <c r="V165" s="533"/>
      <c r="W165" s="533"/>
    </row>
    <row r="166" spans="1:23" s="531" customFormat="1" ht="19.5" customHeight="1">
      <c r="A166" s="532"/>
      <c r="B166" s="533"/>
      <c r="C166" s="533"/>
      <c r="D166" s="533"/>
      <c r="E166" s="533"/>
      <c r="F166" s="533"/>
      <c r="G166" s="533"/>
      <c r="H166" s="533"/>
      <c r="I166" s="533"/>
      <c r="J166" s="533"/>
      <c r="K166" s="533"/>
      <c r="L166" s="533"/>
      <c r="M166" s="533"/>
      <c r="N166" s="533"/>
      <c r="O166" s="533"/>
      <c r="P166" s="533"/>
      <c r="Q166" s="533"/>
      <c r="R166" s="533"/>
      <c r="S166" s="533"/>
      <c r="T166" s="533"/>
      <c r="U166" s="533"/>
      <c r="V166" s="533"/>
      <c r="W166" s="533"/>
    </row>
    <row r="167" spans="1:23" s="531" customFormat="1" ht="19.5" customHeight="1">
      <c r="A167" s="532"/>
      <c r="B167" s="533"/>
      <c r="C167" s="533"/>
      <c r="D167" s="533"/>
      <c r="E167" s="533"/>
      <c r="F167" s="533"/>
      <c r="G167" s="533"/>
      <c r="H167" s="533"/>
      <c r="I167" s="533"/>
      <c r="J167" s="533"/>
      <c r="K167" s="533"/>
      <c r="L167" s="533"/>
      <c r="M167" s="533"/>
      <c r="N167" s="533"/>
      <c r="O167" s="533"/>
      <c r="P167" s="533"/>
      <c r="Q167" s="533"/>
      <c r="R167" s="533"/>
      <c r="S167" s="533"/>
      <c r="T167" s="533"/>
      <c r="U167" s="533"/>
      <c r="V167" s="533"/>
      <c r="W167" s="533"/>
    </row>
    <row r="168" spans="1:23" s="531" customFormat="1" ht="19.5" customHeight="1">
      <c r="A168" s="532"/>
      <c r="B168" s="533"/>
      <c r="C168" s="533"/>
      <c r="D168" s="533"/>
      <c r="E168" s="533"/>
      <c r="F168" s="533"/>
      <c r="G168" s="533"/>
      <c r="H168" s="533"/>
      <c r="I168" s="533"/>
      <c r="J168" s="533"/>
      <c r="K168" s="533"/>
      <c r="L168" s="533"/>
      <c r="M168" s="533"/>
      <c r="N168" s="533"/>
      <c r="O168" s="533"/>
      <c r="P168" s="533"/>
      <c r="Q168" s="533"/>
      <c r="R168" s="533"/>
      <c r="S168" s="533"/>
      <c r="T168" s="533"/>
      <c r="U168" s="533"/>
      <c r="V168" s="533"/>
      <c r="W168" s="533"/>
    </row>
    <row r="169" spans="1:23" s="531" customFormat="1" ht="19.5" customHeight="1">
      <c r="A169" s="532"/>
      <c r="B169" s="533"/>
      <c r="C169" s="533"/>
      <c r="D169" s="533"/>
      <c r="E169" s="533"/>
      <c r="F169" s="533"/>
      <c r="G169" s="533"/>
      <c r="H169" s="533"/>
      <c r="I169" s="533"/>
      <c r="J169" s="533"/>
      <c r="K169" s="533"/>
      <c r="L169" s="533"/>
      <c r="M169" s="533"/>
      <c r="N169" s="533"/>
      <c r="O169" s="533"/>
      <c r="P169" s="533"/>
      <c r="Q169" s="533"/>
      <c r="R169" s="533"/>
      <c r="S169" s="533"/>
      <c r="T169" s="533"/>
      <c r="U169" s="533"/>
      <c r="V169" s="533"/>
      <c r="W169" s="533"/>
    </row>
    <row r="170" spans="1:23" s="531" customFormat="1" ht="19.5" customHeight="1">
      <c r="A170" s="532"/>
      <c r="B170" s="533"/>
      <c r="C170" s="533"/>
      <c r="D170" s="533"/>
      <c r="E170" s="533"/>
      <c r="F170" s="533"/>
      <c r="G170" s="533"/>
      <c r="H170" s="533"/>
      <c r="I170" s="533"/>
      <c r="J170" s="533"/>
      <c r="K170" s="533"/>
      <c r="L170" s="533"/>
      <c r="M170" s="533"/>
      <c r="N170" s="533"/>
      <c r="O170" s="533"/>
      <c r="P170" s="533"/>
      <c r="Q170" s="533"/>
      <c r="R170" s="533"/>
      <c r="S170" s="533"/>
      <c r="T170" s="533"/>
      <c r="U170" s="533"/>
      <c r="V170" s="533"/>
      <c r="W170" s="533"/>
    </row>
    <row r="171" spans="1:23" s="531" customFormat="1" ht="19.5" customHeight="1">
      <c r="A171" s="532"/>
      <c r="B171" s="533"/>
      <c r="C171" s="533"/>
      <c r="D171" s="533"/>
      <c r="E171" s="533"/>
      <c r="F171" s="533"/>
      <c r="G171" s="533"/>
      <c r="H171" s="533"/>
      <c r="I171" s="533"/>
      <c r="J171" s="533"/>
      <c r="K171" s="533"/>
      <c r="L171" s="533"/>
      <c r="M171" s="533"/>
      <c r="N171" s="533"/>
      <c r="O171" s="533"/>
      <c r="P171" s="533"/>
      <c r="Q171" s="533"/>
      <c r="R171" s="533"/>
      <c r="S171" s="533"/>
      <c r="T171" s="533"/>
      <c r="U171" s="533"/>
      <c r="V171" s="533"/>
      <c r="W171" s="533"/>
    </row>
    <row r="172" spans="1:23" s="531" customFormat="1" ht="19.5" customHeight="1">
      <c r="A172" s="532"/>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row>
    <row r="173" spans="1:23" s="531" customFormat="1" ht="19.5" customHeight="1">
      <c r="A173" s="532"/>
      <c r="B173" s="533"/>
      <c r="C173" s="533"/>
      <c r="D173" s="533"/>
      <c r="E173" s="533"/>
      <c r="F173" s="533"/>
      <c r="G173" s="533"/>
      <c r="H173" s="533"/>
      <c r="I173" s="533"/>
      <c r="J173" s="533"/>
      <c r="K173" s="533"/>
      <c r="L173" s="533"/>
      <c r="M173" s="533"/>
      <c r="N173" s="533"/>
      <c r="O173" s="533"/>
      <c r="P173" s="533"/>
      <c r="Q173" s="533"/>
      <c r="R173" s="533"/>
      <c r="S173" s="533"/>
      <c r="T173" s="533"/>
      <c r="U173" s="533"/>
      <c r="V173" s="533"/>
      <c r="W173" s="533"/>
    </row>
    <row r="174" spans="1:23" s="531" customFormat="1" ht="19.5" customHeight="1">
      <c r="A174" s="532"/>
      <c r="B174" s="533"/>
      <c r="C174" s="533"/>
      <c r="D174" s="533"/>
      <c r="E174" s="533"/>
      <c r="F174" s="533"/>
      <c r="G174" s="533"/>
      <c r="H174" s="533"/>
      <c r="I174" s="533"/>
      <c r="J174" s="533"/>
      <c r="K174" s="533"/>
      <c r="L174" s="533"/>
      <c r="M174" s="533"/>
      <c r="N174" s="533"/>
      <c r="O174" s="533"/>
      <c r="P174" s="533"/>
      <c r="Q174" s="533"/>
      <c r="R174" s="533"/>
      <c r="S174" s="533"/>
      <c r="T174" s="533"/>
      <c r="U174" s="533"/>
      <c r="V174" s="533"/>
      <c r="W174" s="533"/>
    </row>
    <row r="175" spans="1:23" s="531" customFormat="1" ht="19.5" customHeight="1">
      <c r="A175" s="532"/>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row>
    <row r="176" spans="1:23" s="531" customFormat="1" ht="19.5" customHeight="1">
      <c r="A176" s="532"/>
      <c r="B176" s="533"/>
      <c r="C176" s="533"/>
      <c r="D176" s="533"/>
      <c r="E176" s="533"/>
      <c r="F176" s="533"/>
      <c r="G176" s="533"/>
      <c r="H176" s="533"/>
      <c r="I176" s="533"/>
      <c r="J176" s="533"/>
      <c r="K176" s="533"/>
      <c r="L176" s="533"/>
      <c r="M176" s="533"/>
      <c r="N176" s="533"/>
      <c r="O176" s="533"/>
      <c r="P176" s="533"/>
      <c r="Q176" s="533"/>
      <c r="R176" s="533"/>
      <c r="S176" s="533"/>
      <c r="T176" s="533"/>
      <c r="U176" s="533"/>
      <c r="V176" s="533"/>
      <c r="W176" s="533"/>
    </row>
    <row r="177" spans="1:23" s="531" customFormat="1" ht="19.5" customHeight="1">
      <c r="A177" s="532"/>
      <c r="B177" s="533"/>
      <c r="C177" s="533"/>
      <c r="D177" s="533"/>
      <c r="E177" s="533"/>
      <c r="F177" s="533"/>
      <c r="G177" s="533"/>
      <c r="H177" s="533"/>
      <c r="I177" s="533"/>
      <c r="J177" s="533"/>
      <c r="K177" s="533"/>
      <c r="L177" s="533"/>
      <c r="M177" s="533"/>
      <c r="N177" s="533"/>
      <c r="O177" s="533"/>
      <c r="P177" s="533"/>
      <c r="Q177" s="533"/>
      <c r="R177" s="533"/>
      <c r="S177" s="533"/>
      <c r="T177" s="533"/>
      <c r="U177" s="533"/>
      <c r="V177" s="533"/>
      <c r="W177" s="533"/>
    </row>
    <row r="178" spans="1:23" s="531" customFormat="1" ht="19.5" customHeight="1">
      <c r="A178" s="532"/>
      <c r="B178" s="533"/>
      <c r="C178" s="533"/>
      <c r="D178" s="533"/>
      <c r="E178" s="533"/>
      <c r="F178" s="533"/>
      <c r="G178" s="533"/>
      <c r="H178" s="533"/>
      <c r="I178" s="533"/>
      <c r="J178" s="533"/>
      <c r="K178" s="533"/>
      <c r="L178" s="533"/>
      <c r="M178" s="533"/>
      <c r="N178" s="533"/>
      <c r="O178" s="533"/>
      <c r="P178" s="533"/>
      <c r="Q178" s="533"/>
      <c r="R178" s="533"/>
      <c r="S178" s="533"/>
      <c r="T178" s="533"/>
      <c r="U178" s="533"/>
      <c r="V178" s="533"/>
      <c r="W178" s="533"/>
    </row>
    <row r="179" spans="1:23" s="531" customFormat="1" ht="19.5" customHeight="1">
      <c r="A179" s="532"/>
      <c r="B179" s="533"/>
      <c r="C179" s="533"/>
      <c r="D179" s="533"/>
      <c r="E179" s="533"/>
      <c r="F179" s="533"/>
      <c r="G179" s="533"/>
      <c r="H179" s="533"/>
      <c r="I179" s="533"/>
      <c r="J179" s="533"/>
      <c r="K179" s="533"/>
      <c r="L179" s="533"/>
      <c r="M179" s="533"/>
      <c r="N179" s="533"/>
      <c r="O179" s="533"/>
      <c r="P179" s="533"/>
      <c r="Q179" s="533"/>
      <c r="R179" s="533"/>
      <c r="S179" s="533"/>
      <c r="T179" s="533"/>
      <c r="U179" s="533"/>
      <c r="V179" s="533"/>
      <c r="W179" s="533"/>
    </row>
    <row r="180" spans="1:23" s="531" customFormat="1" ht="19.5" customHeight="1">
      <c r="A180" s="532"/>
      <c r="B180" s="533"/>
      <c r="C180" s="533"/>
      <c r="D180" s="533"/>
      <c r="E180" s="533"/>
      <c r="F180" s="533"/>
      <c r="G180" s="533"/>
      <c r="H180" s="533"/>
      <c r="I180" s="533"/>
      <c r="J180" s="533"/>
      <c r="K180" s="533"/>
      <c r="L180" s="533"/>
      <c r="M180" s="533"/>
      <c r="N180" s="533"/>
      <c r="O180" s="533"/>
      <c r="P180" s="533"/>
      <c r="Q180" s="533"/>
      <c r="R180" s="533"/>
      <c r="S180" s="533"/>
      <c r="T180" s="533"/>
      <c r="U180" s="533"/>
      <c r="V180" s="533"/>
      <c r="W180" s="533"/>
    </row>
    <row r="181" spans="1:23" s="531" customFormat="1" ht="19.5" customHeight="1">
      <c r="A181" s="532"/>
      <c r="B181" s="533"/>
      <c r="C181" s="533"/>
      <c r="D181" s="533"/>
      <c r="E181" s="533"/>
      <c r="F181" s="533"/>
      <c r="G181" s="533"/>
      <c r="H181" s="533"/>
      <c r="I181" s="533"/>
      <c r="J181" s="533"/>
      <c r="K181" s="533"/>
      <c r="L181" s="533"/>
      <c r="M181" s="533"/>
      <c r="N181" s="533"/>
      <c r="O181" s="533"/>
      <c r="P181" s="533"/>
      <c r="Q181" s="533"/>
      <c r="R181" s="533"/>
      <c r="S181" s="533"/>
      <c r="T181" s="533"/>
      <c r="U181" s="533"/>
      <c r="V181" s="533"/>
      <c r="W181" s="533"/>
    </row>
    <row r="182" spans="1:23" s="531" customFormat="1" ht="19.5" customHeight="1">
      <c r="A182" s="532"/>
      <c r="B182" s="533"/>
      <c r="C182" s="533"/>
      <c r="D182" s="533"/>
      <c r="E182" s="533"/>
      <c r="F182" s="533"/>
      <c r="G182" s="533"/>
      <c r="H182" s="533"/>
      <c r="I182" s="533"/>
      <c r="J182" s="533"/>
      <c r="K182" s="533"/>
      <c r="L182" s="533"/>
      <c r="M182" s="533"/>
      <c r="N182" s="533"/>
      <c r="O182" s="533"/>
      <c r="P182" s="533"/>
      <c r="Q182" s="533"/>
      <c r="R182" s="533"/>
      <c r="S182" s="533"/>
      <c r="T182" s="533"/>
      <c r="U182" s="533"/>
      <c r="V182" s="533"/>
      <c r="W182" s="533"/>
    </row>
    <row r="183" spans="1:23" s="531" customFormat="1" ht="19.5" customHeight="1">
      <c r="A183" s="532"/>
      <c r="B183" s="533"/>
      <c r="C183" s="533"/>
      <c r="D183" s="533"/>
      <c r="E183" s="533"/>
      <c r="F183" s="533"/>
      <c r="G183" s="533"/>
      <c r="H183" s="533"/>
      <c r="I183" s="533"/>
      <c r="J183" s="533"/>
      <c r="K183" s="533"/>
      <c r="L183" s="533"/>
      <c r="M183" s="533"/>
      <c r="N183" s="533"/>
      <c r="O183" s="533"/>
      <c r="P183" s="533"/>
      <c r="Q183" s="533"/>
      <c r="R183" s="533"/>
      <c r="S183" s="533"/>
      <c r="T183" s="533"/>
      <c r="U183" s="533"/>
      <c r="V183" s="533"/>
      <c r="W183" s="533"/>
    </row>
    <row r="184" spans="1:23" s="531" customFormat="1" ht="19.5" customHeight="1">
      <c r="A184" s="532"/>
      <c r="B184" s="533"/>
      <c r="C184" s="533"/>
      <c r="D184" s="533"/>
      <c r="E184" s="533"/>
      <c r="F184" s="533"/>
      <c r="G184" s="533"/>
      <c r="H184" s="533"/>
      <c r="I184" s="533"/>
      <c r="J184" s="533"/>
      <c r="K184" s="533"/>
      <c r="L184" s="533"/>
      <c r="M184" s="533"/>
      <c r="N184" s="533"/>
      <c r="O184" s="533"/>
      <c r="P184" s="533"/>
      <c r="Q184" s="533"/>
      <c r="R184" s="533"/>
      <c r="S184" s="533"/>
      <c r="T184" s="533"/>
      <c r="U184" s="533"/>
      <c r="V184" s="533"/>
      <c r="W184" s="533"/>
    </row>
    <row r="185" spans="1:23" s="531" customFormat="1" ht="19.5" customHeight="1">
      <c r="A185" s="532"/>
      <c r="B185" s="533"/>
      <c r="C185" s="533"/>
      <c r="D185" s="533"/>
      <c r="E185" s="533"/>
      <c r="F185" s="533"/>
      <c r="G185" s="533"/>
      <c r="H185" s="533"/>
      <c r="I185" s="533"/>
      <c r="J185" s="533"/>
      <c r="K185" s="533"/>
      <c r="L185" s="533"/>
      <c r="M185" s="533"/>
      <c r="N185" s="533"/>
      <c r="O185" s="533"/>
      <c r="P185" s="533"/>
      <c r="Q185" s="533"/>
      <c r="R185" s="533"/>
      <c r="S185" s="533"/>
      <c r="T185" s="533"/>
      <c r="U185" s="533"/>
      <c r="V185" s="533"/>
      <c r="W185" s="533"/>
    </row>
    <row r="186" spans="1:23" s="531" customFormat="1" ht="19.5" customHeight="1">
      <c r="A186" s="532"/>
      <c r="B186" s="533"/>
      <c r="C186" s="533"/>
      <c r="D186" s="533"/>
      <c r="E186" s="533"/>
      <c r="F186" s="533"/>
      <c r="G186" s="533"/>
      <c r="H186" s="533"/>
      <c r="I186" s="533"/>
      <c r="J186" s="533"/>
      <c r="K186" s="533"/>
      <c r="L186" s="533"/>
      <c r="M186" s="533"/>
      <c r="N186" s="533"/>
      <c r="O186" s="533"/>
      <c r="P186" s="533"/>
      <c r="Q186" s="533"/>
      <c r="R186" s="533"/>
      <c r="S186" s="533"/>
      <c r="T186" s="533"/>
      <c r="U186" s="533"/>
      <c r="V186" s="533"/>
      <c r="W186" s="533"/>
    </row>
    <row r="187" spans="1:23" s="531" customFormat="1" ht="19.5" customHeight="1">
      <c r="A187" s="532"/>
      <c r="B187" s="533"/>
      <c r="C187" s="533"/>
      <c r="D187" s="533"/>
      <c r="E187" s="533"/>
      <c r="F187" s="533"/>
      <c r="G187" s="533"/>
      <c r="H187" s="533"/>
      <c r="I187" s="533"/>
      <c r="J187" s="533"/>
      <c r="K187" s="533"/>
      <c r="L187" s="533"/>
      <c r="M187" s="533"/>
      <c r="N187" s="533"/>
      <c r="O187" s="533"/>
      <c r="P187" s="533"/>
      <c r="Q187" s="533"/>
      <c r="R187" s="533"/>
      <c r="S187" s="533"/>
      <c r="T187" s="533"/>
      <c r="U187" s="533"/>
      <c r="V187" s="533"/>
      <c r="W187" s="533"/>
    </row>
    <row r="188" spans="1:23" s="531" customFormat="1" ht="19.5" customHeight="1">
      <c r="A188" s="532"/>
      <c r="B188" s="533"/>
      <c r="C188" s="533"/>
      <c r="D188" s="533"/>
      <c r="E188" s="533"/>
      <c r="F188" s="533"/>
      <c r="G188" s="533"/>
      <c r="H188" s="533"/>
      <c r="I188" s="533"/>
      <c r="J188" s="533"/>
      <c r="K188" s="533"/>
      <c r="L188" s="533"/>
      <c r="M188" s="533"/>
      <c r="N188" s="533"/>
      <c r="O188" s="533"/>
      <c r="P188" s="533"/>
      <c r="Q188" s="533"/>
      <c r="R188" s="533"/>
      <c r="S188" s="533"/>
      <c r="T188" s="533"/>
      <c r="U188" s="533"/>
      <c r="V188" s="533"/>
      <c r="W188" s="533"/>
    </row>
    <row r="189" spans="1:23" s="531" customFormat="1" ht="19.5" customHeight="1">
      <c r="A189" s="532"/>
      <c r="B189" s="533"/>
      <c r="C189" s="533"/>
      <c r="D189" s="533"/>
      <c r="E189" s="533"/>
      <c r="F189" s="533"/>
      <c r="G189" s="533"/>
      <c r="H189" s="533"/>
      <c r="I189" s="533"/>
      <c r="J189" s="533"/>
      <c r="K189" s="533"/>
      <c r="L189" s="533"/>
      <c r="M189" s="533"/>
      <c r="N189" s="533"/>
      <c r="O189" s="533"/>
      <c r="P189" s="533"/>
      <c r="Q189" s="533"/>
      <c r="R189" s="533"/>
      <c r="S189" s="533"/>
      <c r="T189" s="533"/>
      <c r="U189" s="533"/>
      <c r="V189" s="533"/>
      <c r="W189" s="533"/>
    </row>
    <row r="190" spans="1:23" s="531" customFormat="1" ht="19.5" customHeight="1">
      <c r="A190" s="532"/>
      <c r="B190" s="533"/>
      <c r="C190" s="533"/>
      <c r="D190" s="533"/>
      <c r="E190" s="533"/>
      <c r="F190" s="533"/>
      <c r="G190" s="533"/>
      <c r="H190" s="533"/>
      <c r="I190" s="533"/>
      <c r="J190" s="533"/>
      <c r="K190" s="533"/>
      <c r="L190" s="533"/>
      <c r="M190" s="533"/>
      <c r="N190" s="533"/>
      <c r="O190" s="533"/>
      <c r="P190" s="533"/>
      <c r="Q190" s="533"/>
      <c r="R190" s="533"/>
      <c r="S190" s="533"/>
      <c r="T190" s="533"/>
      <c r="U190" s="533"/>
      <c r="V190" s="533"/>
      <c r="W190" s="533"/>
    </row>
    <row r="191" spans="1:23" s="531" customFormat="1" ht="19.5" customHeight="1">
      <c r="A191" s="532"/>
      <c r="B191" s="533"/>
      <c r="C191" s="533"/>
      <c r="D191" s="533"/>
      <c r="E191" s="533"/>
      <c r="F191" s="533"/>
      <c r="G191" s="533"/>
      <c r="H191" s="533"/>
      <c r="I191" s="533"/>
      <c r="J191" s="533"/>
      <c r="K191" s="533"/>
      <c r="L191" s="533"/>
      <c r="M191" s="533"/>
      <c r="N191" s="533"/>
      <c r="O191" s="533"/>
      <c r="P191" s="533"/>
      <c r="Q191" s="533"/>
      <c r="R191" s="533"/>
      <c r="S191" s="533"/>
      <c r="T191" s="533"/>
      <c r="U191" s="533"/>
      <c r="V191" s="533"/>
      <c r="W191" s="533"/>
    </row>
    <row r="192" spans="1:23" s="531" customFormat="1" ht="19.5" customHeight="1">
      <c r="A192" s="532"/>
      <c r="B192" s="533"/>
      <c r="C192" s="533"/>
      <c r="D192" s="533"/>
      <c r="E192" s="533"/>
      <c r="F192" s="533"/>
      <c r="G192" s="533"/>
      <c r="H192" s="533"/>
      <c r="I192" s="533"/>
      <c r="J192" s="533"/>
      <c r="K192" s="533"/>
      <c r="L192" s="533"/>
      <c r="M192" s="533"/>
      <c r="N192" s="533"/>
      <c r="O192" s="533"/>
      <c r="P192" s="533"/>
      <c r="Q192" s="533"/>
      <c r="R192" s="533"/>
      <c r="S192" s="533"/>
      <c r="T192" s="533"/>
      <c r="U192" s="533"/>
      <c r="V192" s="533"/>
      <c r="W192" s="533"/>
    </row>
    <row r="193" spans="1:23" s="531" customFormat="1" ht="19.5" customHeight="1">
      <c r="A193" s="532"/>
      <c r="B193" s="533"/>
      <c r="C193" s="533"/>
      <c r="D193" s="533"/>
      <c r="E193" s="533"/>
      <c r="F193" s="533"/>
      <c r="G193" s="533"/>
      <c r="H193" s="533"/>
      <c r="I193" s="533"/>
      <c r="J193" s="533"/>
      <c r="K193" s="533"/>
      <c r="L193" s="533"/>
      <c r="M193" s="533"/>
      <c r="N193" s="533"/>
      <c r="O193" s="533"/>
      <c r="P193" s="533"/>
      <c r="Q193" s="533"/>
      <c r="R193" s="533"/>
      <c r="S193" s="533"/>
      <c r="T193" s="533"/>
      <c r="U193" s="533"/>
      <c r="V193" s="533"/>
      <c r="W193" s="533"/>
    </row>
    <row r="194" spans="1:23" s="531" customFormat="1" ht="19.5" customHeight="1">
      <c r="A194" s="532"/>
      <c r="B194" s="533"/>
      <c r="C194" s="533"/>
      <c r="D194" s="533"/>
      <c r="E194" s="533"/>
      <c r="F194" s="533"/>
      <c r="G194" s="533"/>
      <c r="H194" s="533"/>
      <c r="I194" s="533"/>
      <c r="J194" s="533"/>
      <c r="K194" s="533"/>
      <c r="L194" s="533"/>
      <c r="M194" s="533"/>
      <c r="N194" s="533"/>
      <c r="O194" s="533"/>
      <c r="P194" s="533"/>
      <c r="Q194" s="533"/>
      <c r="R194" s="533"/>
      <c r="S194" s="533"/>
      <c r="T194" s="533"/>
      <c r="U194" s="533"/>
      <c r="V194" s="533"/>
      <c r="W194" s="533"/>
    </row>
    <row r="195" spans="1:23" s="531" customFormat="1" ht="19.5" customHeight="1">
      <c r="A195" s="532"/>
      <c r="B195" s="533"/>
      <c r="C195" s="533"/>
      <c r="D195" s="533"/>
      <c r="E195" s="533"/>
      <c r="F195" s="533"/>
      <c r="G195" s="533"/>
      <c r="H195" s="533"/>
      <c r="I195" s="533"/>
      <c r="J195" s="533"/>
      <c r="K195" s="533"/>
      <c r="L195" s="533"/>
      <c r="M195" s="533"/>
      <c r="N195" s="533"/>
      <c r="O195" s="533"/>
      <c r="P195" s="533"/>
      <c r="Q195" s="533"/>
      <c r="R195" s="533"/>
      <c r="S195" s="533"/>
      <c r="T195" s="533"/>
      <c r="U195" s="533"/>
      <c r="V195" s="533"/>
      <c r="W195" s="533"/>
    </row>
    <row r="196" spans="1:23" s="531" customFormat="1" ht="19.5" customHeight="1">
      <c r="A196" s="532"/>
      <c r="B196" s="533"/>
      <c r="C196" s="533"/>
      <c r="D196" s="533"/>
      <c r="E196" s="533"/>
      <c r="F196" s="533"/>
      <c r="G196" s="533"/>
      <c r="H196" s="533"/>
      <c r="I196" s="533"/>
      <c r="J196" s="533"/>
      <c r="K196" s="533"/>
      <c r="L196" s="533"/>
      <c r="M196" s="533"/>
      <c r="N196" s="533"/>
      <c r="O196" s="533"/>
      <c r="P196" s="533"/>
      <c r="Q196" s="533"/>
      <c r="R196" s="533"/>
      <c r="S196" s="533"/>
      <c r="T196" s="533"/>
      <c r="U196" s="533"/>
      <c r="V196" s="533"/>
      <c r="W196" s="533"/>
    </row>
    <row r="197" spans="1:23" s="531" customFormat="1" ht="19.5" customHeight="1">
      <c r="A197" s="532"/>
      <c r="B197" s="533"/>
      <c r="C197" s="533"/>
      <c r="D197" s="533"/>
      <c r="E197" s="533"/>
      <c r="F197" s="533"/>
      <c r="G197" s="533"/>
      <c r="H197" s="533"/>
      <c r="I197" s="533"/>
      <c r="J197" s="533"/>
      <c r="K197" s="533"/>
      <c r="L197" s="533"/>
      <c r="M197" s="533"/>
      <c r="N197" s="533"/>
      <c r="O197" s="533"/>
      <c r="P197" s="533"/>
      <c r="Q197" s="533"/>
      <c r="R197" s="533"/>
      <c r="S197" s="533"/>
      <c r="T197" s="533"/>
      <c r="U197" s="533"/>
      <c r="V197" s="533"/>
      <c r="W197" s="533"/>
    </row>
    <row r="198" spans="1:23" s="531" customFormat="1" ht="19.5" customHeight="1">
      <c r="A198" s="532"/>
      <c r="B198" s="533"/>
      <c r="C198" s="533"/>
      <c r="D198" s="533"/>
      <c r="E198" s="533"/>
      <c r="F198" s="533"/>
      <c r="G198" s="533"/>
      <c r="H198" s="533"/>
      <c r="I198" s="533"/>
      <c r="J198" s="533"/>
      <c r="K198" s="533"/>
      <c r="L198" s="533"/>
      <c r="M198" s="533"/>
      <c r="N198" s="533"/>
      <c r="O198" s="533"/>
      <c r="P198" s="533"/>
      <c r="Q198" s="533"/>
      <c r="R198" s="533"/>
      <c r="S198" s="533"/>
      <c r="T198" s="533"/>
      <c r="U198" s="533"/>
      <c r="V198" s="533"/>
      <c r="W198" s="533"/>
    </row>
    <row r="199" spans="1:23" s="531" customFormat="1" ht="19.5" customHeight="1">
      <c r="A199" s="532"/>
      <c r="B199" s="533"/>
      <c r="C199" s="533"/>
      <c r="D199" s="533"/>
      <c r="E199" s="533"/>
      <c r="F199" s="533"/>
      <c r="G199" s="533"/>
      <c r="H199" s="533"/>
      <c r="I199" s="533"/>
      <c r="J199" s="533"/>
      <c r="K199" s="533"/>
      <c r="L199" s="533"/>
      <c r="M199" s="533"/>
      <c r="N199" s="533"/>
      <c r="O199" s="533"/>
      <c r="P199" s="533"/>
      <c r="Q199" s="533"/>
      <c r="R199" s="533"/>
      <c r="S199" s="533"/>
      <c r="T199" s="533"/>
      <c r="U199" s="533"/>
      <c r="V199" s="533"/>
      <c r="W199" s="533"/>
    </row>
    <row r="200" ht="19.5" customHeight="1"/>
    <row r="201" ht="9.75" customHeight="1"/>
    <row r="202" ht="19.5" customHeight="1"/>
    <row r="203" ht="19.5" customHeight="1"/>
    <row r="204" ht="19.5" customHeight="1"/>
    <row r="205" spans="1:23" s="531" customFormat="1" ht="19.5" customHeight="1">
      <c r="A205" s="532"/>
      <c r="B205" s="533"/>
      <c r="C205" s="533"/>
      <c r="D205" s="533"/>
      <c r="E205" s="533"/>
      <c r="F205" s="533"/>
      <c r="G205" s="533"/>
      <c r="H205" s="533"/>
      <c r="I205" s="533"/>
      <c r="J205" s="533"/>
      <c r="K205" s="533"/>
      <c r="L205" s="533"/>
      <c r="M205" s="533"/>
      <c r="N205" s="533"/>
      <c r="O205" s="533"/>
      <c r="P205" s="533"/>
      <c r="Q205" s="533"/>
      <c r="R205" s="533"/>
      <c r="S205" s="533"/>
      <c r="T205" s="533"/>
      <c r="U205" s="533"/>
      <c r="V205" s="533"/>
      <c r="W205" s="533"/>
    </row>
    <row r="206" spans="1:23" s="531" customFormat="1" ht="19.5" customHeight="1">
      <c r="A206" s="532"/>
      <c r="B206" s="533"/>
      <c r="C206" s="533"/>
      <c r="D206" s="533"/>
      <c r="E206" s="533"/>
      <c r="F206" s="533"/>
      <c r="G206" s="533"/>
      <c r="H206" s="533"/>
      <c r="I206" s="533"/>
      <c r="J206" s="533"/>
      <c r="K206" s="533"/>
      <c r="L206" s="533"/>
      <c r="M206" s="533"/>
      <c r="N206" s="533"/>
      <c r="O206" s="533"/>
      <c r="P206" s="533"/>
      <c r="Q206" s="533"/>
      <c r="R206" s="533"/>
      <c r="S206" s="533"/>
      <c r="T206" s="533"/>
      <c r="U206" s="533"/>
      <c r="V206" s="533"/>
      <c r="W206" s="533"/>
    </row>
    <row r="207" spans="1:23" s="531" customFormat="1" ht="19.5" customHeight="1">
      <c r="A207" s="532"/>
      <c r="B207" s="533"/>
      <c r="C207" s="533"/>
      <c r="D207" s="533"/>
      <c r="E207" s="533"/>
      <c r="F207" s="533"/>
      <c r="G207" s="533"/>
      <c r="H207" s="533"/>
      <c r="I207" s="533"/>
      <c r="J207" s="533"/>
      <c r="K207" s="533"/>
      <c r="L207" s="533"/>
      <c r="M207" s="533"/>
      <c r="N207" s="533"/>
      <c r="O207" s="533"/>
      <c r="P207" s="533"/>
      <c r="Q207" s="533"/>
      <c r="R207" s="533"/>
      <c r="S207" s="533"/>
      <c r="T207" s="533"/>
      <c r="U207" s="533"/>
      <c r="V207" s="533"/>
      <c r="W207" s="533"/>
    </row>
    <row r="208" spans="1:23" s="531" customFormat="1" ht="19.5" customHeight="1">
      <c r="A208" s="532"/>
      <c r="B208" s="533"/>
      <c r="C208" s="533"/>
      <c r="D208" s="533"/>
      <c r="E208" s="533"/>
      <c r="F208" s="533"/>
      <c r="G208" s="533"/>
      <c r="H208" s="533"/>
      <c r="I208" s="533"/>
      <c r="J208" s="533"/>
      <c r="K208" s="533"/>
      <c r="L208" s="533"/>
      <c r="M208" s="533"/>
      <c r="N208" s="533"/>
      <c r="O208" s="533"/>
      <c r="P208" s="533"/>
      <c r="Q208" s="533"/>
      <c r="R208" s="533"/>
      <c r="S208" s="533"/>
      <c r="T208" s="533"/>
      <c r="U208" s="533"/>
      <c r="V208" s="533"/>
      <c r="W208" s="533"/>
    </row>
    <row r="209" spans="1:23" s="531" customFormat="1" ht="19.5" customHeight="1">
      <c r="A209" s="532"/>
      <c r="B209" s="533"/>
      <c r="C209" s="533"/>
      <c r="D209" s="533"/>
      <c r="E209" s="533"/>
      <c r="F209" s="533"/>
      <c r="G209" s="533"/>
      <c r="H209" s="533"/>
      <c r="I209" s="533"/>
      <c r="J209" s="533"/>
      <c r="K209" s="533"/>
      <c r="L209" s="533"/>
      <c r="M209" s="533"/>
      <c r="N209" s="533"/>
      <c r="O209" s="533"/>
      <c r="P209" s="533"/>
      <c r="Q209" s="533"/>
      <c r="R209" s="533"/>
      <c r="S209" s="533"/>
      <c r="T209" s="533"/>
      <c r="U209" s="533"/>
      <c r="V209" s="533"/>
      <c r="W209" s="533"/>
    </row>
    <row r="210" spans="1:23" s="531" customFormat="1" ht="19.5" customHeight="1">
      <c r="A210" s="532"/>
      <c r="B210" s="533"/>
      <c r="C210" s="533"/>
      <c r="D210" s="533"/>
      <c r="E210" s="533"/>
      <c r="F210" s="533"/>
      <c r="G210" s="533"/>
      <c r="H210" s="533"/>
      <c r="I210" s="533"/>
      <c r="J210" s="533"/>
      <c r="K210" s="533"/>
      <c r="L210" s="533"/>
      <c r="M210" s="533"/>
      <c r="N210" s="533"/>
      <c r="O210" s="533"/>
      <c r="P210" s="533"/>
      <c r="Q210" s="533"/>
      <c r="R210" s="533"/>
      <c r="S210" s="533"/>
      <c r="T210" s="533"/>
      <c r="U210" s="533"/>
      <c r="V210" s="533"/>
      <c r="W210" s="533"/>
    </row>
    <row r="211" spans="1:23" s="531" customFormat="1" ht="19.5" customHeight="1">
      <c r="A211" s="532"/>
      <c r="B211" s="533"/>
      <c r="C211" s="533"/>
      <c r="D211" s="533"/>
      <c r="E211" s="533"/>
      <c r="F211" s="533"/>
      <c r="G211" s="533"/>
      <c r="H211" s="533"/>
      <c r="I211" s="533"/>
      <c r="J211" s="533"/>
      <c r="K211" s="533"/>
      <c r="L211" s="533"/>
      <c r="M211" s="533"/>
      <c r="N211" s="533"/>
      <c r="O211" s="533"/>
      <c r="P211" s="533"/>
      <c r="Q211" s="533"/>
      <c r="R211" s="533"/>
      <c r="S211" s="533"/>
      <c r="T211" s="533"/>
      <c r="U211" s="533"/>
      <c r="V211" s="533"/>
      <c r="W211" s="533"/>
    </row>
    <row r="212" spans="1:23" s="531" customFormat="1" ht="19.5" customHeight="1">
      <c r="A212" s="532"/>
      <c r="B212" s="533"/>
      <c r="C212" s="533"/>
      <c r="D212" s="533"/>
      <c r="E212" s="533"/>
      <c r="F212" s="533"/>
      <c r="G212" s="533"/>
      <c r="H212" s="533"/>
      <c r="I212" s="533"/>
      <c r="J212" s="533"/>
      <c r="K212" s="533"/>
      <c r="L212" s="533"/>
      <c r="M212" s="533"/>
      <c r="N212" s="533"/>
      <c r="O212" s="533"/>
      <c r="P212" s="533"/>
      <c r="Q212" s="533"/>
      <c r="R212" s="533"/>
      <c r="S212" s="533"/>
      <c r="T212" s="533"/>
      <c r="U212" s="533"/>
      <c r="V212" s="533"/>
      <c r="W212" s="533"/>
    </row>
    <row r="213" spans="1:23" s="531" customFormat="1" ht="19.5" customHeight="1">
      <c r="A213" s="532"/>
      <c r="B213" s="533"/>
      <c r="C213" s="533"/>
      <c r="D213" s="533"/>
      <c r="E213" s="533"/>
      <c r="F213" s="533"/>
      <c r="G213" s="533"/>
      <c r="H213" s="533"/>
      <c r="I213" s="533"/>
      <c r="J213" s="533"/>
      <c r="K213" s="533"/>
      <c r="L213" s="533"/>
      <c r="M213" s="533"/>
      <c r="N213" s="533"/>
      <c r="O213" s="533"/>
      <c r="P213" s="533"/>
      <c r="Q213" s="533"/>
      <c r="R213" s="533"/>
      <c r="S213" s="533"/>
      <c r="T213" s="533"/>
      <c r="U213" s="533"/>
      <c r="V213" s="533"/>
      <c r="W213" s="533"/>
    </row>
    <row r="214" spans="1:23" s="531" customFormat="1" ht="19.5" customHeight="1">
      <c r="A214" s="532"/>
      <c r="B214" s="533"/>
      <c r="C214" s="533"/>
      <c r="D214" s="533"/>
      <c r="E214" s="533"/>
      <c r="F214" s="533"/>
      <c r="G214" s="533"/>
      <c r="H214" s="533"/>
      <c r="I214" s="533"/>
      <c r="J214" s="533"/>
      <c r="K214" s="533"/>
      <c r="L214" s="533"/>
      <c r="M214" s="533"/>
      <c r="N214" s="533"/>
      <c r="O214" s="533"/>
      <c r="P214" s="533"/>
      <c r="Q214" s="533"/>
      <c r="R214" s="533"/>
      <c r="S214" s="533"/>
      <c r="T214" s="533"/>
      <c r="U214" s="533"/>
      <c r="V214" s="533"/>
      <c r="W214" s="533"/>
    </row>
    <row r="215" spans="1:23" s="531" customFormat="1" ht="19.5" customHeight="1">
      <c r="A215" s="532"/>
      <c r="B215" s="533"/>
      <c r="C215" s="533"/>
      <c r="D215" s="533"/>
      <c r="E215" s="533"/>
      <c r="F215" s="533"/>
      <c r="G215" s="533"/>
      <c r="H215" s="533"/>
      <c r="I215" s="533"/>
      <c r="J215" s="533"/>
      <c r="K215" s="533"/>
      <c r="L215" s="533"/>
      <c r="M215" s="533"/>
      <c r="N215" s="533"/>
      <c r="O215" s="533"/>
      <c r="P215" s="533"/>
      <c r="Q215" s="533"/>
      <c r="R215" s="533"/>
      <c r="S215" s="533"/>
      <c r="T215" s="533"/>
      <c r="U215" s="533"/>
      <c r="V215" s="533"/>
      <c r="W215" s="533"/>
    </row>
    <row r="216" spans="1:23" s="531" customFormat="1" ht="19.5" customHeight="1">
      <c r="A216" s="532"/>
      <c r="B216" s="533"/>
      <c r="C216" s="533"/>
      <c r="D216" s="533"/>
      <c r="E216" s="533"/>
      <c r="F216" s="533"/>
      <c r="G216" s="533"/>
      <c r="H216" s="533"/>
      <c r="I216" s="533"/>
      <c r="J216" s="533"/>
      <c r="K216" s="533"/>
      <c r="L216" s="533"/>
      <c r="M216" s="533"/>
      <c r="N216" s="533"/>
      <c r="O216" s="533"/>
      <c r="P216" s="533"/>
      <c r="Q216" s="533"/>
      <c r="R216" s="533"/>
      <c r="S216" s="533"/>
      <c r="T216" s="533"/>
      <c r="U216" s="533"/>
      <c r="V216" s="533"/>
      <c r="W216" s="533"/>
    </row>
    <row r="217" spans="1:23" s="531" customFormat="1" ht="19.5" customHeight="1">
      <c r="A217" s="532"/>
      <c r="B217" s="533"/>
      <c r="C217" s="533"/>
      <c r="D217" s="533"/>
      <c r="E217" s="533"/>
      <c r="F217" s="533"/>
      <c r="G217" s="533"/>
      <c r="H217" s="533"/>
      <c r="I217" s="533"/>
      <c r="J217" s="533"/>
      <c r="K217" s="533"/>
      <c r="L217" s="533"/>
      <c r="M217" s="533"/>
      <c r="N217" s="533"/>
      <c r="O217" s="533"/>
      <c r="P217" s="533"/>
      <c r="Q217" s="533"/>
      <c r="R217" s="533"/>
      <c r="S217" s="533"/>
      <c r="T217" s="533"/>
      <c r="U217" s="533"/>
      <c r="V217" s="533"/>
      <c r="W217" s="533"/>
    </row>
    <row r="218" spans="1:23" s="531" customFormat="1" ht="19.5" customHeight="1">
      <c r="A218" s="532"/>
      <c r="B218" s="533"/>
      <c r="C218" s="533"/>
      <c r="D218" s="533"/>
      <c r="E218" s="533"/>
      <c r="F218" s="533"/>
      <c r="G218" s="533"/>
      <c r="H218" s="533"/>
      <c r="I218" s="533"/>
      <c r="J218" s="533"/>
      <c r="K218" s="533"/>
      <c r="L218" s="533"/>
      <c r="M218" s="533"/>
      <c r="N218" s="533"/>
      <c r="O218" s="533"/>
      <c r="P218" s="533"/>
      <c r="Q218" s="533"/>
      <c r="R218" s="533"/>
      <c r="S218" s="533"/>
      <c r="T218" s="533"/>
      <c r="U218" s="533"/>
      <c r="V218" s="533"/>
      <c r="W218" s="533"/>
    </row>
    <row r="219" spans="1:23" s="531" customFormat="1" ht="19.5" customHeight="1">
      <c r="A219" s="532"/>
      <c r="B219" s="533"/>
      <c r="C219" s="533"/>
      <c r="D219" s="533"/>
      <c r="E219" s="533"/>
      <c r="F219" s="533"/>
      <c r="G219" s="533"/>
      <c r="H219" s="533"/>
      <c r="I219" s="533"/>
      <c r="J219" s="533"/>
      <c r="K219" s="533"/>
      <c r="L219" s="533"/>
      <c r="M219" s="533"/>
      <c r="N219" s="533"/>
      <c r="O219" s="533"/>
      <c r="P219" s="533"/>
      <c r="Q219" s="533"/>
      <c r="R219" s="533"/>
      <c r="S219" s="533"/>
      <c r="T219" s="533"/>
      <c r="U219" s="533"/>
      <c r="V219" s="533"/>
      <c r="W219" s="533"/>
    </row>
    <row r="220" spans="1:23" s="531" customFormat="1" ht="19.5" customHeight="1">
      <c r="A220" s="532"/>
      <c r="B220" s="533"/>
      <c r="C220" s="533"/>
      <c r="D220" s="533"/>
      <c r="E220" s="533"/>
      <c r="F220" s="533"/>
      <c r="G220" s="533"/>
      <c r="H220" s="533"/>
      <c r="I220" s="533"/>
      <c r="J220" s="533"/>
      <c r="K220" s="533"/>
      <c r="L220" s="533"/>
      <c r="M220" s="533"/>
      <c r="N220" s="533"/>
      <c r="O220" s="533"/>
      <c r="P220" s="533"/>
      <c r="Q220" s="533"/>
      <c r="R220" s="533"/>
      <c r="S220" s="533"/>
      <c r="T220" s="533"/>
      <c r="U220" s="533"/>
      <c r="V220" s="533"/>
      <c r="W220" s="533"/>
    </row>
    <row r="221" spans="1:23" s="531" customFormat="1" ht="19.5" customHeight="1">
      <c r="A221" s="532"/>
      <c r="B221" s="533"/>
      <c r="C221" s="533"/>
      <c r="D221" s="533"/>
      <c r="E221" s="533"/>
      <c r="F221" s="533"/>
      <c r="G221" s="533"/>
      <c r="H221" s="533"/>
      <c r="I221" s="533"/>
      <c r="J221" s="533"/>
      <c r="K221" s="533"/>
      <c r="L221" s="533"/>
      <c r="M221" s="533"/>
      <c r="N221" s="533"/>
      <c r="O221" s="533"/>
      <c r="P221" s="533"/>
      <c r="Q221" s="533"/>
      <c r="R221" s="533"/>
      <c r="S221" s="533"/>
      <c r="T221" s="533"/>
      <c r="U221" s="533"/>
      <c r="V221" s="533"/>
      <c r="W221" s="533"/>
    </row>
    <row r="222" spans="1:23" s="531" customFormat="1" ht="19.5" customHeight="1">
      <c r="A222" s="532"/>
      <c r="B222" s="533"/>
      <c r="C222" s="533"/>
      <c r="D222" s="533"/>
      <c r="E222" s="533"/>
      <c r="F222" s="533"/>
      <c r="G222" s="533"/>
      <c r="H222" s="533"/>
      <c r="I222" s="533"/>
      <c r="J222" s="533"/>
      <c r="K222" s="533"/>
      <c r="L222" s="533"/>
      <c r="M222" s="533"/>
      <c r="N222" s="533"/>
      <c r="O222" s="533"/>
      <c r="P222" s="533"/>
      <c r="Q222" s="533"/>
      <c r="R222" s="533"/>
      <c r="S222" s="533"/>
      <c r="T222" s="533"/>
      <c r="U222" s="533"/>
      <c r="V222" s="533"/>
      <c r="W222" s="533"/>
    </row>
    <row r="223" spans="1:23" s="531" customFormat="1" ht="19.5" customHeight="1">
      <c r="A223" s="532"/>
      <c r="B223" s="533"/>
      <c r="C223" s="533"/>
      <c r="D223" s="533"/>
      <c r="E223" s="533"/>
      <c r="F223" s="533"/>
      <c r="G223" s="533"/>
      <c r="H223" s="533"/>
      <c r="I223" s="533"/>
      <c r="J223" s="533"/>
      <c r="K223" s="533"/>
      <c r="L223" s="533"/>
      <c r="M223" s="533"/>
      <c r="N223" s="533"/>
      <c r="O223" s="533"/>
      <c r="P223" s="533"/>
      <c r="Q223" s="533"/>
      <c r="R223" s="533"/>
      <c r="S223" s="533"/>
      <c r="T223" s="533"/>
      <c r="U223" s="533"/>
      <c r="V223" s="533"/>
      <c r="W223" s="533"/>
    </row>
    <row r="224" spans="1:23" s="531" customFormat="1" ht="19.5" customHeight="1">
      <c r="A224" s="532"/>
      <c r="B224" s="533"/>
      <c r="C224" s="533"/>
      <c r="D224" s="533"/>
      <c r="E224" s="533"/>
      <c r="F224" s="533"/>
      <c r="G224" s="533"/>
      <c r="H224" s="533"/>
      <c r="I224" s="533"/>
      <c r="J224" s="533"/>
      <c r="K224" s="533"/>
      <c r="L224" s="533"/>
      <c r="M224" s="533"/>
      <c r="N224" s="533"/>
      <c r="O224" s="533"/>
      <c r="P224" s="533"/>
      <c r="Q224" s="533"/>
      <c r="R224" s="533"/>
      <c r="S224" s="533"/>
      <c r="T224" s="533"/>
      <c r="U224" s="533"/>
      <c r="V224" s="533"/>
      <c r="W224" s="533"/>
    </row>
    <row r="225" spans="1:23" s="531" customFormat="1" ht="19.5" customHeight="1">
      <c r="A225" s="532"/>
      <c r="B225" s="533"/>
      <c r="C225" s="533"/>
      <c r="D225" s="533"/>
      <c r="E225" s="533"/>
      <c r="F225" s="533"/>
      <c r="G225" s="533"/>
      <c r="H225" s="533"/>
      <c r="I225" s="533"/>
      <c r="J225" s="533"/>
      <c r="K225" s="533"/>
      <c r="L225" s="533"/>
      <c r="M225" s="533"/>
      <c r="N225" s="533"/>
      <c r="O225" s="533"/>
      <c r="P225" s="533"/>
      <c r="Q225" s="533"/>
      <c r="R225" s="533"/>
      <c r="S225" s="533"/>
      <c r="T225" s="533"/>
      <c r="U225" s="533"/>
      <c r="V225" s="533"/>
      <c r="W225" s="533"/>
    </row>
    <row r="226" spans="1:23" s="531" customFormat="1" ht="19.5" customHeight="1">
      <c r="A226" s="532"/>
      <c r="B226" s="533"/>
      <c r="C226" s="533"/>
      <c r="D226" s="533"/>
      <c r="E226" s="533"/>
      <c r="F226" s="533"/>
      <c r="G226" s="533"/>
      <c r="H226" s="533"/>
      <c r="I226" s="533"/>
      <c r="J226" s="533"/>
      <c r="K226" s="533"/>
      <c r="L226" s="533"/>
      <c r="M226" s="533"/>
      <c r="N226" s="533"/>
      <c r="O226" s="533"/>
      <c r="P226" s="533"/>
      <c r="Q226" s="533"/>
      <c r="R226" s="533"/>
      <c r="S226" s="533"/>
      <c r="T226" s="533"/>
      <c r="U226" s="533"/>
      <c r="V226" s="533"/>
      <c r="W226" s="533"/>
    </row>
    <row r="227" spans="1:23" s="531" customFormat="1" ht="19.5" customHeight="1">
      <c r="A227" s="532"/>
      <c r="B227" s="533"/>
      <c r="C227" s="533"/>
      <c r="D227" s="533"/>
      <c r="E227" s="533"/>
      <c r="F227" s="533"/>
      <c r="G227" s="533"/>
      <c r="H227" s="533"/>
      <c r="I227" s="533"/>
      <c r="J227" s="533"/>
      <c r="K227" s="533"/>
      <c r="L227" s="533"/>
      <c r="M227" s="533"/>
      <c r="N227" s="533"/>
      <c r="O227" s="533"/>
      <c r="P227" s="533"/>
      <c r="Q227" s="533"/>
      <c r="R227" s="533"/>
      <c r="S227" s="533"/>
      <c r="T227" s="533"/>
      <c r="U227" s="533"/>
      <c r="V227" s="533"/>
      <c r="W227" s="533"/>
    </row>
    <row r="228" spans="1:23" s="531" customFormat="1" ht="19.5" customHeight="1">
      <c r="A228" s="532"/>
      <c r="B228" s="533"/>
      <c r="C228" s="533"/>
      <c r="D228" s="533"/>
      <c r="E228" s="533"/>
      <c r="F228" s="533"/>
      <c r="G228" s="533"/>
      <c r="H228" s="533"/>
      <c r="I228" s="533"/>
      <c r="J228" s="533"/>
      <c r="K228" s="533"/>
      <c r="L228" s="533"/>
      <c r="M228" s="533"/>
      <c r="N228" s="533"/>
      <c r="O228" s="533"/>
      <c r="P228" s="533"/>
      <c r="Q228" s="533"/>
      <c r="R228" s="533"/>
      <c r="S228" s="533"/>
      <c r="T228" s="533"/>
      <c r="U228" s="533"/>
      <c r="V228" s="533"/>
      <c r="W228" s="533"/>
    </row>
    <row r="229" spans="1:23" s="531" customFormat="1" ht="19.5" customHeight="1">
      <c r="A229" s="532"/>
      <c r="B229" s="533"/>
      <c r="C229" s="533"/>
      <c r="D229" s="533"/>
      <c r="E229" s="533"/>
      <c r="F229" s="533"/>
      <c r="G229" s="533"/>
      <c r="H229" s="533"/>
      <c r="I229" s="533"/>
      <c r="J229" s="533"/>
      <c r="K229" s="533"/>
      <c r="L229" s="533"/>
      <c r="M229" s="533"/>
      <c r="N229" s="533"/>
      <c r="O229" s="533"/>
      <c r="P229" s="533"/>
      <c r="Q229" s="533"/>
      <c r="R229" s="533"/>
      <c r="S229" s="533"/>
      <c r="T229" s="533"/>
      <c r="U229" s="533"/>
      <c r="V229" s="533"/>
      <c r="W229" s="533"/>
    </row>
    <row r="230" spans="1:23" s="531" customFormat="1" ht="19.5" customHeight="1">
      <c r="A230" s="532"/>
      <c r="B230" s="533"/>
      <c r="C230" s="533"/>
      <c r="D230" s="533"/>
      <c r="E230" s="533"/>
      <c r="F230" s="533"/>
      <c r="G230" s="533"/>
      <c r="H230" s="533"/>
      <c r="I230" s="533"/>
      <c r="J230" s="533"/>
      <c r="K230" s="533"/>
      <c r="L230" s="533"/>
      <c r="M230" s="533"/>
      <c r="N230" s="533"/>
      <c r="O230" s="533"/>
      <c r="P230" s="533"/>
      <c r="Q230" s="533"/>
      <c r="R230" s="533"/>
      <c r="S230" s="533"/>
      <c r="T230" s="533"/>
      <c r="U230" s="533"/>
      <c r="V230" s="533"/>
      <c r="W230" s="533"/>
    </row>
    <row r="231" spans="1:23" s="531" customFormat="1" ht="19.5" customHeight="1">
      <c r="A231" s="532"/>
      <c r="B231" s="533"/>
      <c r="C231" s="533"/>
      <c r="D231" s="533"/>
      <c r="E231" s="533"/>
      <c r="F231" s="533"/>
      <c r="G231" s="533"/>
      <c r="H231" s="533"/>
      <c r="I231" s="533"/>
      <c r="J231" s="533"/>
      <c r="K231" s="533"/>
      <c r="L231" s="533"/>
      <c r="M231" s="533"/>
      <c r="N231" s="533"/>
      <c r="O231" s="533"/>
      <c r="P231" s="533"/>
      <c r="Q231" s="533"/>
      <c r="R231" s="533"/>
      <c r="S231" s="533"/>
      <c r="T231" s="533"/>
      <c r="U231" s="533"/>
      <c r="V231" s="533"/>
      <c r="W231" s="533"/>
    </row>
    <row r="232" spans="1:23" s="531" customFormat="1" ht="19.5" customHeight="1">
      <c r="A232" s="532"/>
      <c r="B232" s="533"/>
      <c r="C232" s="533"/>
      <c r="D232" s="533"/>
      <c r="E232" s="533"/>
      <c r="F232" s="533"/>
      <c r="G232" s="533"/>
      <c r="H232" s="533"/>
      <c r="I232" s="533"/>
      <c r="J232" s="533"/>
      <c r="K232" s="533"/>
      <c r="L232" s="533"/>
      <c r="M232" s="533"/>
      <c r="N232" s="533"/>
      <c r="O232" s="533"/>
      <c r="P232" s="533"/>
      <c r="Q232" s="533"/>
      <c r="R232" s="533"/>
      <c r="S232" s="533"/>
      <c r="T232" s="533"/>
      <c r="U232" s="533"/>
      <c r="V232" s="533"/>
      <c r="W232" s="533"/>
    </row>
    <row r="233" spans="1:23" s="531" customFormat="1" ht="19.5" customHeight="1">
      <c r="A233" s="532"/>
      <c r="B233" s="533"/>
      <c r="C233" s="533"/>
      <c r="D233" s="533"/>
      <c r="E233" s="533"/>
      <c r="F233" s="533"/>
      <c r="G233" s="533"/>
      <c r="H233" s="533"/>
      <c r="I233" s="533"/>
      <c r="J233" s="533"/>
      <c r="K233" s="533"/>
      <c r="L233" s="533"/>
      <c r="M233" s="533"/>
      <c r="N233" s="533"/>
      <c r="O233" s="533"/>
      <c r="P233" s="533"/>
      <c r="Q233" s="533"/>
      <c r="R233" s="533"/>
      <c r="S233" s="533"/>
      <c r="T233" s="533"/>
      <c r="U233" s="533"/>
      <c r="V233" s="533"/>
      <c r="W233" s="533"/>
    </row>
    <row r="234" spans="1:23" s="531" customFormat="1" ht="19.5" customHeight="1">
      <c r="A234" s="532"/>
      <c r="B234" s="533"/>
      <c r="C234" s="533"/>
      <c r="D234" s="533"/>
      <c r="E234" s="533"/>
      <c r="F234" s="533"/>
      <c r="G234" s="533"/>
      <c r="H234" s="533"/>
      <c r="I234" s="533"/>
      <c r="J234" s="533"/>
      <c r="K234" s="533"/>
      <c r="L234" s="533"/>
      <c r="M234" s="533"/>
      <c r="N234" s="533"/>
      <c r="O234" s="533"/>
      <c r="P234" s="533"/>
      <c r="Q234" s="533"/>
      <c r="R234" s="533"/>
      <c r="S234" s="533"/>
      <c r="T234" s="533"/>
      <c r="U234" s="533"/>
      <c r="V234" s="533"/>
      <c r="W234" s="533"/>
    </row>
    <row r="235" spans="1:23" s="531" customFormat="1" ht="19.5" customHeight="1">
      <c r="A235" s="532"/>
      <c r="B235" s="533"/>
      <c r="C235" s="533"/>
      <c r="D235" s="533"/>
      <c r="E235" s="533"/>
      <c r="F235" s="533"/>
      <c r="G235" s="533"/>
      <c r="H235" s="533"/>
      <c r="I235" s="533"/>
      <c r="J235" s="533"/>
      <c r="K235" s="533"/>
      <c r="L235" s="533"/>
      <c r="M235" s="533"/>
      <c r="N235" s="533"/>
      <c r="O235" s="533"/>
      <c r="P235" s="533"/>
      <c r="Q235" s="533"/>
      <c r="R235" s="533"/>
      <c r="S235" s="533"/>
      <c r="T235" s="533"/>
      <c r="U235" s="533"/>
      <c r="V235" s="533"/>
      <c r="W235" s="533"/>
    </row>
    <row r="236" spans="1:23" s="531" customFormat="1" ht="19.5" customHeight="1">
      <c r="A236" s="532"/>
      <c r="B236" s="533"/>
      <c r="C236" s="533"/>
      <c r="D236" s="533"/>
      <c r="E236" s="533"/>
      <c r="F236" s="533"/>
      <c r="G236" s="533"/>
      <c r="H236" s="533"/>
      <c r="I236" s="533"/>
      <c r="J236" s="533"/>
      <c r="K236" s="533"/>
      <c r="L236" s="533"/>
      <c r="M236" s="533"/>
      <c r="N236" s="533"/>
      <c r="O236" s="533"/>
      <c r="P236" s="533"/>
      <c r="Q236" s="533"/>
      <c r="R236" s="533"/>
      <c r="S236" s="533"/>
      <c r="T236" s="533"/>
      <c r="U236" s="533"/>
      <c r="V236" s="533"/>
      <c r="W236" s="533"/>
    </row>
    <row r="237" spans="1:23" s="531" customFormat="1" ht="19.5" customHeight="1">
      <c r="A237" s="532"/>
      <c r="B237" s="533"/>
      <c r="C237" s="533"/>
      <c r="D237" s="533"/>
      <c r="E237" s="533"/>
      <c r="F237" s="533"/>
      <c r="G237" s="533"/>
      <c r="H237" s="533"/>
      <c r="I237" s="533"/>
      <c r="J237" s="533"/>
      <c r="K237" s="533"/>
      <c r="L237" s="533"/>
      <c r="M237" s="533"/>
      <c r="N237" s="533"/>
      <c r="O237" s="533"/>
      <c r="P237" s="533"/>
      <c r="Q237" s="533"/>
      <c r="R237" s="533"/>
      <c r="S237" s="533"/>
      <c r="T237" s="533"/>
      <c r="U237" s="533"/>
      <c r="V237" s="533"/>
      <c r="W237" s="533"/>
    </row>
    <row r="238" spans="1:23" s="531" customFormat="1" ht="19.5" customHeight="1">
      <c r="A238" s="532"/>
      <c r="B238" s="533"/>
      <c r="C238" s="533"/>
      <c r="D238" s="533"/>
      <c r="E238" s="533"/>
      <c r="F238" s="533"/>
      <c r="G238" s="533"/>
      <c r="H238" s="533"/>
      <c r="I238" s="533"/>
      <c r="J238" s="533"/>
      <c r="K238" s="533"/>
      <c r="L238" s="533"/>
      <c r="M238" s="533"/>
      <c r="N238" s="533"/>
      <c r="O238" s="533"/>
      <c r="P238" s="533"/>
      <c r="Q238" s="533"/>
      <c r="R238" s="533"/>
      <c r="S238" s="533"/>
      <c r="T238" s="533"/>
      <c r="U238" s="533"/>
      <c r="V238" s="533"/>
      <c r="W238" s="533"/>
    </row>
    <row r="239" spans="1:23" s="531" customFormat="1" ht="19.5" customHeight="1">
      <c r="A239" s="532"/>
      <c r="B239" s="533"/>
      <c r="C239" s="533"/>
      <c r="D239" s="533"/>
      <c r="E239" s="533"/>
      <c r="F239" s="533"/>
      <c r="G239" s="533"/>
      <c r="H239" s="533"/>
      <c r="I239" s="533"/>
      <c r="J239" s="533"/>
      <c r="K239" s="533"/>
      <c r="L239" s="533"/>
      <c r="M239" s="533"/>
      <c r="N239" s="533"/>
      <c r="O239" s="533"/>
      <c r="P239" s="533"/>
      <c r="Q239" s="533"/>
      <c r="R239" s="533"/>
      <c r="S239" s="533"/>
      <c r="T239" s="533"/>
      <c r="U239" s="533"/>
      <c r="V239" s="533"/>
      <c r="W239" s="533"/>
    </row>
    <row r="240" spans="1:23" s="531" customFormat="1" ht="19.5" customHeight="1">
      <c r="A240" s="532"/>
      <c r="B240" s="533"/>
      <c r="C240" s="533"/>
      <c r="D240" s="533"/>
      <c r="E240" s="533"/>
      <c r="F240" s="533"/>
      <c r="G240" s="533"/>
      <c r="H240" s="533"/>
      <c r="I240" s="533"/>
      <c r="J240" s="533"/>
      <c r="K240" s="533"/>
      <c r="L240" s="533"/>
      <c r="M240" s="533"/>
      <c r="N240" s="533"/>
      <c r="O240" s="533"/>
      <c r="P240" s="533"/>
      <c r="Q240" s="533"/>
      <c r="R240" s="533"/>
      <c r="S240" s="533"/>
      <c r="T240" s="533"/>
      <c r="U240" s="533"/>
      <c r="V240" s="533"/>
      <c r="W240" s="533"/>
    </row>
    <row r="241" spans="1:23" s="531" customFormat="1" ht="19.5" customHeight="1">
      <c r="A241" s="532"/>
      <c r="B241" s="533"/>
      <c r="C241" s="533"/>
      <c r="D241" s="533"/>
      <c r="E241" s="533"/>
      <c r="F241" s="533"/>
      <c r="G241" s="533"/>
      <c r="H241" s="533"/>
      <c r="I241" s="533"/>
      <c r="J241" s="533"/>
      <c r="K241" s="533"/>
      <c r="L241" s="533"/>
      <c r="M241" s="533"/>
      <c r="N241" s="533"/>
      <c r="O241" s="533"/>
      <c r="P241" s="533"/>
      <c r="Q241" s="533"/>
      <c r="R241" s="533"/>
      <c r="S241" s="533"/>
      <c r="T241" s="533"/>
      <c r="U241" s="533"/>
      <c r="V241" s="533"/>
      <c r="W241" s="533"/>
    </row>
    <row r="242" ht="19.5" customHeight="1"/>
    <row r="243" ht="9.75" customHeight="1"/>
    <row r="244" ht="19.5" customHeight="1"/>
    <row r="245" ht="19.5" customHeight="1"/>
    <row r="246" ht="19.5" customHeight="1"/>
    <row r="247" ht="19.5" customHeight="1"/>
    <row r="248" spans="1:23" s="531" customFormat="1" ht="19.5" customHeight="1">
      <c r="A248" s="532"/>
      <c r="B248" s="533"/>
      <c r="C248" s="533"/>
      <c r="D248" s="533"/>
      <c r="E248" s="533"/>
      <c r="F248" s="533"/>
      <c r="G248" s="533"/>
      <c r="H248" s="533"/>
      <c r="I248" s="533"/>
      <c r="J248" s="533"/>
      <c r="K248" s="533"/>
      <c r="L248" s="533"/>
      <c r="M248" s="533"/>
      <c r="N248" s="533"/>
      <c r="O248" s="533"/>
      <c r="P248" s="533"/>
      <c r="Q248" s="533"/>
      <c r="R248" s="533"/>
      <c r="S248" s="533"/>
      <c r="T248" s="533"/>
      <c r="U248" s="533"/>
      <c r="V248" s="533"/>
      <c r="W248" s="533"/>
    </row>
    <row r="249" spans="1:23" s="531" customFormat="1" ht="19.5" customHeight="1">
      <c r="A249" s="532"/>
      <c r="B249" s="533"/>
      <c r="C249" s="533"/>
      <c r="D249" s="533"/>
      <c r="E249" s="533"/>
      <c r="F249" s="533"/>
      <c r="G249" s="533"/>
      <c r="H249" s="533"/>
      <c r="I249" s="533"/>
      <c r="J249" s="533"/>
      <c r="K249" s="533"/>
      <c r="L249" s="533"/>
      <c r="M249" s="533"/>
      <c r="N249" s="533"/>
      <c r="O249" s="533"/>
      <c r="P249" s="533"/>
      <c r="Q249" s="533"/>
      <c r="R249" s="533"/>
      <c r="S249" s="533"/>
      <c r="T249" s="533"/>
      <c r="U249" s="533"/>
      <c r="V249" s="533"/>
      <c r="W249" s="533"/>
    </row>
    <row r="250" spans="1:23" s="531" customFormat="1" ht="19.5" customHeight="1">
      <c r="A250" s="532"/>
      <c r="B250" s="533"/>
      <c r="C250" s="533"/>
      <c r="D250" s="533"/>
      <c r="E250" s="533"/>
      <c r="F250" s="533"/>
      <c r="G250" s="533"/>
      <c r="H250" s="533"/>
      <c r="I250" s="533"/>
      <c r="J250" s="533"/>
      <c r="K250" s="533"/>
      <c r="L250" s="533"/>
      <c r="M250" s="533"/>
      <c r="N250" s="533"/>
      <c r="O250" s="533"/>
      <c r="P250" s="533"/>
      <c r="Q250" s="533"/>
      <c r="R250" s="533"/>
      <c r="S250" s="533"/>
      <c r="T250" s="533"/>
      <c r="U250" s="533"/>
      <c r="V250" s="533"/>
      <c r="W250" s="533"/>
    </row>
    <row r="251" spans="1:23" s="531" customFormat="1" ht="19.5" customHeight="1">
      <c r="A251" s="532"/>
      <c r="B251" s="533"/>
      <c r="C251" s="533"/>
      <c r="D251" s="533"/>
      <c r="E251" s="533"/>
      <c r="F251" s="533"/>
      <c r="G251" s="533"/>
      <c r="H251" s="533"/>
      <c r="I251" s="533"/>
      <c r="J251" s="533"/>
      <c r="K251" s="533"/>
      <c r="L251" s="533"/>
      <c r="M251" s="533"/>
      <c r="N251" s="533"/>
      <c r="O251" s="533"/>
      <c r="P251" s="533"/>
      <c r="Q251" s="533"/>
      <c r="R251" s="533"/>
      <c r="S251" s="533"/>
      <c r="T251" s="533"/>
      <c r="U251" s="533"/>
      <c r="V251" s="533"/>
      <c r="W251" s="533"/>
    </row>
    <row r="252" spans="1:23" s="531" customFormat="1" ht="19.5" customHeight="1">
      <c r="A252" s="532"/>
      <c r="B252" s="533"/>
      <c r="C252" s="533"/>
      <c r="D252" s="533"/>
      <c r="E252" s="533"/>
      <c r="F252" s="533"/>
      <c r="G252" s="533"/>
      <c r="H252" s="533"/>
      <c r="I252" s="533"/>
      <c r="J252" s="533"/>
      <c r="K252" s="533"/>
      <c r="L252" s="533"/>
      <c r="M252" s="533"/>
      <c r="N252" s="533"/>
      <c r="O252" s="533"/>
      <c r="P252" s="533"/>
      <c r="Q252" s="533"/>
      <c r="R252" s="533"/>
      <c r="S252" s="533"/>
      <c r="T252" s="533"/>
      <c r="U252" s="533"/>
      <c r="V252" s="533"/>
      <c r="W252" s="533"/>
    </row>
    <row r="253" spans="1:23" s="531" customFormat="1" ht="19.5" customHeight="1">
      <c r="A253" s="532"/>
      <c r="B253" s="533"/>
      <c r="C253" s="533"/>
      <c r="D253" s="533"/>
      <c r="E253" s="533"/>
      <c r="F253" s="533"/>
      <c r="G253" s="533"/>
      <c r="H253" s="533"/>
      <c r="I253" s="533"/>
      <c r="J253" s="533"/>
      <c r="K253" s="533"/>
      <c r="L253" s="533"/>
      <c r="M253" s="533"/>
      <c r="N253" s="533"/>
      <c r="O253" s="533"/>
      <c r="P253" s="533"/>
      <c r="Q253" s="533"/>
      <c r="R253" s="533"/>
      <c r="S253" s="533"/>
      <c r="T253" s="533"/>
      <c r="U253" s="533"/>
      <c r="V253" s="533"/>
      <c r="W253" s="533"/>
    </row>
    <row r="254" spans="1:23" s="531" customFormat="1" ht="19.5" customHeight="1">
      <c r="A254" s="532"/>
      <c r="B254" s="533"/>
      <c r="C254" s="533"/>
      <c r="D254" s="533"/>
      <c r="E254" s="533"/>
      <c r="F254" s="533"/>
      <c r="G254" s="533"/>
      <c r="H254" s="533"/>
      <c r="I254" s="533"/>
      <c r="J254" s="533"/>
      <c r="K254" s="533"/>
      <c r="L254" s="533"/>
      <c r="M254" s="533"/>
      <c r="N254" s="533"/>
      <c r="O254" s="533"/>
      <c r="P254" s="533"/>
      <c r="Q254" s="533"/>
      <c r="R254" s="533"/>
      <c r="S254" s="533"/>
      <c r="T254" s="533"/>
      <c r="U254" s="533"/>
      <c r="V254" s="533"/>
      <c r="W254" s="533"/>
    </row>
    <row r="255" spans="1:23" s="531" customFormat="1" ht="19.5" customHeight="1">
      <c r="A255" s="532"/>
      <c r="B255" s="533"/>
      <c r="C255" s="533"/>
      <c r="D255" s="533"/>
      <c r="E255" s="533"/>
      <c r="F255" s="533"/>
      <c r="G255" s="533"/>
      <c r="H255" s="533"/>
      <c r="I255" s="533"/>
      <c r="J255" s="533"/>
      <c r="K255" s="533"/>
      <c r="L255" s="533"/>
      <c r="M255" s="533"/>
      <c r="N255" s="533"/>
      <c r="O255" s="533"/>
      <c r="P255" s="533"/>
      <c r="Q255" s="533"/>
      <c r="R255" s="533"/>
      <c r="S255" s="533"/>
      <c r="T255" s="533"/>
      <c r="U255" s="533"/>
      <c r="V255" s="533"/>
      <c r="W255" s="533"/>
    </row>
    <row r="256" spans="1:23" s="531" customFormat="1" ht="19.5" customHeight="1">
      <c r="A256" s="532"/>
      <c r="B256" s="533"/>
      <c r="C256" s="533"/>
      <c r="D256" s="533"/>
      <c r="E256" s="533"/>
      <c r="F256" s="533"/>
      <c r="G256" s="533"/>
      <c r="H256" s="533"/>
      <c r="I256" s="533"/>
      <c r="J256" s="533"/>
      <c r="K256" s="533"/>
      <c r="L256" s="533"/>
      <c r="M256" s="533"/>
      <c r="N256" s="533"/>
      <c r="O256" s="533"/>
      <c r="P256" s="533"/>
      <c r="Q256" s="533"/>
      <c r="R256" s="533"/>
      <c r="S256" s="533"/>
      <c r="T256" s="533"/>
      <c r="U256" s="533"/>
      <c r="V256" s="533"/>
      <c r="W256" s="533"/>
    </row>
    <row r="257" spans="1:23" s="531" customFormat="1" ht="19.5" customHeight="1">
      <c r="A257" s="532"/>
      <c r="B257" s="533"/>
      <c r="C257" s="533"/>
      <c r="D257" s="533"/>
      <c r="E257" s="533"/>
      <c r="F257" s="533"/>
      <c r="G257" s="533"/>
      <c r="H257" s="533"/>
      <c r="I257" s="533"/>
      <c r="J257" s="533"/>
      <c r="K257" s="533"/>
      <c r="L257" s="533"/>
      <c r="M257" s="533"/>
      <c r="N257" s="533"/>
      <c r="O257" s="533"/>
      <c r="P257" s="533"/>
      <c r="Q257" s="533"/>
      <c r="R257" s="533"/>
      <c r="S257" s="533"/>
      <c r="T257" s="533"/>
      <c r="U257" s="533"/>
      <c r="V257" s="533"/>
      <c r="W257" s="533"/>
    </row>
    <row r="258" spans="1:23" s="531" customFormat="1" ht="19.5" customHeight="1">
      <c r="A258" s="532"/>
      <c r="B258" s="533"/>
      <c r="C258" s="533"/>
      <c r="D258" s="533"/>
      <c r="E258" s="533"/>
      <c r="F258" s="533"/>
      <c r="G258" s="533"/>
      <c r="H258" s="533"/>
      <c r="I258" s="533"/>
      <c r="J258" s="533"/>
      <c r="K258" s="533"/>
      <c r="L258" s="533"/>
      <c r="M258" s="533"/>
      <c r="N258" s="533"/>
      <c r="O258" s="533"/>
      <c r="P258" s="533"/>
      <c r="Q258" s="533"/>
      <c r="R258" s="533"/>
      <c r="S258" s="533"/>
      <c r="T258" s="533"/>
      <c r="U258" s="533"/>
      <c r="V258" s="533"/>
      <c r="W258" s="533"/>
    </row>
    <row r="259" spans="1:23" s="531" customFormat="1" ht="19.5" customHeight="1">
      <c r="A259" s="532"/>
      <c r="B259" s="533"/>
      <c r="C259" s="533"/>
      <c r="D259" s="533"/>
      <c r="E259" s="533"/>
      <c r="F259" s="533"/>
      <c r="G259" s="533"/>
      <c r="H259" s="533"/>
      <c r="I259" s="533"/>
      <c r="J259" s="533"/>
      <c r="K259" s="533"/>
      <c r="L259" s="533"/>
      <c r="M259" s="533"/>
      <c r="N259" s="533"/>
      <c r="O259" s="533"/>
      <c r="P259" s="533"/>
      <c r="Q259" s="533"/>
      <c r="R259" s="533"/>
      <c r="S259" s="533"/>
      <c r="T259" s="533"/>
      <c r="U259" s="533"/>
      <c r="V259" s="533"/>
      <c r="W259" s="533"/>
    </row>
    <row r="260" spans="1:23" s="531" customFormat="1" ht="19.5" customHeight="1">
      <c r="A260" s="532"/>
      <c r="B260" s="533"/>
      <c r="C260" s="533"/>
      <c r="D260" s="533"/>
      <c r="E260" s="533"/>
      <c r="F260" s="533"/>
      <c r="G260" s="533"/>
      <c r="H260" s="533"/>
      <c r="I260" s="533"/>
      <c r="J260" s="533"/>
      <c r="K260" s="533"/>
      <c r="L260" s="533"/>
      <c r="M260" s="533"/>
      <c r="N260" s="533"/>
      <c r="O260" s="533"/>
      <c r="P260" s="533"/>
      <c r="Q260" s="533"/>
      <c r="R260" s="533"/>
      <c r="S260" s="533"/>
      <c r="T260" s="533"/>
      <c r="U260" s="533"/>
      <c r="V260" s="533"/>
      <c r="W260" s="533"/>
    </row>
    <row r="261" spans="1:23" s="531" customFormat="1" ht="19.5" customHeight="1">
      <c r="A261" s="532"/>
      <c r="B261" s="533"/>
      <c r="C261" s="533"/>
      <c r="D261" s="533"/>
      <c r="E261" s="533"/>
      <c r="F261" s="533"/>
      <c r="G261" s="533"/>
      <c r="H261" s="533"/>
      <c r="I261" s="533"/>
      <c r="J261" s="533"/>
      <c r="K261" s="533"/>
      <c r="L261" s="533"/>
      <c r="M261" s="533"/>
      <c r="N261" s="533"/>
      <c r="O261" s="533"/>
      <c r="P261" s="533"/>
      <c r="Q261" s="533"/>
      <c r="R261" s="533"/>
      <c r="S261" s="533"/>
      <c r="T261" s="533"/>
      <c r="U261" s="533"/>
      <c r="V261" s="533"/>
      <c r="W261" s="533"/>
    </row>
    <row r="262" spans="1:23" s="531" customFormat="1" ht="19.5" customHeight="1">
      <c r="A262" s="532"/>
      <c r="B262" s="533"/>
      <c r="C262" s="533"/>
      <c r="D262" s="533"/>
      <c r="E262" s="533"/>
      <c r="F262" s="533"/>
      <c r="G262" s="533"/>
      <c r="H262" s="533"/>
      <c r="I262" s="533"/>
      <c r="J262" s="533"/>
      <c r="K262" s="533"/>
      <c r="L262" s="533"/>
      <c r="M262" s="533"/>
      <c r="N262" s="533"/>
      <c r="O262" s="533"/>
      <c r="P262" s="533"/>
      <c r="Q262" s="533"/>
      <c r="R262" s="533"/>
      <c r="S262" s="533"/>
      <c r="T262" s="533"/>
      <c r="U262" s="533"/>
      <c r="V262" s="533"/>
      <c r="W262" s="533"/>
    </row>
    <row r="263" spans="1:23" s="531" customFormat="1" ht="19.5" customHeight="1">
      <c r="A263" s="532"/>
      <c r="B263" s="533"/>
      <c r="C263" s="533"/>
      <c r="D263" s="533"/>
      <c r="E263" s="533"/>
      <c r="F263" s="533"/>
      <c r="G263" s="533"/>
      <c r="H263" s="533"/>
      <c r="I263" s="533"/>
      <c r="J263" s="533"/>
      <c r="K263" s="533"/>
      <c r="L263" s="533"/>
      <c r="M263" s="533"/>
      <c r="N263" s="533"/>
      <c r="O263" s="533"/>
      <c r="P263" s="533"/>
      <c r="Q263" s="533"/>
      <c r="R263" s="533"/>
      <c r="S263" s="533"/>
      <c r="T263" s="533"/>
      <c r="U263" s="533"/>
      <c r="V263" s="533"/>
      <c r="W263" s="533"/>
    </row>
    <row r="264" spans="1:23" s="531" customFormat="1" ht="19.5" customHeight="1">
      <c r="A264" s="532"/>
      <c r="B264" s="533"/>
      <c r="C264" s="533"/>
      <c r="D264" s="533"/>
      <c r="E264" s="533"/>
      <c r="F264" s="533"/>
      <c r="G264" s="533"/>
      <c r="H264" s="533"/>
      <c r="I264" s="533"/>
      <c r="J264" s="533"/>
      <c r="K264" s="533"/>
      <c r="L264" s="533"/>
      <c r="M264" s="533"/>
      <c r="N264" s="533"/>
      <c r="O264" s="533"/>
      <c r="P264" s="533"/>
      <c r="Q264" s="533"/>
      <c r="R264" s="533"/>
      <c r="S264" s="533"/>
      <c r="T264" s="533"/>
      <c r="U264" s="533"/>
      <c r="V264" s="533"/>
      <c r="W264" s="533"/>
    </row>
    <row r="265" spans="1:23" s="531" customFormat="1" ht="19.5" customHeight="1">
      <c r="A265" s="532"/>
      <c r="B265" s="533"/>
      <c r="C265" s="533"/>
      <c r="D265" s="533"/>
      <c r="E265" s="533"/>
      <c r="F265" s="533"/>
      <c r="G265" s="533"/>
      <c r="H265" s="533"/>
      <c r="I265" s="533"/>
      <c r="J265" s="533"/>
      <c r="K265" s="533"/>
      <c r="L265" s="533"/>
      <c r="M265" s="533"/>
      <c r="N265" s="533"/>
      <c r="O265" s="533"/>
      <c r="P265" s="533"/>
      <c r="Q265" s="533"/>
      <c r="R265" s="533"/>
      <c r="S265" s="533"/>
      <c r="T265" s="533"/>
      <c r="U265" s="533"/>
      <c r="V265" s="533"/>
      <c r="W265" s="533"/>
    </row>
    <row r="266" spans="1:23" s="531" customFormat="1" ht="19.5" customHeight="1">
      <c r="A266" s="532"/>
      <c r="B266" s="533"/>
      <c r="C266" s="533"/>
      <c r="D266" s="533"/>
      <c r="E266" s="533"/>
      <c r="F266" s="533"/>
      <c r="G266" s="533"/>
      <c r="H266" s="533"/>
      <c r="I266" s="533"/>
      <c r="J266" s="533"/>
      <c r="K266" s="533"/>
      <c r="L266" s="533"/>
      <c r="M266" s="533"/>
      <c r="N266" s="533"/>
      <c r="O266" s="533"/>
      <c r="P266" s="533"/>
      <c r="Q266" s="533"/>
      <c r="R266" s="533"/>
      <c r="S266" s="533"/>
      <c r="T266" s="533"/>
      <c r="U266" s="533"/>
      <c r="V266" s="533"/>
      <c r="W266" s="533"/>
    </row>
    <row r="267" spans="1:23" s="531" customFormat="1" ht="19.5" customHeight="1">
      <c r="A267" s="532"/>
      <c r="B267" s="533"/>
      <c r="C267" s="533"/>
      <c r="D267" s="533"/>
      <c r="E267" s="533"/>
      <c r="F267" s="533"/>
      <c r="G267" s="533"/>
      <c r="H267" s="533"/>
      <c r="I267" s="533"/>
      <c r="J267" s="533"/>
      <c r="K267" s="533"/>
      <c r="L267" s="533"/>
      <c r="M267" s="533"/>
      <c r="N267" s="533"/>
      <c r="O267" s="533"/>
      <c r="P267" s="533"/>
      <c r="Q267" s="533"/>
      <c r="R267" s="533"/>
      <c r="S267" s="533"/>
      <c r="T267" s="533"/>
      <c r="U267" s="533"/>
      <c r="V267" s="533"/>
      <c r="W267" s="533"/>
    </row>
    <row r="268" spans="1:23" s="531" customFormat="1" ht="19.5" customHeight="1">
      <c r="A268" s="532"/>
      <c r="B268" s="533"/>
      <c r="C268" s="533"/>
      <c r="D268" s="533"/>
      <c r="E268" s="533"/>
      <c r="F268" s="533"/>
      <c r="G268" s="533"/>
      <c r="H268" s="533"/>
      <c r="I268" s="533"/>
      <c r="J268" s="533"/>
      <c r="K268" s="533"/>
      <c r="L268" s="533"/>
      <c r="M268" s="533"/>
      <c r="N268" s="533"/>
      <c r="O268" s="533"/>
      <c r="P268" s="533"/>
      <c r="Q268" s="533"/>
      <c r="R268" s="533"/>
      <c r="S268" s="533"/>
      <c r="T268" s="533"/>
      <c r="U268" s="533"/>
      <c r="V268" s="533"/>
      <c r="W268" s="533"/>
    </row>
    <row r="269" spans="1:23" s="531" customFormat="1" ht="19.5" customHeight="1">
      <c r="A269" s="532"/>
      <c r="B269" s="533"/>
      <c r="C269" s="533"/>
      <c r="D269" s="533"/>
      <c r="E269" s="533"/>
      <c r="F269" s="533"/>
      <c r="G269" s="533"/>
      <c r="H269" s="533"/>
      <c r="I269" s="533"/>
      <c r="J269" s="533"/>
      <c r="K269" s="533"/>
      <c r="L269" s="533"/>
      <c r="M269" s="533"/>
      <c r="N269" s="533"/>
      <c r="O269" s="533"/>
      <c r="P269" s="533"/>
      <c r="Q269" s="533"/>
      <c r="R269" s="533"/>
      <c r="S269" s="533"/>
      <c r="T269" s="533"/>
      <c r="U269" s="533"/>
      <c r="V269" s="533"/>
      <c r="W269" s="533"/>
    </row>
    <row r="270" spans="1:23" s="531" customFormat="1" ht="19.5" customHeight="1">
      <c r="A270" s="532"/>
      <c r="B270" s="533"/>
      <c r="C270" s="533"/>
      <c r="D270" s="533"/>
      <c r="E270" s="533"/>
      <c r="F270" s="533"/>
      <c r="G270" s="533"/>
      <c r="H270" s="533"/>
      <c r="I270" s="533"/>
      <c r="J270" s="533"/>
      <c r="K270" s="533"/>
      <c r="L270" s="533"/>
      <c r="M270" s="533"/>
      <c r="N270" s="533"/>
      <c r="O270" s="533"/>
      <c r="P270" s="533"/>
      <c r="Q270" s="533"/>
      <c r="R270" s="533"/>
      <c r="S270" s="533"/>
      <c r="T270" s="533"/>
      <c r="U270" s="533"/>
      <c r="V270" s="533"/>
      <c r="W270" s="533"/>
    </row>
    <row r="271" spans="1:23" s="531" customFormat="1" ht="19.5" customHeight="1">
      <c r="A271" s="532"/>
      <c r="B271" s="533"/>
      <c r="C271" s="533"/>
      <c r="D271" s="533"/>
      <c r="E271" s="533"/>
      <c r="F271" s="533"/>
      <c r="G271" s="533"/>
      <c r="H271" s="533"/>
      <c r="I271" s="533"/>
      <c r="J271" s="533"/>
      <c r="K271" s="533"/>
      <c r="L271" s="533"/>
      <c r="M271" s="533"/>
      <c r="N271" s="533"/>
      <c r="O271" s="533"/>
      <c r="P271" s="533"/>
      <c r="Q271" s="533"/>
      <c r="R271" s="533"/>
      <c r="S271" s="533"/>
      <c r="T271" s="533"/>
      <c r="U271" s="533"/>
      <c r="V271" s="533"/>
      <c r="W271" s="533"/>
    </row>
    <row r="272" spans="1:23" s="531" customFormat="1" ht="19.5" customHeight="1">
      <c r="A272" s="532"/>
      <c r="B272" s="533"/>
      <c r="C272" s="533"/>
      <c r="D272" s="533"/>
      <c r="E272" s="533"/>
      <c r="F272" s="533"/>
      <c r="G272" s="533"/>
      <c r="H272" s="533"/>
      <c r="I272" s="533"/>
      <c r="J272" s="533"/>
      <c r="K272" s="533"/>
      <c r="L272" s="533"/>
      <c r="M272" s="533"/>
      <c r="N272" s="533"/>
      <c r="O272" s="533"/>
      <c r="P272" s="533"/>
      <c r="Q272" s="533"/>
      <c r="R272" s="533"/>
      <c r="S272" s="533"/>
      <c r="T272" s="533"/>
      <c r="U272" s="533"/>
      <c r="V272" s="533"/>
      <c r="W272" s="533"/>
    </row>
    <row r="273" spans="1:23" s="531" customFormat="1" ht="19.5" customHeight="1">
      <c r="A273" s="532"/>
      <c r="B273" s="533"/>
      <c r="C273" s="533"/>
      <c r="D273" s="533"/>
      <c r="E273" s="533"/>
      <c r="F273" s="533"/>
      <c r="G273" s="533"/>
      <c r="H273" s="533"/>
      <c r="I273" s="533"/>
      <c r="J273" s="533"/>
      <c r="K273" s="533"/>
      <c r="L273" s="533"/>
      <c r="M273" s="533"/>
      <c r="N273" s="533"/>
      <c r="O273" s="533"/>
      <c r="P273" s="533"/>
      <c r="Q273" s="533"/>
      <c r="R273" s="533"/>
      <c r="S273" s="533"/>
      <c r="T273" s="533"/>
      <c r="U273" s="533"/>
      <c r="V273" s="533"/>
      <c r="W273" s="533"/>
    </row>
    <row r="274" spans="1:23" s="531" customFormat="1" ht="19.5" customHeight="1">
      <c r="A274" s="532"/>
      <c r="B274" s="533"/>
      <c r="C274" s="533"/>
      <c r="D274" s="533"/>
      <c r="E274" s="533"/>
      <c r="F274" s="533"/>
      <c r="G274" s="533"/>
      <c r="H274" s="533"/>
      <c r="I274" s="533"/>
      <c r="J274" s="533"/>
      <c r="K274" s="533"/>
      <c r="L274" s="533"/>
      <c r="M274" s="533"/>
      <c r="N274" s="533"/>
      <c r="O274" s="533"/>
      <c r="P274" s="533"/>
      <c r="Q274" s="533"/>
      <c r="R274" s="533"/>
      <c r="S274" s="533"/>
      <c r="T274" s="533"/>
      <c r="U274" s="533"/>
      <c r="V274" s="533"/>
      <c r="W274" s="533"/>
    </row>
    <row r="275" spans="1:23" s="531" customFormat="1" ht="19.5" customHeight="1">
      <c r="A275" s="532"/>
      <c r="B275" s="533"/>
      <c r="C275" s="533"/>
      <c r="D275" s="533"/>
      <c r="E275" s="533"/>
      <c r="F275" s="533"/>
      <c r="G275" s="533"/>
      <c r="H275" s="533"/>
      <c r="I275" s="533"/>
      <c r="J275" s="533"/>
      <c r="K275" s="533"/>
      <c r="L275" s="533"/>
      <c r="M275" s="533"/>
      <c r="N275" s="533"/>
      <c r="O275" s="533"/>
      <c r="P275" s="533"/>
      <c r="Q275" s="533"/>
      <c r="R275" s="533"/>
      <c r="S275" s="533"/>
      <c r="T275" s="533"/>
      <c r="U275" s="533"/>
      <c r="V275" s="533"/>
      <c r="W275" s="533"/>
    </row>
    <row r="276" spans="1:23" s="531" customFormat="1" ht="19.5" customHeight="1">
      <c r="A276" s="532"/>
      <c r="B276" s="533"/>
      <c r="C276" s="533"/>
      <c r="D276" s="533"/>
      <c r="E276" s="533"/>
      <c r="F276" s="533"/>
      <c r="G276" s="533"/>
      <c r="H276" s="533"/>
      <c r="I276" s="533"/>
      <c r="J276" s="533"/>
      <c r="K276" s="533"/>
      <c r="L276" s="533"/>
      <c r="M276" s="533"/>
      <c r="N276" s="533"/>
      <c r="O276" s="533"/>
      <c r="P276" s="533"/>
      <c r="Q276" s="533"/>
      <c r="R276" s="533"/>
      <c r="S276" s="533"/>
      <c r="T276" s="533"/>
      <c r="U276" s="533"/>
      <c r="V276" s="533"/>
      <c r="W276" s="533"/>
    </row>
    <row r="277" spans="1:23" s="531" customFormat="1" ht="19.5" customHeight="1">
      <c r="A277" s="532"/>
      <c r="B277" s="533"/>
      <c r="C277" s="533"/>
      <c r="D277" s="533"/>
      <c r="E277" s="533"/>
      <c r="F277" s="533"/>
      <c r="G277" s="533"/>
      <c r="H277" s="533"/>
      <c r="I277" s="533"/>
      <c r="J277" s="533"/>
      <c r="K277" s="533"/>
      <c r="L277" s="533"/>
      <c r="M277" s="533"/>
      <c r="N277" s="533"/>
      <c r="O277" s="533"/>
      <c r="P277" s="533"/>
      <c r="Q277" s="533"/>
      <c r="R277" s="533"/>
      <c r="S277" s="533"/>
      <c r="T277" s="533"/>
      <c r="U277" s="533"/>
      <c r="V277" s="533"/>
      <c r="W277" s="533"/>
    </row>
    <row r="278" spans="1:23" s="531" customFormat="1" ht="19.5" customHeight="1">
      <c r="A278" s="532"/>
      <c r="B278" s="533"/>
      <c r="C278" s="533"/>
      <c r="D278" s="533"/>
      <c r="E278" s="533"/>
      <c r="F278" s="533"/>
      <c r="G278" s="533"/>
      <c r="H278" s="533"/>
      <c r="I278" s="533"/>
      <c r="J278" s="533"/>
      <c r="K278" s="533"/>
      <c r="L278" s="533"/>
      <c r="M278" s="533"/>
      <c r="N278" s="533"/>
      <c r="O278" s="533"/>
      <c r="P278" s="533"/>
      <c r="Q278" s="533"/>
      <c r="R278" s="533"/>
      <c r="S278" s="533"/>
      <c r="T278" s="533"/>
      <c r="U278" s="533"/>
      <c r="V278" s="533"/>
      <c r="W278" s="533"/>
    </row>
    <row r="279" spans="1:23" s="531" customFormat="1" ht="19.5" customHeight="1">
      <c r="A279" s="532"/>
      <c r="B279" s="533"/>
      <c r="C279" s="533"/>
      <c r="D279" s="533"/>
      <c r="E279" s="533"/>
      <c r="F279" s="533"/>
      <c r="G279" s="533"/>
      <c r="H279" s="533"/>
      <c r="I279" s="533"/>
      <c r="J279" s="533"/>
      <c r="K279" s="533"/>
      <c r="L279" s="533"/>
      <c r="M279" s="533"/>
      <c r="N279" s="533"/>
      <c r="O279" s="533"/>
      <c r="P279" s="533"/>
      <c r="Q279" s="533"/>
      <c r="R279" s="533"/>
      <c r="S279" s="533"/>
      <c r="T279" s="533"/>
      <c r="U279" s="533"/>
      <c r="V279" s="533"/>
      <c r="W279" s="533"/>
    </row>
    <row r="280" spans="1:23" s="531" customFormat="1" ht="19.5" customHeight="1">
      <c r="A280" s="532"/>
      <c r="B280" s="533"/>
      <c r="C280" s="533"/>
      <c r="D280" s="533"/>
      <c r="E280" s="533"/>
      <c r="F280" s="533"/>
      <c r="G280" s="533"/>
      <c r="H280" s="533"/>
      <c r="I280" s="533"/>
      <c r="J280" s="533"/>
      <c r="K280" s="533"/>
      <c r="L280" s="533"/>
      <c r="M280" s="533"/>
      <c r="N280" s="533"/>
      <c r="O280" s="533"/>
      <c r="P280" s="533"/>
      <c r="Q280" s="533"/>
      <c r="R280" s="533"/>
      <c r="S280" s="533"/>
      <c r="T280" s="533"/>
      <c r="U280" s="533"/>
      <c r="V280" s="533"/>
      <c r="W280" s="533"/>
    </row>
    <row r="281" spans="1:23" s="531" customFormat="1" ht="19.5" customHeight="1">
      <c r="A281" s="532"/>
      <c r="B281" s="533"/>
      <c r="C281" s="533"/>
      <c r="D281" s="533"/>
      <c r="E281" s="533"/>
      <c r="F281" s="533"/>
      <c r="G281" s="533"/>
      <c r="H281" s="533"/>
      <c r="I281" s="533"/>
      <c r="J281" s="533"/>
      <c r="K281" s="533"/>
      <c r="L281" s="533"/>
      <c r="M281" s="533"/>
      <c r="N281" s="533"/>
      <c r="O281" s="533"/>
      <c r="P281" s="533"/>
      <c r="Q281" s="533"/>
      <c r="R281" s="533"/>
      <c r="S281" s="533"/>
      <c r="T281" s="533"/>
      <c r="U281" s="533"/>
      <c r="V281" s="533"/>
      <c r="W281" s="533"/>
    </row>
    <row r="282" spans="1:23" s="531" customFormat="1" ht="19.5" customHeight="1">
      <c r="A282" s="532"/>
      <c r="B282" s="533"/>
      <c r="C282" s="533"/>
      <c r="D282" s="533"/>
      <c r="E282" s="533"/>
      <c r="F282" s="533"/>
      <c r="G282" s="533"/>
      <c r="H282" s="533"/>
      <c r="I282" s="533"/>
      <c r="J282" s="533"/>
      <c r="K282" s="533"/>
      <c r="L282" s="533"/>
      <c r="M282" s="533"/>
      <c r="N282" s="533"/>
      <c r="O282" s="533"/>
      <c r="P282" s="533"/>
      <c r="Q282" s="533"/>
      <c r="R282" s="533"/>
      <c r="S282" s="533"/>
      <c r="T282" s="533"/>
      <c r="U282" s="533"/>
      <c r="V282" s="533"/>
      <c r="W282" s="533"/>
    </row>
    <row r="283" spans="1:23" s="531" customFormat="1" ht="19.5" customHeight="1">
      <c r="A283" s="532"/>
      <c r="B283" s="533"/>
      <c r="C283" s="533"/>
      <c r="D283" s="533"/>
      <c r="E283" s="533"/>
      <c r="F283" s="533"/>
      <c r="G283" s="533"/>
      <c r="H283" s="533"/>
      <c r="I283" s="533"/>
      <c r="J283" s="533"/>
      <c r="K283" s="533"/>
      <c r="L283" s="533"/>
      <c r="M283" s="533"/>
      <c r="N283" s="533"/>
      <c r="O283" s="533"/>
      <c r="P283" s="533"/>
      <c r="Q283" s="533"/>
      <c r="R283" s="533"/>
      <c r="S283" s="533"/>
      <c r="T283" s="533"/>
      <c r="U283" s="533"/>
      <c r="V283" s="533"/>
      <c r="W283" s="533"/>
    </row>
    <row r="284" spans="1:23" s="531" customFormat="1" ht="19.5" customHeight="1">
      <c r="A284" s="532"/>
      <c r="B284" s="533"/>
      <c r="C284" s="533"/>
      <c r="D284" s="533"/>
      <c r="E284" s="533"/>
      <c r="F284" s="533"/>
      <c r="G284" s="533"/>
      <c r="H284" s="533"/>
      <c r="I284" s="533"/>
      <c r="J284" s="533"/>
      <c r="K284" s="533"/>
      <c r="L284" s="533"/>
      <c r="M284" s="533"/>
      <c r="N284" s="533"/>
      <c r="O284" s="533"/>
      <c r="P284" s="533"/>
      <c r="Q284" s="533"/>
      <c r="R284" s="533"/>
      <c r="S284" s="533"/>
      <c r="T284" s="533"/>
      <c r="U284" s="533"/>
      <c r="V284" s="533"/>
      <c r="W284" s="533"/>
    </row>
    <row r="285" ht="19.5" customHeight="1"/>
    <row r="286" ht="9.75" customHeight="1"/>
    <row r="287" ht="19.5" customHeight="1"/>
    <row r="288" ht="19.5" customHeight="1"/>
    <row r="289" ht="19.5" customHeight="1"/>
    <row r="290" spans="1:23" s="531" customFormat="1" ht="19.5" customHeight="1">
      <c r="A290" s="532"/>
      <c r="B290" s="533"/>
      <c r="C290" s="533"/>
      <c r="D290" s="533"/>
      <c r="E290" s="533"/>
      <c r="F290" s="533"/>
      <c r="G290" s="533"/>
      <c r="H290" s="533"/>
      <c r="I290" s="533"/>
      <c r="J290" s="533"/>
      <c r="K290" s="533"/>
      <c r="L290" s="533"/>
      <c r="M290" s="533"/>
      <c r="N290" s="533"/>
      <c r="O290" s="533"/>
      <c r="P290" s="533"/>
      <c r="Q290" s="533"/>
      <c r="R290" s="533"/>
      <c r="S290" s="533"/>
      <c r="T290" s="533"/>
      <c r="U290" s="533"/>
      <c r="V290" s="533"/>
      <c r="W290" s="533"/>
    </row>
    <row r="291" spans="1:23" s="531" customFormat="1" ht="19.5" customHeight="1">
      <c r="A291" s="532"/>
      <c r="B291" s="533"/>
      <c r="C291" s="533"/>
      <c r="D291" s="533"/>
      <c r="E291" s="533"/>
      <c r="F291" s="533"/>
      <c r="G291" s="533"/>
      <c r="H291" s="533"/>
      <c r="I291" s="533"/>
      <c r="J291" s="533"/>
      <c r="K291" s="533"/>
      <c r="L291" s="533"/>
      <c r="M291" s="533"/>
      <c r="N291" s="533"/>
      <c r="O291" s="533"/>
      <c r="P291" s="533"/>
      <c r="Q291" s="533"/>
      <c r="R291" s="533"/>
      <c r="S291" s="533"/>
      <c r="T291" s="533"/>
      <c r="U291" s="533"/>
      <c r="V291" s="533"/>
      <c r="W291" s="533"/>
    </row>
    <row r="292" spans="1:23" s="531" customFormat="1" ht="19.5" customHeight="1">
      <c r="A292" s="532"/>
      <c r="B292" s="533"/>
      <c r="C292" s="533"/>
      <c r="D292" s="533"/>
      <c r="E292" s="533"/>
      <c r="F292" s="533"/>
      <c r="G292" s="533"/>
      <c r="H292" s="533"/>
      <c r="I292" s="533"/>
      <c r="J292" s="533"/>
      <c r="K292" s="533"/>
      <c r="L292" s="533"/>
      <c r="M292" s="533"/>
      <c r="N292" s="533"/>
      <c r="O292" s="533"/>
      <c r="P292" s="533"/>
      <c r="Q292" s="533"/>
      <c r="R292" s="533"/>
      <c r="S292" s="533"/>
      <c r="T292" s="533"/>
      <c r="U292" s="533"/>
      <c r="V292" s="533"/>
      <c r="W292" s="533"/>
    </row>
    <row r="293" spans="1:23" s="531" customFormat="1" ht="19.5" customHeight="1">
      <c r="A293" s="532"/>
      <c r="B293" s="533"/>
      <c r="C293" s="533"/>
      <c r="D293" s="533"/>
      <c r="E293" s="533"/>
      <c r="F293" s="533"/>
      <c r="G293" s="533"/>
      <c r="H293" s="533"/>
      <c r="I293" s="533"/>
      <c r="J293" s="533"/>
      <c r="K293" s="533"/>
      <c r="L293" s="533"/>
      <c r="M293" s="533"/>
      <c r="N293" s="533"/>
      <c r="O293" s="533"/>
      <c r="P293" s="533"/>
      <c r="Q293" s="533"/>
      <c r="R293" s="533"/>
      <c r="S293" s="533"/>
      <c r="T293" s="533"/>
      <c r="U293" s="533"/>
      <c r="V293" s="533"/>
      <c r="W293" s="533"/>
    </row>
    <row r="294" spans="1:23" s="531" customFormat="1" ht="19.5" customHeight="1">
      <c r="A294" s="532"/>
      <c r="B294" s="533"/>
      <c r="C294" s="533"/>
      <c r="D294" s="533"/>
      <c r="E294" s="533"/>
      <c r="F294" s="533"/>
      <c r="G294" s="533"/>
      <c r="H294" s="533"/>
      <c r="I294" s="533"/>
      <c r="J294" s="533"/>
      <c r="K294" s="533"/>
      <c r="L294" s="533"/>
      <c r="M294" s="533"/>
      <c r="N294" s="533"/>
      <c r="O294" s="533"/>
      <c r="P294" s="533"/>
      <c r="Q294" s="533"/>
      <c r="R294" s="533"/>
      <c r="S294" s="533"/>
      <c r="T294" s="533"/>
      <c r="U294" s="533"/>
      <c r="V294" s="533"/>
      <c r="W294" s="533"/>
    </row>
    <row r="295" spans="1:23" s="531" customFormat="1" ht="19.5" customHeight="1">
      <c r="A295" s="532"/>
      <c r="B295" s="533"/>
      <c r="C295" s="533"/>
      <c r="D295" s="533"/>
      <c r="E295" s="533"/>
      <c r="F295" s="533"/>
      <c r="G295" s="533"/>
      <c r="H295" s="533"/>
      <c r="I295" s="533"/>
      <c r="J295" s="533"/>
      <c r="K295" s="533"/>
      <c r="L295" s="533"/>
      <c r="M295" s="533"/>
      <c r="N295" s="533"/>
      <c r="O295" s="533"/>
      <c r="P295" s="533"/>
      <c r="Q295" s="533"/>
      <c r="R295" s="533"/>
      <c r="S295" s="533"/>
      <c r="T295" s="533"/>
      <c r="U295" s="533"/>
      <c r="V295" s="533"/>
      <c r="W295" s="533"/>
    </row>
    <row r="296" spans="1:23" s="531" customFormat="1" ht="19.5" customHeight="1">
      <c r="A296" s="532"/>
      <c r="B296" s="533"/>
      <c r="C296" s="533"/>
      <c r="D296" s="533"/>
      <c r="E296" s="533"/>
      <c r="F296" s="533"/>
      <c r="G296" s="533"/>
      <c r="H296" s="533"/>
      <c r="I296" s="533"/>
      <c r="J296" s="533"/>
      <c r="K296" s="533"/>
      <c r="L296" s="533"/>
      <c r="M296" s="533"/>
      <c r="N296" s="533"/>
      <c r="O296" s="533"/>
      <c r="P296" s="533"/>
      <c r="Q296" s="533"/>
      <c r="R296" s="533"/>
      <c r="S296" s="533"/>
      <c r="T296" s="533"/>
      <c r="U296" s="533"/>
      <c r="V296" s="533"/>
      <c r="W296" s="533"/>
    </row>
    <row r="297" spans="1:23" s="531" customFormat="1" ht="19.5" customHeight="1">
      <c r="A297" s="532"/>
      <c r="B297" s="533"/>
      <c r="C297" s="533"/>
      <c r="D297" s="533"/>
      <c r="E297" s="533"/>
      <c r="F297" s="533"/>
      <c r="G297" s="533"/>
      <c r="H297" s="533"/>
      <c r="I297" s="533"/>
      <c r="J297" s="533"/>
      <c r="K297" s="533"/>
      <c r="L297" s="533"/>
      <c r="M297" s="533"/>
      <c r="N297" s="533"/>
      <c r="O297" s="533"/>
      <c r="P297" s="533"/>
      <c r="Q297" s="533"/>
      <c r="R297" s="533"/>
      <c r="S297" s="533"/>
      <c r="T297" s="533"/>
      <c r="U297" s="533"/>
      <c r="V297" s="533"/>
      <c r="W297" s="533"/>
    </row>
    <row r="298" spans="1:23" s="531" customFormat="1" ht="19.5" customHeight="1">
      <c r="A298" s="532"/>
      <c r="B298" s="533"/>
      <c r="C298" s="533"/>
      <c r="D298" s="533"/>
      <c r="E298" s="533"/>
      <c r="F298" s="533"/>
      <c r="G298" s="533"/>
      <c r="H298" s="533"/>
      <c r="I298" s="533"/>
      <c r="J298" s="533"/>
      <c r="K298" s="533"/>
      <c r="L298" s="533"/>
      <c r="M298" s="533"/>
      <c r="N298" s="533"/>
      <c r="O298" s="533"/>
      <c r="P298" s="533"/>
      <c r="Q298" s="533"/>
      <c r="R298" s="533"/>
      <c r="S298" s="533"/>
      <c r="T298" s="533"/>
      <c r="U298" s="533"/>
      <c r="V298" s="533"/>
      <c r="W298" s="533"/>
    </row>
    <row r="299" spans="1:23" s="531" customFormat="1" ht="19.5" customHeight="1">
      <c r="A299" s="532"/>
      <c r="B299" s="533"/>
      <c r="C299" s="533"/>
      <c r="D299" s="533"/>
      <c r="E299" s="533"/>
      <c r="F299" s="533"/>
      <c r="G299" s="533"/>
      <c r="H299" s="533"/>
      <c r="I299" s="533"/>
      <c r="J299" s="533"/>
      <c r="K299" s="533"/>
      <c r="L299" s="533"/>
      <c r="M299" s="533"/>
      <c r="N299" s="533"/>
      <c r="O299" s="533"/>
      <c r="P299" s="533"/>
      <c r="Q299" s="533"/>
      <c r="R299" s="533"/>
      <c r="S299" s="533"/>
      <c r="T299" s="533"/>
      <c r="U299" s="533"/>
      <c r="V299" s="533"/>
      <c r="W299" s="533"/>
    </row>
    <row r="300" spans="1:23" s="531" customFormat="1" ht="19.5" customHeight="1">
      <c r="A300" s="532"/>
      <c r="B300" s="533"/>
      <c r="C300" s="533"/>
      <c r="D300" s="533"/>
      <c r="E300" s="533"/>
      <c r="F300" s="533"/>
      <c r="G300" s="533"/>
      <c r="H300" s="533"/>
      <c r="I300" s="533"/>
      <c r="J300" s="533"/>
      <c r="K300" s="533"/>
      <c r="L300" s="533"/>
      <c r="M300" s="533"/>
      <c r="N300" s="533"/>
      <c r="O300" s="533"/>
      <c r="P300" s="533"/>
      <c r="Q300" s="533"/>
      <c r="R300" s="533"/>
      <c r="S300" s="533"/>
      <c r="T300" s="533"/>
      <c r="U300" s="533"/>
      <c r="V300" s="533"/>
      <c r="W300" s="533"/>
    </row>
    <row r="301" spans="1:23" s="531" customFormat="1" ht="19.5" customHeight="1">
      <c r="A301" s="532"/>
      <c r="B301" s="533"/>
      <c r="C301" s="533"/>
      <c r="D301" s="533"/>
      <c r="E301" s="533"/>
      <c r="F301" s="533"/>
      <c r="G301" s="533"/>
      <c r="H301" s="533"/>
      <c r="I301" s="533"/>
      <c r="J301" s="533"/>
      <c r="K301" s="533"/>
      <c r="L301" s="533"/>
      <c r="M301" s="533"/>
      <c r="N301" s="533"/>
      <c r="O301" s="533"/>
      <c r="P301" s="533"/>
      <c r="Q301" s="533"/>
      <c r="R301" s="533"/>
      <c r="S301" s="533"/>
      <c r="T301" s="533"/>
      <c r="U301" s="533"/>
      <c r="V301" s="533"/>
      <c r="W301" s="533"/>
    </row>
    <row r="302" spans="1:23" s="531" customFormat="1" ht="19.5" customHeight="1">
      <c r="A302" s="532"/>
      <c r="B302" s="533"/>
      <c r="C302" s="533"/>
      <c r="D302" s="533"/>
      <c r="E302" s="533"/>
      <c r="F302" s="533"/>
      <c r="G302" s="533"/>
      <c r="H302" s="533"/>
      <c r="I302" s="533"/>
      <c r="J302" s="533"/>
      <c r="K302" s="533"/>
      <c r="L302" s="533"/>
      <c r="M302" s="533"/>
      <c r="N302" s="533"/>
      <c r="O302" s="533"/>
      <c r="P302" s="533"/>
      <c r="Q302" s="533"/>
      <c r="R302" s="533"/>
      <c r="S302" s="533"/>
      <c r="T302" s="533"/>
      <c r="U302" s="533"/>
      <c r="V302" s="533"/>
      <c r="W302" s="533"/>
    </row>
    <row r="303" spans="1:23" s="531" customFormat="1" ht="19.5" customHeight="1">
      <c r="A303" s="532"/>
      <c r="B303" s="533"/>
      <c r="C303" s="533"/>
      <c r="D303" s="533"/>
      <c r="E303" s="533"/>
      <c r="F303" s="533"/>
      <c r="G303" s="533"/>
      <c r="H303" s="533"/>
      <c r="I303" s="533"/>
      <c r="J303" s="533"/>
      <c r="K303" s="533"/>
      <c r="L303" s="533"/>
      <c r="M303" s="533"/>
      <c r="N303" s="533"/>
      <c r="O303" s="533"/>
      <c r="P303" s="533"/>
      <c r="Q303" s="533"/>
      <c r="R303" s="533"/>
      <c r="S303" s="533"/>
      <c r="T303" s="533"/>
      <c r="U303" s="533"/>
      <c r="V303" s="533"/>
      <c r="W303" s="533"/>
    </row>
    <row r="304" spans="1:23" s="531" customFormat="1" ht="19.5" customHeight="1">
      <c r="A304" s="532"/>
      <c r="B304" s="533"/>
      <c r="C304" s="533"/>
      <c r="D304" s="533"/>
      <c r="E304" s="533"/>
      <c r="F304" s="533"/>
      <c r="G304" s="533"/>
      <c r="H304" s="533"/>
      <c r="I304" s="533"/>
      <c r="J304" s="533"/>
      <c r="K304" s="533"/>
      <c r="L304" s="533"/>
      <c r="M304" s="533"/>
      <c r="N304" s="533"/>
      <c r="O304" s="533"/>
      <c r="P304" s="533"/>
      <c r="Q304" s="533"/>
      <c r="R304" s="533"/>
      <c r="S304" s="533"/>
      <c r="T304" s="533"/>
      <c r="U304" s="533"/>
      <c r="V304" s="533"/>
      <c r="W304" s="533"/>
    </row>
    <row r="305" spans="1:23" s="531" customFormat="1" ht="19.5" customHeight="1">
      <c r="A305" s="532"/>
      <c r="B305" s="533"/>
      <c r="C305" s="533"/>
      <c r="D305" s="533"/>
      <c r="E305" s="533"/>
      <c r="F305" s="533"/>
      <c r="G305" s="533"/>
      <c r="H305" s="533"/>
      <c r="I305" s="533"/>
      <c r="J305" s="533"/>
      <c r="K305" s="533"/>
      <c r="L305" s="533"/>
      <c r="M305" s="533"/>
      <c r="N305" s="533"/>
      <c r="O305" s="533"/>
      <c r="P305" s="533"/>
      <c r="Q305" s="533"/>
      <c r="R305" s="533"/>
      <c r="S305" s="533"/>
      <c r="T305" s="533"/>
      <c r="U305" s="533"/>
      <c r="V305" s="533"/>
      <c r="W305" s="533"/>
    </row>
    <row r="306" spans="1:23" s="531" customFormat="1" ht="19.5" customHeight="1">
      <c r="A306" s="532"/>
      <c r="B306" s="533"/>
      <c r="C306" s="533"/>
      <c r="D306" s="533"/>
      <c r="E306" s="533"/>
      <c r="F306" s="533"/>
      <c r="G306" s="533"/>
      <c r="H306" s="533"/>
      <c r="I306" s="533"/>
      <c r="J306" s="533"/>
      <c r="K306" s="533"/>
      <c r="L306" s="533"/>
      <c r="M306" s="533"/>
      <c r="N306" s="533"/>
      <c r="O306" s="533"/>
      <c r="P306" s="533"/>
      <c r="Q306" s="533"/>
      <c r="R306" s="533"/>
      <c r="S306" s="533"/>
      <c r="T306" s="533"/>
      <c r="U306" s="533"/>
      <c r="V306" s="533"/>
      <c r="W306" s="533"/>
    </row>
    <row r="307" spans="1:23" s="531" customFormat="1" ht="19.5" customHeight="1">
      <c r="A307" s="532"/>
      <c r="B307" s="533"/>
      <c r="C307" s="533"/>
      <c r="D307" s="533"/>
      <c r="E307" s="533"/>
      <c r="F307" s="533"/>
      <c r="G307" s="533"/>
      <c r="H307" s="533"/>
      <c r="I307" s="533"/>
      <c r="J307" s="533"/>
      <c r="K307" s="533"/>
      <c r="L307" s="533"/>
      <c r="M307" s="533"/>
      <c r="N307" s="533"/>
      <c r="O307" s="533"/>
      <c r="P307" s="533"/>
      <c r="Q307" s="533"/>
      <c r="R307" s="533"/>
      <c r="S307" s="533"/>
      <c r="T307" s="533"/>
      <c r="U307" s="533"/>
      <c r="V307" s="533"/>
      <c r="W307" s="533"/>
    </row>
    <row r="308" spans="1:23" s="531" customFormat="1" ht="19.5" customHeight="1">
      <c r="A308" s="532"/>
      <c r="B308" s="533"/>
      <c r="C308" s="533"/>
      <c r="D308" s="533"/>
      <c r="E308" s="533"/>
      <c r="F308" s="533"/>
      <c r="G308" s="533"/>
      <c r="H308" s="533"/>
      <c r="I308" s="533"/>
      <c r="J308" s="533"/>
      <c r="K308" s="533"/>
      <c r="L308" s="533"/>
      <c r="M308" s="533"/>
      <c r="N308" s="533"/>
      <c r="O308" s="533"/>
      <c r="P308" s="533"/>
      <c r="Q308" s="533"/>
      <c r="R308" s="533"/>
      <c r="S308" s="533"/>
      <c r="T308" s="533"/>
      <c r="U308" s="533"/>
      <c r="V308" s="533"/>
      <c r="W308" s="533"/>
    </row>
    <row r="309" spans="1:23" s="531" customFormat="1" ht="19.5" customHeight="1">
      <c r="A309" s="532"/>
      <c r="B309" s="533"/>
      <c r="C309" s="533"/>
      <c r="D309" s="533"/>
      <c r="E309" s="533"/>
      <c r="F309" s="533"/>
      <c r="G309" s="533"/>
      <c r="H309" s="533"/>
      <c r="I309" s="533"/>
      <c r="J309" s="533"/>
      <c r="K309" s="533"/>
      <c r="L309" s="533"/>
      <c r="M309" s="533"/>
      <c r="N309" s="533"/>
      <c r="O309" s="533"/>
      <c r="P309" s="533"/>
      <c r="Q309" s="533"/>
      <c r="R309" s="533"/>
      <c r="S309" s="533"/>
      <c r="T309" s="533"/>
      <c r="U309" s="533"/>
      <c r="V309" s="533"/>
      <c r="W309" s="533"/>
    </row>
    <row r="310" spans="1:23" s="531" customFormat="1" ht="19.5" customHeight="1">
      <c r="A310" s="532"/>
      <c r="B310" s="533"/>
      <c r="C310" s="533"/>
      <c r="D310" s="533"/>
      <c r="E310" s="533"/>
      <c r="F310" s="533"/>
      <c r="G310" s="533"/>
      <c r="H310" s="533"/>
      <c r="I310" s="533"/>
      <c r="J310" s="533"/>
      <c r="K310" s="533"/>
      <c r="L310" s="533"/>
      <c r="M310" s="533"/>
      <c r="N310" s="533"/>
      <c r="O310" s="533"/>
      <c r="P310" s="533"/>
      <c r="Q310" s="533"/>
      <c r="R310" s="533"/>
      <c r="S310" s="533"/>
      <c r="T310" s="533"/>
      <c r="U310" s="533"/>
      <c r="V310" s="533"/>
      <c r="W310" s="533"/>
    </row>
    <row r="311" spans="1:23" s="531" customFormat="1" ht="19.5" customHeight="1">
      <c r="A311" s="532"/>
      <c r="B311" s="533"/>
      <c r="C311" s="533"/>
      <c r="D311" s="533"/>
      <c r="E311" s="533"/>
      <c r="F311" s="533"/>
      <c r="G311" s="533"/>
      <c r="H311" s="533"/>
      <c r="I311" s="533"/>
      <c r="J311" s="533"/>
      <c r="K311" s="533"/>
      <c r="L311" s="533"/>
      <c r="M311" s="533"/>
      <c r="N311" s="533"/>
      <c r="O311" s="533"/>
      <c r="P311" s="533"/>
      <c r="Q311" s="533"/>
      <c r="R311" s="533"/>
      <c r="S311" s="533"/>
      <c r="T311" s="533"/>
      <c r="U311" s="533"/>
      <c r="V311" s="533"/>
      <c r="W311" s="533"/>
    </row>
    <row r="312" spans="1:23" s="531" customFormat="1" ht="19.5" customHeight="1">
      <c r="A312" s="532"/>
      <c r="B312" s="533"/>
      <c r="C312" s="533"/>
      <c r="D312" s="533"/>
      <c r="E312" s="533"/>
      <c r="F312" s="533"/>
      <c r="G312" s="533"/>
      <c r="H312" s="533"/>
      <c r="I312" s="533"/>
      <c r="J312" s="533"/>
      <c r="K312" s="533"/>
      <c r="L312" s="533"/>
      <c r="M312" s="533"/>
      <c r="N312" s="533"/>
      <c r="O312" s="533"/>
      <c r="P312" s="533"/>
      <c r="Q312" s="533"/>
      <c r="R312" s="533"/>
      <c r="S312" s="533"/>
      <c r="T312" s="533"/>
      <c r="U312" s="533"/>
      <c r="V312" s="533"/>
      <c r="W312" s="533"/>
    </row>
    <row r="313" spans="1:23" s="531" customFormat="1" ht="19.5" customHeight="1">
      <c r="A313" s="532"/>
      <c r="B313" s="533"/>
      <c r="C313" s="533"/>
      <c r="D313" s="533"/>
      <c r="E313" s="533"/>
      <c r="F313" s="533"/>
      <c r="G313" s="533"/>
      <c r="H313" s="533"/>
      <c r="I313" s="533"/>
      <c r="J313" s="533"/>
      <c r="K313" s="533"/>
      <c r="L313" s="533"/>
      <c r="M313" s="533"/>
      <c r="N313" s="533"/>
      <c r="O313" s="533"/>
      <c r="P313" s="533"/>
      <c r="Q313" s="533"/>
      <c r="R313" s="533"/>
      <c r="S313" s="533"/>
      <c r="T313" s="533"/>
      <c r="U313" s="533"/>
      <c r="V313" s="533"/>
      <c r="W313" s="533"/>
    </row>
    <row r="314" spans="1:23" s="531" customFormat="1" ht="19.5" customHeight="1">
      <c r="A314" s="532"/>
      <c r="B314" s="533"/>
      <c r="C314" s="533"/>
      <c r="D314" s="533"/>
      <c r="E314" s="533"/>
      <c r="F314" s="533"/>
      <c r="G314" s="533"/>
      <c r="H314" s="533"/>
      <c r="I314" s="533"/>
      <c r="J314" s="533"/>
      <c r="K314" s="533"/>
      <c r="L314" s="533"/>
      <c r="M314" s="533"/>
      <c r="N314" s="533"/>
      <c r="O314" s="533"/>
      <c r="P314" s="533"/>
      <c r="Q314" s="533"/>
      <c r="R314" s="533"/>
      <c r="S314" s="533"/>
      <c r="T314" s="533"/>
      <c r="U314" s="533"/>
      <c r="V314" s="533"/>
      <c r="W314" s="533"/>
    </row>
    <row r="315" spans="1:23" s="531" customFormat="1" ht="19.5" customHeight="1">
      <c r="A315" s="532"/>
      <c r="B315" s="533"/>
      <c r="C315" s="533"/>
      <c r="D315" s="533"/>
      <c r="E315" s="533"/>
      <c r="F315" s="533"/>
      <c r="G315" s="533"/>
      <c r="H315" s="533"/>
      <c r="I315" s="533"/>
      <c r="J315" s="533"/>
      <c r="K315" s="533"/>
      <c r="L315" s="533"/>
      <c r="M315" s="533"/>
      <c r="N315" s="533"/>
      <c r="O315" s="533"/>
      <c r="P315" s="533"/>
      <c r="Q315" s="533"/>
      <c r="R315" s="533"/>
      <c r="S315" s="533"/>
      <c r="T315" s="533"/>
      <c r="U315" s="533"/>
      <c r="V315" s="533"/>
      <c r="W315" s="533"/>
    </row>
    <row r="316" spans="1:23" s="531" customFormat="1" ht="19.5" customHeight="1">
      <c r="A316" s="532"/>
      <c r="B316" s="533"/>
      <c r="C316" s="533"/>
      <c r="D316" s="533"/>
      <c r="E316" s="533"/>
      <c r="F316" s="533"/>
      <c r="G316" s="533"/>
      <c r="H316" s="533"/>
      <c r="I316" s="533"/>
      <c r="J316" s="533"/>
      <c r="K316" s="533"/>
      <c r="L316" s="533"/>
      <c r="M316" s="533"/>
      <c r="N316" s="533"/>
      <c r="O316" s="533"/>
      <c r="P316" s="533"/>
      <c r="Q316" s="533"/>
      <c r="R316" s="533"/>
      <c r="S316" s="533"/>
      <c r="T316" s="533"/>
      <c r="U316" s="533"/>
      <c r="V316" s="533"/>
      <c r="W316" s="533"/>
    </row>
    <row r="317" spans="1:23" s="531" customFormat="1" ht="19.5" customHeight="1">
      <c r="A317" s="532"/>
      <c r="B317" s="533"/>
      <c r="C317" s="533"/>
      <c r="D317" s="533"/>
      <c r="E317" s="533"/>
      <c r="F317" s="533"/>
      <c r="G317" s="533"/>
      <c r="H317" s="533"/>
      <c r="I317" s="533"/>
      <c r="J317" s="533"/>
      <c r="K317" s="533"/>
      <c r="L317" s="533"/>
      <c r="M317" s="533"/>
      <c r="N317" s="533"/>
      <c r="O317" s="533"/>
      <c r="P317" s="533"/>
      <c r="Q317" s="533"/>
      <c r="R317" s="533"/>
      <c r="S317" s="533"/>
      <c r="T317" s="533"/>
      <c r="U317" s="533"/>
      <c r="V317" s="533"/>
      <c r="W317" s="533"/>
    </row>
    <row r="318" spans="1:23" s="531" customFormat="1" ht="19.5" customHeight="1">
      <c r="A318" s="532"/>
      <c r="B318" s="533"/>
      <c r="C318" s="533"/>
      <c r="D318" s="533"/>
      <c r="E318" s="533"/>
      <c r="F318" s="533"/>
      <c r="G318" s="533"/>
      <c r="H318" s="533"/>
      <c r="I318" s="533"/>
      <c r="J318" s="533"/>
      <c r="K318" s="533"/>
      <c r="L318" s="533"/>
      <c r="M318" s="533"/>
      <c r="N318" s="533"/>
      <c r="O318" s="533"/>
      <c r="P318" s="533"/>
      <c r="Q318" s="533"/>
      <c r="R318" s="533"/>
      <c r="S318" s="533"/>
      <c r="T318" s="533"/>
      <c r="U318" s="533"/>
      <c r="V318" s="533"/>
      <c r="W318" s="533"/>
    </row>
    <row r="319" spans="1:23" s="531" customFormat="1" ht="19.5" customHeight="1">
      <c r="A319" s="532"/>
      <c r="B319" s="533"/>
      <c r="C319" s="533"/>
      <c r="D319" s="533"/>
      <c r="E319" s="533"/>
      <c r="F319" s="533"/>
      <c r="G319" s="533"/>
      <c r="H319" s="533"/>
      <c r="I319" s="533"/>
      <c r="J319" s="533"/>
      <c r="K319" s="533"/>
      <c r="L319" s="533"/>
      <c r="M319" s="533"/>
      <c r="N319" s="533"/>
      <c r="O319" s="533"/>
      <c r="P319" s="533"/>
      <c r="Q319" s="533"/>
      <c r="R319" s="533"/>
      <c r="S319" s="533"/>
      <c r="T319" s="533"/>
      <c r="U319" s="533"/>
      <c r="V319" s="533"/>
      <c r="W319" s="533"/>
    </row>
    <row r="320" spans="1:23" s="531" customFormat="1" ht="19.5" customHeight="1">
      <c r="A320" s="532"/>
      <c r="B320" s="533"/>
      <c r="C320" s="533"/>
      <c r="D320" s="533"/>
      <c r="E320" s="533"/>
      <c r="F320" s="533"/>
      <c r="G320" s="533"/>
      <c r="H320" s="533"/>
      <c r="I320" s="533"/>
      <c r="J320" s="533"/>
      <c r="K320" s="533"/>
      <c r="L320" s="533"/>
      <c r="M320" s="533"/>
      <c r="N320" s="533"/>
      <c r="O320" s="533"/>
      <c r="P320" s="533"/>
      <c r="Q320" s="533"/>
      <c r="R320" s="533"/>
      <c r="S320" s="533"/>
      <c r="T320" s="533"/>
      <c r="U320" s="533"/>
      <c r="V320" s="533"/>
      <c r="W320" s="533"/>
    </row>
    <row r="321" spans="1:23" s="531" customFormat="1" ht="19.5" customHeight="1">
      <c r="A321" s="532"/>
      <c r="B321" s="533"/>
      <c r="C321" s="533"/>
      <c r="D321" s="533"/>
      <c r="E321" s="533"/>
      <c r="F321" s="533"/>
      <c r="G321" s="533"/>
      <c r="H321" s="533"/>
      <c r="I321" s="533"/>
      <c r="J321" s="533"/>
      <c r="K321" s="533"/>
      <c r="L321" s="533"/>
      <c r="M321" s="533"/>
      <c r="N321" s="533"/>
      <c r="O321" s="533"/>
      <c r="P321" s="533"/>
      <c r="Q321" s="533"/>
      <c r="R321" s="533"/>
      <c r="S321" s="533"/>
      <c r="T321" s="533"/>
      <c r="U321" s="533"/>
      <c r="V321" s="533"/>
      <c r="W321" s="533"/>
    </row>
    <row r="322" spans="1:23" s="531" customFormat="1" ht="19.5" customHeight="1">
      <c r="A322" s="532"/>
      <c r="B322" s="533"/>
      <c r="C322" s="533"/>
      <c r="D322" s="533"/>
      <c r="E322" s="533"/>
      <c r="F322" s="533"/>
      <c r="G322" s="533"/>
      <c r="H322" s="533"/>
      <c r="I322" s="533"/>
      <c r="J322" s="533"/>
      <c r="K322" s="533"/>
      <c r="L322" s="533"/>
      <c r="M322" s="533"/>
      <c r="N322" s="533"/>
      <c r="O322" s="533"/>
      <c r="P322" s="533"/>
      <c r="Q322" s="533"/>
      <c r="R322" s="533"/>
      <c r="S322" s="533"/>
      <c r="T322" s="533"/>
      <c r="U322" s="533"/>
      <c r="V322" s="533"/>
      <c r="W322" s="533"/>
    </row>
    <row r="323" spans="1:23" s="531" customFormat="1" ht="19.5" customHeight="1">
      <c r="A323" s="532"/>
      <c r="B323" s="533"/>
      <c r="C323" s="533"/>
      <c r="D323" s="533"/>
      <c r="E323" s="533"/>
      <c r="F323" s="533"/>
      <c r="G323" s="533"/>
      <c r="H323" s="533"/>
      <c r="I323" s="533"/>
      <c r="J323" s="533"/>
      <c r="K323" s="533"/>
      <c r="L323" s="533"/>
      <c r="M323" s="533"/>
      <c r="N323" s="533"/>
      <c r="O323" s="533"/>
      <c r="P323" s="533"/>
      <c r="Q323" s="533"/>
      <c r="R323" s="533"/>
      <c r="S323" s="533"/>
      <c r="T323" s="533"/>
      <c r="U323" s="533"/>
      <c r="V323" s="533"/>
      <c r="W323" s="533"/>
    </row>
    <row r="324" spans="1:23" s="531" customFormat="1" ht="19.5" customHeight="1">
      <c r="A324" s="532"/>
      <c r="B324" s="533"/>
      <c r="C324" s="533"/>
      <c r="D324" s="533"/>
      <c r="E324" s="533"/>
      <c r="F324" s="533"/>
      <c r="G324" s="533"/>
      <c r="H324" s="533"/>
      <c r="I324" s="533"/>
      <c r="J324" s="533"/>
      <c r="K324" s="533"/>
      <c r="L324" s="533"/>
      <c r="M324" s="533"/>
      <c r="N324" s="533"/>
      <c r="O324" s="533"/>
      <c r="P324" s="533"/>
      <c r="Q324" s="533"/>
      <c r="R324" s="533"/>
      <c r="S324" s="533"/>
      <c r="T324" s="533"/>
      <c r="U324" s="533"/>
      <c r="V324" s="533"/>
      <c r="W324" s="533"/>
    </row>
    <row r="325" spans="1:23" s="531" customFormat="1" ht="19.5" customHeight="1">
      <c r="A325" s="532"/>
      <c r="B325" s="533"/>
      <c r="C325" s="533"/>
      <c r="D325" s="533"/>
      <c r="E325" s="533"/>
      <c r="F325" s="533"/>
      <c r="G325" s="533"/>
      <c r="H325" s="533"/>
      <c r="I325" s="533"/>
      <c r="J325" s="533"/>
      <c r="K325" s="533"/>
      <c r="L325" s="533"/>
      <c r="M325" s="533"/>
      <c r="N325" s="533"/>
      <c r="O325" s="533"/>
      <c r="P325" s="533"/>
      <c r="Q325" s="533"/>
      <c r="R325" s="533"/>
      <c r="S325" s="533"/>
      <c r="T325" s="533"/>
      <c r="U325" s="533"/>
      <c r="V325" s="533"/>
      <c r="W325" s="533"/>
    </row>
    <row r="326" spans="1:23" s="531" customFormat="1" ht="19.5" customHeight="1">
      <c r="A326" s="532"/>
      <c r="B326" s="533"/>
      <c r="C326" s="533"/>
      <c r="D326" s="533"/>
      <c r="E326" s="533"/>
      <c r="F326" s="533"/>
      <c r="G326" s="533"/>
      <c r="H326" s="533"/>
      <c r="I326" s="533"/>
      <c r="J326" s="533"/>
      <c r="K326" s="533"/>
      <c r="L326" s="533"/>
      <c r="M326" s="533"/>
      <c r="N326" s="533"/>
      <c r="O326" s="533"/>
      <c r="P326" s="533"/>
      <c r="Q326" s="533"/>
      <c r="R326" s="533"/>
      <c r="S326" s="533"/>
      <c r="T326" s="533"/>
      <c r="U326" s="533"/>
      <c r="V326" s="533"/>
      <c r="W326" s="533"/>
    </row>
    <row r="327" ht="19.5" customHeight="1"/>
    <row r="328" ht="9.75" customHeight="1"/>
    <row r="329" ht="19.5" customHeight="1"/>
    <row r="330" ht="19.5" customHeight="1"/>
    <row r="331" ht="19.5" customHeight="1"/>
    <row r="332" spans="1:23" s="531" customFormat="1" ht="19.5" customHeight="1">
      <c r="A332" s="532"/>
      <c r="B332" s="533"/>
      <c r="C332" s="533"/>
      <c r="D332" s="533"/>
      <c r="E332" s="533"/>
      <c r="F332" s="533"/>
      <c r="G332" s="533"/>
      <c r="H332" s="533"/>
      <c r="I332" s="533"/>
      <c r="J332" s="533"/>
      <c r="K332" s="533"/>
      <c r="L332" s="533"/>
      <c r="M332" s="533"/>
      <c r="N332" s="533"/>
      <c r="O332" s="533"/>
      <c r="P332" s="533"/>
      <c r="Q332" s="533"/>
      <c r="R332" s="533"/>
      <c r="S332" s="533"/>
      <c r="T332" s="533"/>
      <c r="U332" s="533"/>
      <c r="V332" s="533"/>
      <c r="W332" s="533"/>
    </row>
    <row r="333" spans="1:23" s="531" customFormat="1" ht="19.5" customHeight="1">
      <c r="A333" s="532"/>
      <c r="B333" s="533"/>
      <c r="C333" s="533"/>
      <c r="D333" s="533"/>
      <c r="E333" s="533"/>
      <c r="F333" s="533"/>
      <c r="G333" s="533"/>
      <c r="H333" s="533"/>
      <c r="I333" s="533"/>
      <c r="J333" s="533"/>
      <c r="K333" s="533"/>
      <c r="L333" s="533"/>
      <c r="M333" s="533"/>
      <c r="N333" s="533"/>
      <c r="O333" s="533"/>
      <c r="P333" s="533"/>
      <c r="Q333" s="533"/>
      <c r="R333" s="533"/>
      <c r="S333" s="533"/>
      <c r="T333" s="533"/>
      <c r="U333" s="533"/>
      <c r="V333" s="533"/>
      <c r="W333" s="533"/>
    </row>
    <row r="334" spans="1:23" s="531" customFormat="1" ht="19.5" customHeight="1">
      <c r="A334" s="532"/>
      <c r="B334" s="533"/>
      <c r="C334" s="533"/>
      <c r="D334" s="533"/>
      <c r="E334" s="533"/>
      <c r="F334" s="533"/>
      <c r="G334" s="533"/>
      <c r="H334" s="533"/>
      <c r="I334" s="533"/>
      <c r="J334" s="533"/>
      <c r="K334" s="533"/>
      <c r="L334" s="533"/>
      <c r="M334" s="533"/>
      <c r="N334" s="533"/>
      <c r="O334" s="533"/>
      <c r="P334" s="533"/>
      <c r="Q334" s="533"/>
      <c r="R334" s="533"/>
      <c r="S334" s="533"/>
      <c r="T334" s="533"/>
      <c r="U334" s="533"/>
      <c r="V334" s="533"/>
      <c r="W334" s="533"/>
    </row>
    <row r="335" spans="1:23" s="531" customFormat="1" ht="19.5" customHeight="1">
      <c r="A335" s="532"/>
      <c r="B335" s="533"/>
      <c r="C335" s="533"/>
      <c r="D335" s="533"/>
      <c r="E335" s="533"/>
      <c r="F335" s="533"/>
      <c r="G335" s="533"/>
      <c r="H335" s="533"/>
      <c r="I335" s="533"/>
      <c r="J335" s="533"/>
      <c r="K335" s="533"/>
      <c r="L335" s="533"/>
      <c r="M335" s="533"/>
      <c r="N335" s="533"/>
      <c r="O335" s="533"/>
      <c r="P335" s="533"/>
      <c r="Q335" s="533"/>
      <c r="R335" s="533"/>
      <c r="S335" s="533"/>
      <c r="T335" s="533"/>
      <c r="U335" s="533"/>
      <c r="V335" s="533"/>
      <c r="W335" s="533"/>
    </row>
    <row r="336" spans="1:23" s="531" customFormat="1" ht="19.5" customHeight="1">
      <c r="A336" s="532"/>
      <c r="B336" s="533"/>
      <c r="C336" s="533"/>
      <c r="D336" s="533"/>
      <c r="E336" s="533"/>
      <c r="F336" s="533"/>
      <c r="G336" s="533"/>
      <c r="H336" s="533"/>
      <c r="I336" s="533"/>
      <c r="J336" s="533"/>
      <c r="K336" s="533"/>
      <c r="L336" s="533"/>
      <c r="M336" s="533"/>
      <c r="N336" s="533"/>
      <c r="O336" s="533"/>
      <c r="P336" s="533"/>
      <c r="Q336" s="533"/>
      <c r="R336" s="533"/>
      <c r="S336" s="533"/>
      <c r="T336" s="533"/>
      <c r="U336" s="533"/>
      <c r="V336" s="533"/>
      <c r="W336" s="533"/>
    </row>
    <row r="337" spans="1:23" s="531" customFormat="1" ht="19.5" customHeight="1">
      <c r="A337" s="532"/>
      <c r="B337" s="533"/>
      <c r="C337" s="533"/>
      <c r="D337" s="533"/>
      <c r="E337" s="533"/>
      <c r="F337" s="533"/>
      <c r="G337" s="533"/>
      <c r="H337" s="533"/>
      <c r="I337" s="533"/>
      <c r="J337" s="533"/>
      <c r="K337" s="533"/>
      <c r="L337" s="533"/>
      <c r="M337" s="533"/>
      <c r="N337" s="533"/>
      <c r="O337" s="533"/>
      <c r="P337" s="533"/>
      <c r="Q337" s="533"/>
      <c r="R337" s="533"/>
      <c r="S337" s="533"/>
      <c r="T337" s="533"/>
      <c r="U337" s="533"/>
      <c r="V337" s="533"/>
      <c r="W337" s="533"/>
    </row>
    <row r="338" spans="1:23" s="531" customFormat="1" ht="19.5" customHeight="1">
      <c r="A338" s="532"/>
      <c r="B338" s="533"/>
      <c r="C338" s="533"/>
      <c r="D338" s="533"/>
      <c r="E338" s="533"/>
      <c r="F338" s="533"/>
      <c r="G338" s="533"/>
      <c r="H338" s="533"/>
      <c r="I338" s="533"/>
      <c r="J338" s="533"/>
      <c r="K338" s="533"/>
      <c r="L338" s="533"/>
      <c r="M338" s="533"/>
      <c r="N338" s="533"/>
      <c r="O338" s="533"/>
      <c r="P338" s="533"/>
      <c r="Q338" s="533"/>
      <c r="R338" s="533"/>
      <c r="S338" s="533"/>
      <c r="T338" s="533"/>
      <c r="U338" s="533"/>
      <c r="V338" s="533"/>
      <c r="W338" s="533"/>
    </row>
    <row r="339" spans="1:23" s="531" customFormat="1" ht="19.5" customHeight="1">
      <c r="A339" s="532"/>
      <c r="B339" s="533"/>
      <c r="C339" s="533"/>
      <c r="D339" s="533"/>
      <c r="E339" s="533"/>
      <c r="F339" s="533"/>
      <c r="G339" s="533"/>
      <c r="H339" s="533"/>
      <c r="I339" s="533"/>
      <c r="J339" s="533"/>
      <c r="K339" s="533"/>
      <c r="L339" s="533"/>
      <c r="M339" s="533"/>
      <c r="N339" s="533"/>
      <c r="O339" s="533"/>
      <c r="P339" s="533"/>
      <c r="Q339" s="533"/>
      <c r="R339" s="533"/>
      <c r="S339" s="533"/>
      <c r="T339" s="533"/>
      <c r="U339" s="533"/>
      <c r="V339" s="533"/>
      <c r="W339" s="533"/>
    </row>
    <row r="340" spans="1:23" s="531" customFormat="1" ht="19.5" customHeight="1">
      <c r="A340" s="532"/>
      <c r="B340" s="533"/>
      <c r="C340" s="533"/>
      <c r="D340" s="533"/>
      <c r="E340" s="533"/>
      <c r="F340" s="533"/>
      <c r="G340" s="533"/>
      <c r="H340" s="533"/>
      <c r="I340" s="533"/>
      <c r="J340" s="533"/>
      <c r="K340" s="533"/>
      <c r="L340" s="533"/>
      <c r="M340" s="533"/>
      <c r="N340" s="533"/>
      <c r="O340" s="533"/>
      <c r="P340" s="533"/>
      <c r="Q340" s="533"/>
      <c r="R340" s="533"/>
      <c r="S340" s="533"/>
      <c r="T340" s="533"/>
      <c r="U340" s="533"/>
      <c r="V340" s="533"/>
      <c r="W340" s="533"/>
    </row>
    <row r="341" spans="1:23" s="531" customFormat="1" ht="19.5" customHeight="1">
      <c r="A341" s="532"/>
      <c r="B341" s="533"/>
      <c r="C341" s="533"/>
      <c r="D341" s="533"/>
      <c r="E341" s="533"/>
      <c r="F341" s="533"/>
      <c r="G341" s="533"/>
      <c r="H341" s="533"/>
      <c r="I341" s="533"/>
      <c r="J341" s="533"/>
      <c r="K341" s="533"/>
      <c r="L341" s="533"/>
      <c r="M341" s="533"/>
      <c r="N341" s="533"/>
      <c r="O341" s="533"/>
      <c r="P341" s="533"/>
      <c r="Q341" s="533"/>
      <c r="R341" s="533"/>
      <c r="S341" s="533"/>
      <c r="T341" s="533"/>
      <c r="U341" s="533"/>
      <c r="V341" s="533"/>
      <c r="W341" s="533"/>
    </row>
    <row r="342" spans="1:23" s="531" customFormat="1" ht="19.5" customHeight="1">
      <c r="A342" s="532"/>
      <c r="B342" s="533"/>
      <c r="C342" s="533"/>
      <c r="D342" s="533"/>
      <c r="E342" s="533"/>
      <c r="F342" s="533"/>
      <c r="G342" s="533"/>
      <c r="H342" s="533"/>
      <c r="I342" s="533"/>
      <c r="J342" s="533"/>
      <c r="K342" s="533"/>
      <c r="L342" s="533"/>
      <c r="M342" s="533"/>
      <c r="N342" s="533"/>
      <c r="O342" s="533"/>
      <c r="P342" s="533"/>
      <c r="Q342" s="533"/>
      <c r="R342" s="533"/>
      <c r="S342" s="533"/>
      <c r="T342" s="533"/>
      <c r="U342" s="533"/>
      <c r="V342" s="533"/>
      <c r="W342" s="533"/>
    </row>
    <row r="343" spans="1:23" s="531" customFormat="1" ht="19.5" customHeight="1">
      <c r="A343" s="532"/>
      <c r="B343" s="533"/>
      <c r="C343" s="533"/>
      <c r="D343" s="533"/>
      <c r="E343" s="533"/>
      <c r="F343" s="533"/>
      <c r="G343" s="533"/>
      <c r="H343" s="533"/>
      <c r="I343" s="533"/>
      <c r="J343" s="533"/>
      <c r="K343" s="533"/>
      <c r="L343" s="533"/>
      <c r="M343" s="533"/>
      <c r="N343" s="533"/>
      <c r="O343" s="533"/>
      <c r="P343" s="533"/>
      <c r="Q343" s="533"/>
      <c r="R343" s="533"/>
      <c r="S343" s="533"/>
      <c r="T343" s="533"/>
      <c r="U343" s="533"/>
      <c r="V343" s="533"/>
      <c r="W343" s="533"/>
    </row>
    <row r="344" spans="1:23" s="531" customFormat="1" ht="19.5" customHeight="1">
      <c r="A344" s="532"/>
      <c r="B344" s="533"/>
      <c r="C344" s="533"/>
      <c r="D344" s="533"/>
      <c r="E344" s="533"/>
      <c r="F344" s="533"/>
      <c r="G344" s="533"/>
      <c r="H344" s="533"/>
      <c r="I344" s="533"/>
      <c r="J344" s="533"/>
      <c r="K344" s="533"/>
      <c r="L344" s="533"/>
      <c r="M344" s="533"/>
      <c r="N344" s="533"/>
      <c r="O344" s="533"/>
      <c r="P344" s="533"/>
      <c r="Q344" s="533"/>
      <c r="R344" s="533"/>
      <c r="S344" s="533"/>
      <c r="T344" s="533"/>
      <c r="U344" s="533"/>
      <c r="V344" s="533"/>
      <c r="W344" s="533"/>
    </row>
    <row r="345" spans="1:23" s="531" customFormat="1" ht="19.5" customHeight="1">
      <c r="A345" s="532"/>
      <c r="B345" s="533"/>
      <c r="C345" s="533"/>
      <c r="D345" s="533"/>
      <c r="E345" s="533"/>
      <c r="F345" s="533"/>
      <c r="G345" s="533"/>
      <c r="H345" s="533"/>
      <c r="I345" s="533"/>
      <c r="J345" s="533"/>
      <c r="K345" s="533"/>
      <c r="L345" s="533"/>
      <c r="M345" s="533"/>
      <c r="N345" s="533"/>
      <c r="O345" s="533"/>
      <c r="P345" s="533"/>
      <c r="Q345" s="533"/>
      <c r="R345" s="533"/>
      <c r="S345" s="533"/>
      <c r="T345" s="533"/>
      <c r="U345" s="533"/>
      <c r="V345" s="533"/>
      <c r="W345" s="533"/>
    </row>
    <row r="346" spans="1:23" s="531" customFormat="1" ht="19.5" customHeight="1">
      <c r="A346" s="532"/>
      <c r="B346" s="533"/>
      <c r="C346" s="533"/>
      <c r="D346" s="533"/>
      <c r="E346" s="533"/>
      <c r="F346" s="533"/>
      <c r="G346" s="533"/>
      <c r="H346" s="533"/>
      <c r="I346" s="533"/>
      <c r="J346" s="533"/>
      <c r="K346" s="533"/>
      <c r="L346" s="533"/>
      <c r="M346" s="533"/>
      <c r="N346" s="533"/>
      <c r="O346" s="533"/>
      <c r="P346" s="533"/>
      <c r="Q346" s="533"/>
      <c r="R346" s="533"/>
      <c r="S346" s="533"/>
      <c r="T346" s="533"/>
      <c r="U346" s="533"/>
      <c r="V346" s="533"/>
      <c r="W346" s="533"/>
    </row>
    <row r="347" spans="1:23" s="531" customFormat="1" ht="19.5" customHeight="1">
      <c r="A347" s="532"/>
      <c r="B347" s="533"/>
      <c r="C347" s="533"/>
      <c r="D347" s="533"/>
      <c r="E347" s="533"/>
      <c r="F347" s="533"/>
      <c r="G347" s="533"/>
      <c r="H347" s="533"/>
      <c r="I347" s="533"/>
      <c r="J347" s="533"/>
      <c r="K347" s="533"/>
      <c r="L347" s="533"/>
      <c r="M347" s="533"/>
      <c r="N347" s="533"/>
      <c r="O347" s="533"/>
      <c r="P347" s="533"/>
      <c r="Q347" s="533"/>
      <c r="R347" s="533"/>
      <c r="S347" s="533"/>
      <c r="T347" s="533"/>
      <c r="U347" s="533"/>
      <c r="V347" s="533"/>
      <c r="W347" s="533"/>
    </row>
    <row r="348" spans="1:23" s="531" customFormat="1" ht="19.5" customHeight="1">
      <c r="A348" s="532"/>
      <c r="B348" s="533"/>
      <c r="C348" s="533"/>
      <c r="D348" s="533"/>
      <c r="E348" s="533"/>
      <c r="F348" s="533"/>
      <c r="G348" s="533"/>
      <c r="H348" s="533"/>
      <c r="I348" s="533"/>
      <c r="J348" s="533"/>
      <c r="K348" s="533"/>
      <c r="L348" s="533"/>
      <c r="M348" s="533"/>
      <c r="N348" s="533"/>
      <c r="O348" s="533"/>
      <c r="P348" s="533"/>
      <c r="Q348" s="533"/>
      <c r="R348" s="533"/>
      <c r="S348" s="533"/>
      <c r="T348" s="533"/>
      <c r="U348" s="533"/>
      <c r="V348" s="533"/>
      <c r="W348" s="533"/>
    </row>
    <row r="349" spans="1:23" s="531" customFormat="1" ht="19.5" customHeight="1">
      <c r="A349" s="532"/>
      <c r="B349" s="533"/>
      <c r="C349" s="533"/>
      <c r="D349" s="533"/>
      <c r="E349" s="533"/>
      <c r="F349" s="533"/>
      <c r="G349" s="533"/>
      <c r="H349" s="533"/>
      <c r="I349" s="533"/>
      <c r="J349" s="533"/>
      <c r="K349" s="533"/>
      <c r="L349" s="533"/>
      <c r="M349" s="533"/>
      <c r="N349" s="533"/>
      <c r="O349" s="533"/>
      <c r="P349" s="533"/>
      <c r="Q349" s="533"/>
      <c r="R349" s="533"/>
      <c r="S349" s="533"/>
      <c r="T349" s="533"/>
      <c r="U349" s="533"/>
      <c r="V349" s="533"/>
      <c r="W349" s="533"/>
    </row>
    <row r="350" spans="1:23" s="531" customFormat="1" ht="19.5" customHeight="1">
      <c r="A350" s="532"/>
      <c r="B350" s="533"/>
      <c r="C350" s="533"/>
      <c r="D350" s="533"/>
      <c r="E350" s="533"/>
      <c r="F350" s="533"/>
      <c r="G350" s="533"/>
      <c r="H350" s="533"/>
      <c r="I350" s="533"/>
      <c r="J350" s="533"/>
      <c r="K350" s="533"/>
      <c r="L350" s="533"/>
      <c r="M350" s="533"/>
      <c r="N350" s="533"/>
      <c r="O350" s="533"/>
      <c r="P350" s="533"/>
      <c r="Q350" s="533"/>
      <c r="R350" s="533"/>
      <c r="S350" s="533"/>
      <c r="T350" s="533"/>
      <c r="U350" s="533"/>
      <c r="V350" s="533"/>
      <c r="W350" s="533"/>
    </row>
    <row r="351" spans="1:23" s="531" customFormat="1" ht="19.5" customHeight="1">
      <c r="A351" s="532"/>
      <c r="B351" s="533"/>
      <c r="C351" s="533"/>
      <c r="D351" s="533"/>
      <c r="E351" s="533"/>
      <c r="F351" s="533"/>
      <c r="G351" s="533"/>
      <c r="H351" s="533"/>
      <c r="I351" s="533"/>
      <c r="J351" s="533"/>
      <c r="K351" s="533"/>
      <c r="L351" s="533"/>
      <c r="M351" s="533"/>
      <c r="N351" s="533"/>
      <c r="O351" s="533"/>
      <c r="P351" s="533"/>
      <c r="Q351" s="533"/>
      <c r="R351" s="533"/>
      <c r="S351" s="533"/>
      <c r="T351" s="533"/>
      <c r="U351" s="533"/>
      <c r="V351" s="533"/>
      <c r="W351" s="533"/>
    </row>
    <row r="352" spans="1:23" s="531" customFormat="1" ht="19.5" customHeight="1">
      <c r="A352" s="532"/>
      <c r="B352" s="533"/>
      <c r="C352" s="533"/>
      <c r="D352" s="533"/>
      <c r="E352" s="533"/>
      <c r="F352" s="533"/>
      <c r="G352" s="533"/>
      <c r="H352" s="533"/>
      <c r="I352" s="533"/>
      <c r="J352" s="533"/>
      <c r="K352" s="533"/>
      <c r="L352" s="533"/>
      <c r="M352" s="533"/>
      <c r="N352" s="533"/>
      <c r="O352" s="533"/>
      <c r="P352" s="533"/>
      <c r="Q352" s="533"/>
      <c r="R352" s="533"/>
      <c r="S352" s="533"/>
      <c r="T352" s="533"/>
      <c r="U352" s="533"/>
      <c r="V352" s="533"/>
      <c r="W352" s="533"/>
    </row>
    <row r="353" spans="1:23" s="531" customFormat="1" ht="19.5" customHeight="1">
      <c r="A353" s="532"/>
      <c r="B353" s="533"/>
      <c r="C353" s="533"/>
      <c r="D353" s="533"/>
      <c r="E353" s="533"/>
      <c r="F353" s="533"/>
      <c r="G353" s="533"/>
      <c r="H353" s="533"/>
      <c r="I353" s="533"/>
      <c r="J353" s="533"/>
      <c r="K353" s="533"/>
      <c r="L353" s="533"/>
      <c r="M353" s="533"/>
      <c r="N353" s="533"/>
      <c r="O353" s="533"/>
      <c r="P353" s="533"/>
      <c r="Q353" s="533"/>
      <c r="R353" s="533"/>
      <c r="S353" s="533"/>
      <c r="T353" s="533"/>
      <c r="U353" s="533"/>
      <c r="V353" s="533"/>
      <c r="W353" s="533"/>
    </row>
    <row r="354" spans="1:23" s="531" customFormat="1" ht="19.5" customHeight="1">
      <c r="A354" s="532"/>
      <c r="B354" s="533"/>
      <c r="C354" s="533"/>
      <c r="D354" s="533"/>
      <c r="E354" s="533"/>
      <c r="F354" s="533"/>
      <c r="G354" s="533"/>
      <c r="H354" s="533"/>
      <c r="I354" s="533"/>
      <c r="J354" s="533"/>
      <c r="K354" s="533"/>
      <c r="L354" s="533"/>
      <c r="M354" s="533"/>
      <c r="N354" s="533"/>
      <c r="O354" s="533"/>
      <c r="P354" s="533"/>
      <c r="Q354" s="533"/>
      <c r="R354" s="533"/>
      <c r="S354" s="533"/>
      <c r="T354" s="533"/>
      <c r="U354" s="533"/>
      <c r="V354" s="533"/>
      <c r="W354" s="533"/>
    </row>
    <row r="355" spans="1:23" s="531" customFormat="1" ht="19.5" customHeight="1">
      <c r="A355" s="532"/>
      <c r="B355" s="533"/>
      <c r="C355" s="533"/>
      <c r="D355" s="533"/>
      <c r="E355" s="533"/>
      <c r="F355" s="533"/>
      <c r="G355" s="533"/>
      <c r="H355" s="533"/>
      <c r="I355" s="533"/>
      <c r="J355" s="533"/>
      <c r="K355" s="533"/>
      <c r="L355" s="533"/>
      <c r="M355" s="533"/>
      <c r="N355" s="533"/>
      <c r="O355" s="533"/>
      <c r="P355" s="533"/>
      <c r="Q355" s="533"/>
      <c r="R355" s="533"/>
      <c r="S355" s="533"/>
      <c r="T355" s="533"/>
      <c r="U355" s="533"/>
      <c r="V355" s="533"/>
      <c r="W355" s="533"/>
    </row>
    <row r="356" spans="1:23" s="531" customFormat="1" ht="19.5" customHeight="1">
      <c r="A356" s="532"/>
      <c r="B356" s="533"/>
      <c r="C356" s="533"/>
      <c r="D356" s="533"/>
      <c r="E356" s="533"/>
      <c r="F356" s="533"/>
      <c r="G356" s="533"/>
      <c r="H356" s="533"/>
      <c r="I356" s="533"/>
      <c r="J356" s="533"/>
      <c r="K356" s="533"/>
      <c r="L356" s="533"/>
      <c r="M356" s="533"/>
      <c r="N356" s="533"/>
      <c r="O356" s="533"/>
      <c r="P356" s="533"/>
      <c r="Q356" s="533"/>
      <c r="R356" s="533"/>
      <c r="S356" s="533"/>
      <c r="T356" s="533"/>
      <c r="U356" s="533"/>
      <c r="V356" s="533"/>
      <c r="W356" s="533"/>
    </row>
    <row r="357" spans="1:23" s="531" customFormat="1" ht="19.5" customHeight="1">
      <c r="A357" s="532"/>
      <c r="B357" s="533"/>
      <c r="C357" s="533"/>
      <c r="D357" s="533"/>
      <c r="E357" s="533"/>
      <c r="F357" s="533"/>
      <c r="G357" s="533"/>
      <c r="H357" s="533"/>
      <c r="I357" s="533"/>
      <c r="J357" s="533"/>
      <c r="K357" s="533"/>
      <c r="L357" s="533"/>
      <c r="M357" s="533"/>
      <c r="N357" s="533"/>
      <c r="O357" s="533"/>
      <c r="P357" s="533"/>
      <c r="Q357" s="533"/>
      <c r="R357" s="533"/>
      <c r="S357" s="533"/>
      <c r="T357" s="533"/>
      <c r="U357" s="533"/>
      <c r="V357" s="533"/>
      <c r="W357" s="533"/>
    </row>
    <row r="358" spans="1:23" s="531" customFormat="1" ht="19.5" customHeight="1">
      <c r="A358" s="532"/>
      <c r="B358" s="533"/>
      <c r="C358" s="533"/>
      <c r="D358" s="533"/>
      <c r="E358" s="533"/>
      <c r="F358" s="533"/>
      <c r="G358" s="533"/>
      <c r="H358" s="533"/>
      <c r="I358" s="533"/>
      <c r="J358" s="533"/>
      <c r="K358" s="533"/>
      <c r="L358" s="533"/>
      <c r="M358" s="533"/>
      <c r="N358" s="533"/>
      <c r="O358" s="533"/>
      <c r="P358" s="533"/>
      <c r="Q358" s="533"/>
      <c r="R358" s="533"/>
      <c r="S358" s="533"/>
      <c r="T358" s="533"/>
      <c r="U358" s="533"/>
      <c r="V358" s="533"/>
      <c r="W358" s="533"/>
    </row>
    <row r="359" spans="1:23" s="531" customFormat="1" ht="19.5" customHeight="1">
      <c r="A359" s="532"/>
      <c r="B359" s="533"/>
      <c r="C359" s="533"/>
      <c r="D359" s="533"/>
      <c r="E359" s="533"/>
      <c r="F359" s="533"/>
      <c r="G359" s="533"/>
      <c r="H359" s="533"/>
      <c r="I359" s="533"/>
      <c r="J359" s="533"/>
      <c r="K359" s="533"/>
      <c r="L359" s="533"/>
      <c r="M359" s="533"/>
      <c r="N359" s="533"/>
      <c r="O359" s="533"/>
      <c r="P359" s="533"/>
      <c r="Q359" s="533"/>
      <c r="R359" s="533"/>
      <c r="S359" s="533"/>
      <c r="T359" s="533"/>
      <c r="U359" s="533"/>
      <c r="V359" s="533"/>
      <c r="W359" s="533"/>
    </row>
    <row r="360" spans="1:23" s="531" customFormat="1" ht="19.5" customHeight="1">
      <c r="A360" s="532"/>
      <c r="B360" s="533"/>
      <c r="C360" s="533"/>
      <c r="D360" s="533"/>
      <c r="E360" s="533"/>
      <c r="F360" s="533"/>
      <c r="G360" s="533"/>
      <c r="H360" s="533"/>
      <c r="I360" s="533"/>
      <c r="J360" s="533"/>
      <c r="K360" s="533"/>
      <c r="L360" s="533"/>
      <c r="M360" s="533"/>
      <c r="N360" s="533"/>
      <c r="O360" s="533"/>
      <c r="P360" s="533"/>
      <c r="Q360" s="533"/>
      <c r="R360" s="533"/>
      <c r="S360" s="533"/>
      <c r="T360" s="533"/>
      <c r="U360" s="533"/>
      <c r="V360" s="533"/>
      <c r="W360" s="533"/>
    </row>
    <row r="361" spans="1:23" s="531" customFormat="1" ht="19.5" customHeight="1">
      <c r="A361" s="532"/>
      <c r="B361" s="533"/>
      <c r="C361" s="533"/>
      <c r="D361" s="533"/>
      <c r="E361" s="533"/>
      <c r="F361" s="533"/>
      <c r="G361" s="533"/>
      <c r="H361" s="533"/>
      <c r="I361" s="533"/>
      <c r="J361" s="533"/>
      <c r="K361" s="533"/>
      <c r="L361" s="533"/>
      <c r="M361" s="533"/>
      <c r="N361" s="533"/>
      <c r="O361" s="533"/>
      <c r="P361" s="533"/>
      <c r="Q361" s="533"/>
      <c r="R361" s="533"/>
      <c r="S361" s="533"/>
      <c r="T361" s="533"/>
      <c r="U361" s="533"/>
      <c r="V361" s="533"/>
      <c r="W361" s="533"/>
    </row>
    <row r="362" spans="1:23" s="531" customFormat="1" ht="19.5" customHeight="1">
      <c r="A362" s="532"/>
      <c r="B362" s="533"/>
      <c r="C362" s="533"/>
      <c r="D362" s="533"/>
      <c r="E362" s="533"/>
      <c r="F362" s="533"/>
      <c r="G362" s="533"/>
      <c r="H362" s="533"/>
      <c r="I362" s="533"/>
      <c r="J362" s="533"/>
      <c r="K362" s="533"/>
      <c r="L362" s="533"/>
      <c r="M362" s="533"/>
      <c r="N362" s="533"/>
      <c r="O362" s="533"/>
      <c r="P362" s="533"/>
      <c r="Q362" s="533"/>
      <c r="R362" s="533"/>
      <c r="S362" s="533"/>
      <c r="T362" s="533"/>
      <c r="U362" s="533"/>
      <c r="V362" s="533"/>
      <c r="W362" s="533"/>
    </row>
    <row r="363" spans="1:23" s="531" customFormat="1" ht="19.5" customHeight="1">
      <c r="A363" s="532"/>
      <c r="B363" s="533"/>
      <c r="C363" s="533"/>
      <c r="D363" s="533"/>
      <c r="E363" s="533"/>
      <c r="F363" s="533"/>
      <c r="G363" s="533"/>
      <c r="H363" s="533"/>
      <c r="I363" s="533"/>
      <c r="J363" s="533"/>
      <c r="K363" s="533"/>
      <c r="L363" s="533"/>
      <c r="M363" s="533"/>
      <c r="N363" s="533"/>
      <c r="O363" s="533"/>
      <c r="P363" s="533"/>
      <c r="Q363" s="533"/>
      <c r="R363" s="533"/>
      <c r="S363" s="533"/>
      <c r="T363" s="533"/>
      <c r="U363" s="533"/>
      <c r="V363" s="533"/>
      <c r="W363" s="533"/>
    </row>
    <row r="364" spans="1:23" s="531" customFormat="1" ht="19.5" customHeight="1">
      <c r="A364" s="532"/>
      <c r="B364" s="533"/>
      <c r="C364" s="533"/>
      <c r="D364" s="533"/>
      <c r="E364" s="533"/>
      <c r="F364" s="533"/>
      <c r="G364" s="533"/>
      <c r="H364" s="533"/>
      <c r="I364" s="533"/>
      <c r="J364" s="533"/>
      <c r="K364" s="533"/>
      <c r="L364" s="533"/>
      <c r="M364" s="533"/>
      <c r="N364" s="533"/>
      <c r="O364" s="533"/>
      <c r="P364" s="533"/>
      <c r="Q364" s="533"/>
      <c r="R364" s="533"/>
      <c r="S364" s="533"/>
      <c r="T364" s="533"/>
      <c r="U364" s="533"/>
      <c r="V364" s="533"/>
      <c r="W364" s="533"/>
    </row>
    <row r="365" spans="1:23" s="531" customFormat="1" ht="19.5" customHeight="1">
      <c r="A365" s="532"/>
      <c r="B365" s="533"/>
      <c r="C365" s="533"/>
      <c r="D365" s="533"/>
      <c r="E365" s="533"/>
      <c r="F365" s="533"/>
      <c r="G365" s="533"/>
      <c r="H365" s="533"/>
      <c r="I365" s="533"/>
      <c r="J365" s="533"/>
      <c r="K365" s="533"/>
      <c r="L365" s="533"/>
      <c r="M365" s="533"/>
      <c r="N365" s="533"/>
      <c r="O365" s="533"/>
      <c r="P365" s="533"/>
      <c r="Q365" s="533"/>
      <c r="R365" s="533"/>
      <c r="S365" s="533"/>
      <c r="T365" s="533"/>
      <c r="U365" s="533"/>
      <c r="V365" s="533"/>
      <c r="W365" s="533"/>
    </row>
    <row r="366" spans="1:23" s="531" customFormat="1" ht="19.5" customHeight="1">
      <c r="A366" s="532"/>
      <c r="B366" s="533"/>
      <c r="C366" s="533"/>
      <c r="D366" s="533"/>
      <c r="E366" s="533"/>
      <c r="F366" s="533"/>
      <c r="G366" s="533"/>
      <c r="H366" s="533"/>
      <c r="I366" s="533"/>
      <c r="J366" s="533"/>
      <c r="K366" s="533"/>
      <c r="L366" s="533"/>
      <c r="M366" s="533"/>
      <c r="N366" s="533"/>
      <c r="O366" s="533"/>
      <c r="P366" s="533"/>
      <c r="Q366" s="533"/>
      <c r="R366" s="533"/>
      <c r="S366" s="533"/>
      <c r="T366" s="533"/>
      <c r="U366" s="533"/>
      <c r="V366" s="533"/>
      <c r="W366" s="533"/>
    </row>
    <row r="367" spans="1:23" s="531" customFormat="1" ht="19.5" customHeight="1">
      <c r="A367" s="532"/>
      <c r="B367" s="533"/>
      <c r="C367" s="533"/>
      <c r="D367" s="533"/>
      <c r="E367" s="533"/>
      <c r="F367" s="533"/>
      <c r="G367" s="533"/>
      <c r="H367" s="533"/>
      <c r="I367" s="533"/>
      <c r="J367" s="533"/>
      <c r="K367" s="533"/>
      <c r="L367" s="533"/>
      <c r="M367" s="533"/>
      <c r="N367" s="533"/>
      <c r="O367" s="533"/>
      <c r="P367" s="533"/>
      <c r="Q367" s="533"/>
      <c r="R367" s="533"/>
      <c r="S367" s="533"/>
      <c r="T367" s="533"/>
      <c r="U367" s="533"/>
      <c r="V367" s="533"/>
      <c r="W367" s="533"/>
    </row>
    <row r="368" spans="1:23" s="531" customFormat="1" ht="19.5" customHeight="1">
      <c r="A368" s="532"/>
      <c r="B368" s="533"/>
      <c r="C368" s="533"/>
      <c r="D368" s="533"/>
      <c r="E368" s="533"/>
      <c r="F368" s="533"/>
      <c r="G368" s="533"/>
      <c r="H368" s="533"/>
      <c r="I368" s="533"/>
      <c r="J368" s="533"/>
      <c r="K368" s="533"/>
      <c r="L368" s="533"/>
      <c r="M368" s="533"/>
      <c r="N368" s="533"/>
      <c r="O368" s="533"/>
      <c r="P368" s="533"/>
      <c r="Q368" s="533"/>
      <c r="R368" s="533"/>
      <c r="S368" s="533"/>
      <c r="T368" s="533"/>
      <c r="U368" s="533"/>
      <c r="V368" s="533"/>
      <c r="W368" s="533"/>
    </row>
    <row r="369" ht="19.5" customHeight="1"/>
    <row r="370" ht="9.75" customHeight="1"/>
    <row r="371" ht="19.5" customHeight="1"/>
    <row r="372" ht="19.5" customHeight="1"/>
    <row r="373" ht="19.5" customHeight="1"/>
    <row r="374" spans="1:23" s="531" customFormat="1" ht="19.5" customHeight="1">
      <c r="A374" s="532"/>
      <c r="B374" s="533"/>
      <c r="C374" s="533"/>
      <c r="D374" s="533"/>
      <c r="E374" s="533"/>
      <c r="F374" s="533"/>
      <c r="G374" s="533"/>
      <c r="H374" s="533"/>
      <c r="I374" s="533"/>
      <c r="J374" s="533"/>
      <c r="K374" s="533"/>
      <c r="L374" s="533"/>
      <c r="M374" s="533"/>
      <c r="N374" s="533"/>
      <c r="O374" s="533"/>
      <c r="P374" s="533"/>
      <c r="Q374" s="533"/>
      <c r="R374" s="533"/>
      <c r="S374" s="533"/>
      <c r="T374" s="533"/>
      <c r="U374" s="533"/>
      <c r="V374" s="533"/>
      <c r="W374" s="533"/>
    </row>
    <row r="375" spans="1:23" s="531" customFormat="1" ht="19.5" customHeight="1">
      <c r="A375" s="532"/>
      <c r="B375" s="533"/>
      <c r="C375" s="533"/>
      <c r="D375" s="533"/>
      <c r="E375" s="533"/>
      <c r="F375" s="533"/>
      <c r="G375" s="533"/>
      <c r="H375" s="533"/>
      <c r="I375" s="533"/>
      <c r="J375" s="533"/>
      <c r="K375" s="533"/>
      <c r="L375" s="533"/>
      <c r="M375" s="533"/>
      <c r="N375" s="533"/>
      <c r="O375" s="533"/>
      <c r="P375" s="533"/>
      <c r="Q375" s="533"/>
      <c r="R375" s="533"/>
      <c r="S375" s="533"/>
      <c r="T375" s="533"/>
      <c r="U375" s="533"/>
      <c r="V375" s="533"/>
      <c r="W375" s="533"/>
    </row>
    <row r="376" spans="1:23" s="531" customFormat="1" ht="19.5" customHeight="1">
      <c r="A376" s="532"/>
      <c r="B376" s="533"/>
      <c r="C376" s="533"/>
      <c r="D376" s="533"/>
      <c r="E376" s="533"/>
      <c r="F376" s="533"/>
      <c r="G376" s="533"/>
      <c r="H376" s="533"/>
      <c r="I376" s="533"/>
      <c r="J376" s="533"/>
      <c r="K376" s="533"/>
      <c r="L376" s="533"/>
      <c r="M376" s="533"/>
      <c r="N376" s="533"/>
      <c r="O376" s="533"/>
      <c r="P376" s="533"/>
      <c r="Q376" s="533"/>
      <c r="R376" s="533"/>
      <c r="S376" s="533"/>
      <c r="T376" s="533"/>
      <c r="U376" s="533"/>
      <c r="V376" s="533"/>
      <c r="W376" s="533"/>
    </row>
    <row r="377" spans="1:23" s="531" customFormat="1" ht="19.5" customHeight="1">
      <c r="A377" s="532"/>
      <c r="B377" s="533"/>
      <c r="C377" s="533"/>
      <c r="D377" s="533"/>
      <c r="E377" s="533"/>
      <c r="F377" s="533"/>
      <c r="G377" s="533"/>
      <c r="H377" s="533"/>
      <c r="I377" s="533"/>
      <c r="J377" s="533"/>
      <c r="K377" s="533"/>
      <c r="L377" s="533"/>
      <c r="M377" s="533"/>
      <c r="N377" s="533"/>
      <c r="O377" s="533"/>
      <c r="P377" s="533"/>
      <c r="Q377" s="533"/>
      <c r="R377" s="533"/>
      <c r="S377" s="533"/>
      <c r="T377" s="533"/>
      <c r="U377" s="533"/>
      <c r="V377" s="533"/>
      <c r="W377" s="533"/>
    </row>
    <row r="378" spans="1:23" s="531" customFormat="1" ht="19.5" customHeight="1">
      <c r="A378" s="532"/>
      <c r="B378" s="533"/>
      <c r="C378" s="533"/>
      <c r="D378" s="533"/>
      <c r="E378" s="533"/>
      <c r="F378" s="533"/>
      <c r="G378" s="533"/>
      <c r="H378" s="533"/>
      <c r="I378" s="533"/>
      <c r="J378" s="533"/>
      <c r="K378" s="533"/>
      <c r="L378" s="533"/>
      <c r="M378" s="533"/>
      <c r="N378" s="533"/>
      <c r="O378" s="533"/>
      <c r="P378" s="533"/>
      <c r="Q378" s="533"/>
      <c r="R378" s="533"/>
      <c r="S378" s="533"/>
      <c r="T378" s="533"/>
      <c r="U378" s="533"/>
      <c r="V378" s="533"/>
      <c r="W378" s="533"/>
    </row>
    <row r="379" spans="1:23" s="531" customFormat="1" ht="19.5" customHeight="1">
      <c r="A379" s="532"/>
      <c r="B379" s="533"/>
      <c r="C379" s="533"/>
      <c r="D379" s="533"/>
      <c r="E379" s="533"/>
      <c r="F379" s="533"/>
      <c r="G379" s="533"/>
      <c r="H379" s="533"/>
      <c r="I379" s="533"/>
      <c r="J379" s="533"/>
      <c r="K379" s="533"/>
      <c r="L379" s="533"/>
      <c r="M379" s="533"/>
      <c r="N379" s="533"/>
      <c r="O379" s="533"/>
      <c r="P379" s="533"/>
      <c r="Q379" s="533"/>
      <c r="R379" s="533"/>
      <c r="S379" s="533"/>
      <c r="T379" s="533"/>
      <c r="U379" s="533"/>
      <c r="V379" s="533"/>
      <c r="W379" s="533"/>
    </row>
    <row r="380" spans="1:23" s="531" customFormat="1" ht="19.5" customHeight="1">
      <c r="A380" s="532"/>
      <c r="B380" s="533"/>
      <c r="C380" s="533"/>
      <c r="D380" s="533"/>
      <c r="E380" s="533"/>
      <c r="F380" s="533"/>
      <c r="G380" s="533"/>
      <c r="H380" s="533"/>
      <c r="I380" s="533"/>
      <c r="J380" s="533"/>
      <c r="K380" s="533"/>
      <c r="L380" s="533"/>
      <c r="M380" s="533"/>
      <c r="N380" s="533"/>
      <c r="O380" s="533"/>
      <c r="P380" s="533"/>
      <c r="Q380" s="533"/>
      <c r="R380" s="533"/>
      <c r="S380" s="533"/>
      <c r="T380" s="533"/>
      <c r="U380" s="533"/>
      <c r="V380" s="533"/>
      <c r="W380" s="533"/>
    </row>
    <row r="381" spans="1:23" s="531" customFormat="1" ht="19.5" customHeight="1">
      <c r="A381" s="532"/>
      <c r="B381" s="533"/>
      <c r="C381" s="533"/>
      <c r="D381" s="533"/>
      <c r="E381" s="533"/>
      <c r="F381" s="533"/>
      <c r="G381" s="533"/>
      <c r="H381" s="533"/>
      <c r="I381" s="533"/>
      <c r="J381" s="533"/>
      <c r="K381" s="533"/>
      <c r="L381" s="533"/>
      <c r="M381" s="533"/>
      <c r="N381" s="533"/>
      <c r="O381" s="533"/>
      <c r="P381" s="533"/>
      <c r="Q381" s="533"/>
      <c r="R381" s="533"/>
      <c r="S381" s="533"/>
      <c r="T381" s="533"/>
      <c r="U381" s="533"/>
      <c r="V381" s="533"/>
      <c r="W381" s="533"/>
    </row>
    <row r="382" spans="1:23" s="531" customFormat="1" ht="19.5" customHeight="1">
      <c r="A382" s="532"/>
      <c r="B382" s="533"/>
      <c r="C382" s="533"/>
      <c r="D382" s="533"/>
      <c r="E382" s="533"/>
      <c r="F382" s="533"/>
      <c r="G382" s="533"/>
      <c r="H382" s="533"/>
      <c r="I382" s="533"/>
      <c r="J382" s="533"/>
      <c r="K382" s="533"/>
      <c r="L382" s="533"/>
      <c r="M382" s="533"/>
      <c r="N382" s="533"/>
      <c r="O382" s="533"/>
      <c r="P382" s="533"/>
      <c r="Q382" s="533"/>
      <c r="R382" s="533"/>
      <c r="S382" s="533"/>
      <c r="T382" s="533"/>
      <c r="U382" s="533"/>
      <c r="V382" s="533"/>
      <c r="W382" s="533"/>
    </row>
    <row r="383" spans="1:23" s="531" customFormat="1" ht="19.5" customHeight="1">
      <c r="A383" s="532"/>
      <c r="B383" s="533"/>
      <c r="C383" s="533"/>
      <c r="D383" s="533"/>
      <c r="E383" s="533"/>
      <c r="F383" s="533"/>
      <c r="G383" s="533"/>
      <c r="H383" s="533"/>
      <c r="I383" s="533"/>
      <c r="J383" s="533"/>
      <c r="K383" s="533"/>
      <c r="L383" s="533"/>
      <c r="M383" s="533"/>
      <c r="N383" s="533"/>
      <c r="O383" s="533"/>
      <c r="P383" s="533"/>
      <c r="Q383" s="533"/>
      <c r="R383" s="533"/>
      <c r="S383" s="533"/>
      <c r="T383" s="533"/>
      <c r="U383" s="533"/>
      <c r="V383" s="533"/>
      <c r="W383" s="533"/>
    </row>
    <row r="384" spans="1:23" s="531" customFormat="1" ht="19.5" customHeight="1">
      <c r="A384" s="532"/>
      <c r="B384" s="533"/>
      <c r="C384" s="533"/>
      <c r="D384" s="533"/>
      <c r="E384" s="533"/>
      <c r="F384" s="533"/>
      <c r="G384" s="533"/>
      <c r="H384" s="533"/>
      <c r="I384" s="533"/>
      <c r="J384" s="533"/>
      <c r="K384" s="533"/>
      <c r="L384" s="533"/>
      <c r="M384" s="533"/>
      <c r="N384" s="533"/>
      <c r="O384" s="533"/>
      <c r="P384" s="533"/>
      <c r="Q384" s="533"/>
      <c r="R384" s="533"/>
      <c r="S384" s="533"/>
      <c r="T384" s="533"/>
      <c r="U384" s="533"/>
      <c r="V384" s="533"/>
      <c r="W384" s="533"/>
    </row>
    <row r="385" spans="1:23" s="531" customFormat="1" ht="19.5" customHeight="1">
      <c r="A385" s="532"/>
      <c r="B385" s="533"/>
      <c r="C385" s="533"/>
      <c r="D385" s="533"/>
      <c r="E385" s="533"/>
      <c r="F385" s="533"/>
      <c r="G385" s="533"/>
      <c r="H385" s="533"/>
      <c r="I385" s="533"/>
      <c r="J385" s="533"/>
      <c r="K385" s="533"/>
      <c r="L385" s="533"/>
      <c r="M385" s="533"/>
      <c r="N385" s="533"/>
      <c r="O385" s="533"/>
      <c r="P385" s="533"/>
      <c r="Q385" s="533"/>
      <c r="R385" s="533"/>
      <c r="S385" s="533"/>
      <c r="T385" s="533"/>
      <c r="U385" s="533"/>
      <c r="V385" s="533"/>
      <c r="W385" s="533"/>
    </row>
    <row r="386" spans="1:23" s="531" customFormat="1" ht="19.5" customHeight="1">
      <c r="A386" s="532"/>
      <c r="B386" s="533"/>
      <c r="C386" s="533"/>
      <c r="D386" s="533"/>
      <c r="E386" s="533"/>
      <c r="F386" s="533"/>
      <c r="G386" s="533"/>
      <c r="H386" s="533"/>
      <c r="I386" s="533"/>
      <c r="J386" s="533"/>
      <c r="K386" s="533"/>
      <c r="L386" s="533"/>
      <c r="M386" s="533"/>
      <c r="N386" s="533"/>
      <c r="O386" s="533"/>
      <c r="P386" s="533"/>
      <c r="Q386" s="533"/>
      <c r="R386" s="533"/>
      <c r="S386" s="533"/>
      <c r="T386" s="533"/>
      <c r="U386" s="533"/>
      <c r="V386" s="533"/>
      <c r="W386" s="533"/>
    </row>
    <row r="387" spans="1:23" s="531" customFormat="1" ht="19.5" customHeight="1">
      <c r="A387" s="532"/>
      <c r="B387" s="533"/>
      <c r="C387" s="533"/>
      <c r="D387" s="533"/>
      <c r="E387" s="533"/>
      <c r="F387" s="533"/>
      <c r="G387" s="533"/>
      <c r="H387" s="533"/>
      <c r="I387" s="533"/>
      <c r="J387" s="533"/>
      <c r="K387" s="533"/>
      <c r="L387" s="533"/>
      <c r="M387" s="533"/>
      <c r="N387" s="533"/>
      <c r="O387" s="533"/>
      <c r="P387" s="533"/>
      <c r="Q387" s="533"/>
      <c r="R387" s="533"/>
      <c r="S387" s="533"/>
      <c r="T387" s="533"/>
      <c r="U387" s="533"/>
      <c r="V387" s="533"/>
      <c r="W387" s="533"/>
    </row>
    <row r="388" spans="1:23" s="531" customFormat="1" ht="19.5" customHeight="1">
      <c r="A388" s="532"/>
      <c r="B388" s="533"/>
      <c r="C388" s="533"/>
      <c r="D388" s="533"/>
      <c r="E388" s="533"/>
      <c r="F388" s="533"/>
      <c r="G388" s="533"/>
      <c r="H388" s="533"/>
      <c r="I388" s="533"/>
      <c r="J388" s="533"/>
      <c r="K388" s="533"/>
      <c r="L388" s="533"/>
      <c r="M388" s="533"/>
      <c r="N388" s="533"/>
      <c r="O388" s="533"/>
      <c r="P388" s="533"/>
      <c r="Q388" s="533"/>
      <c r="R388" s="533"/>
      <c r="S388" s="533"/>
      <c r="T388" s="533"/>
      <c r="U388" s="533"/>
      <c r="V388" s="533"/>
      <c r="W388" s="533"/>
    </row>
    <row r="389" spans="1:23" s="531" customFormat="1" ht="19.5" customHeight="1">
      <c r="A389" s="532"/>
      <c r="B389" s="533"/>
      <c r="C389" s="533"/>
      <c r="D389" s="533"/>
      <c r="E389" s="533"/>
      <c r="F389" s="533"/>
      <c r="G389" s="533"/>
      <c r="H389" s="533"/>
      <c r="I389" s="533"/>
      <c r="J389" s="533"/>
      <c r="K389" s="533"/>
      <c r="L389" s="533"/>
      <c r="M389" s="533"/>
      <c r="N389" s="533"/>
      <c r="O389" s="533"/>
      <c r="P389" s="533"/>
      <c r="Q389" s="533"/>
      <c r="R389" s="533"/>
      <c r="S389" s="533"/>
      <c r="T389" s="533"/>
      <c r="U389" s="533"/>
      <c r="V389" s="533"/>
      <c r="W389" s="533"/>
    </row>
    <row r="390" spans="1:23" s="531" customFormat="1" ht="19.5" customHeight="1">
      <c r="A390" s="532"/>
      <c r="B390" s="533"/>
      <c r="C390" s="533"/>
      <c r="D390" s="533"/>
      <c r="E390" s="533"/>
      <c r="F390" s="533"/>
      <c r="G390" s="533"/>
      <c r="H390" s="533"/>
      <c r="I390" s="533"/>
      <c r="J390" s="533"/>
      <c r="K390" s="533"/>
      <c r="L390" s="533"/>
      <c r="M390" s="533"/>
      <c r="N390" s="533"/>
      <c r="O390" s="533"/>
      <c r="P390" s="533"/>
      <c r="Q390" s="533"/>
      <c r="R390" s="533"/>
      <c r="S390" s="533"/>
      <c r="T390" s="533"/>
      <c r="U390" s="533"/>
      <c r="V390" s="533"/>
      <c r="W390" s="533"/>
    </row>
    <row r="391" spans="1:23" s="531" customFormat="1" ht="19.5" customHeight="1">
      <c r="A391" s="532"/>
      <c r="B391" s="533"/>
      <c r="C391" s="533"/>
      <c r="D391" s="533"/>
      <c r="E391" s="533"/>
      <c r="F391" s="533"/>
      <c r="G391" s="533"/>
      <c r="H391" s="533"/>
      <c r="I391" s="533"/>
      <c r="J391" s="533"/>
      <c r="K391" s="533"/>
      <c r="L391" s="533"/>
      <c r="M391" s="533"/>
      <c r="N391" s="533"/>
      <c r="O391" s="533"/>
      <c r="P391" s="533"/>
      <c r="Q391" s="533"/>
      <c r="R391" s="533"/>
      <c r="S391" s="533"/>
      <c r="T391" s="533"/>
      <c r="U391" s="533"/>
      <c r="V391" s="533"/>
      <c r="W391" s="533"/>
    </row>
    <row r="392" spans="1:23" s="531" customFormat="1" ht="19.5" customHeight="1">
      <c r="A392" s="532"/>
      <c r="B392" s="533"/>
      <c r="C392" s="533"/>
      <c r="D392" s="533"/>
      <c r="E392" s="533"/>
      <c r="F392" s="533"/>
      <c r="G392" s="533"/>
      <c r="H392" s="533"/>
      <c r="I392" s="533"/>
      <c r="J392" s="533"/>
      <c r="K392" s="533"/>
      <c r="L392" s="533"/>
      <c r="M392" s="533"/>
      <c r="N392" s="533"/>
      <c r="O392" s="533"/>
      <c r="P392" s="533"/>
      <c r="Q392" s="533"/>
      <c r="R392" s="533"/>
      <c r="S392" s="533"/>
      <c r="T392" s="533"/>
      <c r="U392" s="533"/>
      <c r="V392" s="533"/>
      <c r="W392" s="533"/>
    </row>
    <row r="393" spans="1:23" s="531" customFormat="1" ht="19.5" customHeight="1">
      <c r="A393" s="532"/>
      <c r="B393" s="533"/>
      <c r="C393" s="533"/>
      <c r="D393" s="533"/>
      <c r="E393" s="533"/>
      <c r="F393" s="533"/>
      <c r="G393" s="533"/>
      <c r="H393" s="533"/>
      <c r="I393" s="533"/>
      <c r="J393" s="533"/>
      <c r="K393" s="533"/>
      <c r="L393" s="533"/>
      <c r="M393" s="533"/>
      <c r="N393" s="533"/>
      <c r="O393" s="533"/>
      <c r="P393" s="533"/>
      <c r="Q393" s="533"/>
      <c r="R393" s="533"/>
      <c r="S393" s="533"/>
      <c r="T393" s="533"/>
      <c r="U393" s="533"/>
      <c r="V393" s="533"/>
      <c r="W393" s="533"/>
    </row>
    <row r="394" spans="1:23" s="531" customFormat="1" ht="19.5" customHeight="1">
      <c r="A394" s="532"/>
      <c r="B394" s="533"/>
      <c r="C394" s="533"/>
      <c r="D394" s="533"/>
      <c r="E394" s="533"/>
      <c r="F394" s="533"/>
      <c r="G394" s="533"/>
      <c r="H394" s="533"/>
      <c r="I394" s="533"/>
      <c r="J394" s="533"/>
      <c r="K394" s="533"/>
      <c r="L394" s="533"/>
      <c r="M394" s="533"/>
      <c r="N394" s="533"/>
      <c r="O394" s="533"/>
      <c r="P394" s="533"/>
      <c r="Q394" s="533"/>
      <c r="R394" s="533"/>
      <c r="S394" s="533"/>
      <c r="T394" s="533"/>
      <c r="U394" s="533"/>
      <c r="V394" s="533"/>
      <c r="W394" s="533"/>
    </row>
    <row r="395" spans="1:23" s="531" customFormat="1" ht="19.5" customHeight="1">
      <c r="A395" s="532"/>
      <c r="B395" s="533"/>
      <c r="C395" s="533"/>
      <c r="D395" s="533"/>
      <c r="E395" s="533"/>
      <c r="F395" s="533"/>
      <c r="G395" s="533"/>
      <c r="H395" s="533"/>
      <c r="I395" s="533"/>
      <c r="J395" s="533"/>
      <c r="K395" s="533"/>
      <c r="L395" s="533"/>
      <c r="M395" s="533"/>
      <c r="N395" s="533"/>
      <c r="O395" s="533"/>
      <c r="P395" s="533"/>
      <c r="Q395" s="533"/>
      <c r="R395" s="533"/>
      <c r="S395" s="533"/>
      <c r="T395" s="533"/>
      <c r="U395" s="533"/>
      <c r="V395" s="533"/>
      <c r="W395" s="533"/>
    </row>
    <row r="396" spans="1:23" s="531" customFormat="1" ht="19.5" customHeight="1">
      <c r="A396" s="532"/>
      <c r="B396" s="533"/>
      <c r="C396" s="533"/>
      <c r="D396" s="533"/>
      <c r="E396" s="533"/>
      <c r="F396" s="533"/>
      <c r="G396" s="533"/>
      <c r="H396" s="533"/>
      <c r="I396" s="533"/>
      <c r="J396" s="533"/>
      <c r="K396" s="533"/>
      <c r="L396" s="533"/>
      <c r="M396" s="533"/>
      <c r="N396" s="533"/>
      <c r="O396" s="533"/>
      <c r="P396" s="533"/>
      <c r="Q396" s="533"/>
      <c r="R396" s="533"/>
      <c r="S396" s="533"/>
      <c r="T396" s="533"/>
      <c r="U396" s="533"/>
      <c r="V396" s="533"/>
      <c r="W396" s="533"/>
    </row>
    <row r="397" spans="1:23" s="531" customFormat="1" ht="19.5" customHeight="1">
      <c r="A397" s="532"/>
      <c r="B397" s="533"/>
      <c r="C397" s="533"/>
      <c r="D397" s="533"/>
      <c r="E397" s="533"/>
      <c r="F397" s="533"/>
      <c r="G397" s="533"/>
      <c r="H397" s="533"/>
      <c r="I397" s="533"/>
      <c r="J397" s="533"/>
      <c r="K397" s="533"/>
      <c r="L397" s="533"/>
      <c r="M397" s="533"/>
      <c r="N397" s="533"/>
      <c r="O397" s="533"/>
      <c r="P397" s="533"/>
      <c r="Q397" s="533"/>
      <c r="R397" s="533"/>
      <c r="S397" s="533"/>
      <c r="T397" s="533"/>
      <c r="U397" s="533"/>
      <c r="V397" s="533"/>
      <c r="W397" s="533"/>
    </row>
    <row r="398" spans="1:23" s="531" customFormat="1" ht="19.5" customHeight="1">
      <c r="A398" s="532"/>
      <c r="B398" s="533"/>
      <c r="C398" s="533"/>
      <c r="D398" s="533"/>
      <c r="E398" s="533"/>
      <c r="F398" s="533"/>
      <c r="G398" s="533"/>
      <c r="H398" s="533"/>
      <c r="I398" s="533"/>
      <c r="J398" s="533"/>
      <c r="K398" s="533"/>
      <c r="L398" s="533"/>
      <c r="M398" s="533"/>
      <c r="N398" s="533"/>
      <c r="O398" s="533"/>
      <c r="P398" s="533"/>
      <c r="Q398" s="533"/>
      <c r="R398" s="533"/>
      <c r="S398" s="533"/>
      <c r="T398" s="533"/>
      <c r="U398" s="533"/>
      <c r="V398" s="533"/>
      <c r="W398" s="533"/>
    </row>
    <row r="399" spans="1:23" s="531" customFormat="1" ht="19.5" customHeight="1">
      <c r="A399" s="532"/>
      <c r="B399" s="533"/>
      <c r="C399" s="533"/>
      <c r="D399" s="533"/>
      <c r="E399" s="533"/>
      <c r="F399" s="533"/>
      <c r="G399" s="533"/>
      <c r="H399" s="533"/>
      <c r="I399" s="533"/>
      <c r="J399" s="533"/>
      <c r="K399" s="533"/>
      <c r="L399" s="533"/>
      <c r="M399" s="533"/>
      <c r="N399" s="533"/>
      <c r="O399" s="533"/>
      <c r="P399" s="533"/>
      <c r="Q399" s="533"/>
      <c r="R399" s="533"/>
      <c r="S399" s="533"/>
      <c r="T399" s="533"/>
      <c r="U399" s="533"/>
      <c r="V399" s="533"/>
      <c r="W399" s="533"/>
    </row>
    <row r="400" spans="1:23" s="531" customFormat="1" ht="19.5" customHeight="1">
      <c r="A400" s="532"/>
      <c r="B400" s="533"/>
      <c r="C400" s="533"/>
      <c r="D400" s="533"/>
      <c r="E400" s="533"/>
      <c r="F400" s="533"/>
      <c r="G400" s="533"/>
      <c r="H400" s="533"/>
      <c r="I400" s="533"/>
      <c r="J400" s="533"/>
      <c r="K400" s="533"/>
      <c r="L400" s="533"/>
      <c r="M400" s="533"/>
      <c r="N400" s="533"/>
      <c r="O400" s="533"/>
      <c r="P400" s="533"/>
      <c r="Q400" s="533"/>
      <c r="R400" s="533"/>
      <c r="S400" s="533"/>
      <c r="T400" s="533"/>
      <c r="U400" s="533"/>
      <c r="V400" s="533"/>
      <c r="W400" s="533"/>
    </row>
    <row r="401" spans="1:23" s="531" customFormat="1" ht="19.5" customHeight="1">
      <c r="A401" s="532"/>
      <c r="B401" s="533"/>
      <c r="C401" s="533"/>
      <c r="D401" s="533"/>
      <c r="E401" s="533"/>
      <c r="F401" s="533"/>
      <c r="G401" s="533"/>
      <c r="H401" s="533"/>
      <c r="I401" s="533"/>
      <c r="J401" s="533"/>
      <c r="K401" s="533"/>
      <c r="L401" s="533"/>
      <c r="M401" s="533"/>
      <c r="N401" s="533"/>
      <c r="O401" s="533"/>
      <c r="P401" s="533"/>
      <c r="Q401" s="533"/>
      <c r="R401" s="533"/>
      <c r="S401" s="533"/>
      <c r="T401" s="533"/>
      <c r="U401" s="533"/>
      <c r="V401" s="533"/>
      <c r="W401" s="533"/>
    </row>
    <row r="402" spans="1:23" s="531" customFormat="1" ht="19.5" customHeight="1">
      <c r="A402" s="532"/>
      <c r="B402" s="533"/>
      <c r="C402" s="533"/>
      <c r="D402" s="533"/>
      <c r="E402" s="533"/>
      <c r="F402" s="533"/>
      <c r="G402" s="533"/>
      <c r="H402" s="533"/>
      <c r="I402" s="533"/>
      <c r="J402" s="533"/>
      <c r="K402" s="533"/>
      <c r="L402" s="533"/>
      <c r="M402" s="533"/>
      <c r="N402" s="533"/>
      <c r="O402" s="533"/>
      <c r="P402" s="533"/>
      <c r="Q402" s="533"/>
      <c r="R402" s="533"/>
      <c r="S402" s="533"/>
      <c r="T402" s="533"/>
      <c r="U402" s="533"/>
      <c r="V402" s="533"/>
      <c r="W402" s="533"/>
    </row>
    <row r="403" spans="1:23" s="531" customFormat="1" ht="19.5" customHeight="1">
      <c r="A403" s="532"/>
      <c r="B403" s="533"/>
      <c r="C403" s="533"/>
      <c r="D403" s="533"/>
      <c r="E403" s="533"/>
      <c r="F403" s="533"/>
      <c r="G403" s="533"/>
      <c r="H403" s="533"/>
      <c r="I403" s="533"/>
      <c r="J403" s="533"/>
      <c r="K403" s="533"/>
      <c r="L403" s="533"/>
      <c r="M403" s="533"/>
      <c r="N403" s="533"/>
      <c r="O403" s="533"/>
      <c r="P403" s="533"/>
      <c r="Q403" s="533"/>
      <c r="R403" s="533"/>
      <c r="S403" s="533"/>
      <c r="T403" s="533"/>
      <c r="U403" s="533"/>
      <c r="V403" s="533"/>
      <c r="W403" s="533"/>
    </row>
    <row r="404" spans="1:23" s="531" customFormat="1" ht="19.5" customHeight="1">
      <c r="A404" s="532"/>
      <c r="B404" s="533"/>
      <c r="C404" s="533"/>
      <c r="D404" s="533"/>
      <c r="E404" s="533"/>
      <c r="F404" s="533"/>
      <c r="G404" s="533"/>
      <c r="H404" s="533"/>
      <c r="I404" s="533"/>
      <c r="J404" s="533"/>
      <c r="K404" s="533"/>
      <c r="L404" s="533"/>
      <c r="M404" s="533"/>
      <c r="N404" s="533"/>
      <c r="O404" s="533"/>
      <c r="P404" s="533"/>
      <c r="Q404" s="533"/>
      <c r="R404" s="533"/>
      <c r="S404" s="533"/>
      <c r="T404" s="533"/>
      <c r="U404" s="533"/>
      <c r="V404" s="533"/>
      <c r="W404" s="533"/>
    </row>
    <row r="405" spans="1:23" s="531" customFormat="1" ht="19.5" customHeight="1">
      <c r="A405" s="532"/>
      <c r="B405" s="533"/>
      <c r="C405" s="533"/>
      <c r="D405" s="533"/>
      <c r="E405" s="533"/>
      <c r="F405" s="533"/>
      <c r="G405" s="533"/>
      <c r="H405" s="533"/>
      <c r="I405" s="533"/>
      <c r="J405" s="533"/>
      <c r="K405" s="533"/>
      <c r="L405" s="533"/>
      <c r="M405" s="533"/>
      <c r="N405" s="533"/>
      <c r="O405" s="533"/>
      <c r="P405" s="533"/>
      <c r="Q405" s="533"/>
      <c r="R405" s="533"/>
      <c r="S405" s="533"/>
      <c r="T405" s="533"/>
      <c r="U405" s="533"/>
      <c r="V405" s="533"/>
      <c r="W405" s="533"/>
    </row>
    <row r="406" spans="1:23" s="531" customFormat="1" ht="19.5" customHeight="1">
      <c r="A406" s="532"/>
      <c r="B406" s="533"/>
      <c r="C406" s="533"/>
      <c r="D406" s="533"/>
      <c r="E406" s="533"/>
      <c r="F406" s="533"/>
      <c r="G406" s="533"/>
      <c r="H406" s="533"/>
      <c r="I406" s="533"/>
      <c r="J406" s="533"/>
      <c r="K406" s="533"/>
      <c r="L406" s="533"/>
      <c r="M406" s="533"/>
      <c r="N406" s="533"/>
      <c r="O406" s="533"/>
      <c r="P406" s="533"/>
      <c r="Q406" s="533"/>
      <c r="R406" s="533"/>
      <c r="S406" s="533"/>
      <c r="T406" s="533"/>
      <c r="U406" s="533"/>
      <c r="V406" s="533"/>
      <c r="W406" s="533"/>
    </row>
    <row r="407" spans="1:23" s="531" customFormat="1" ht="19.5" customHeight="1">
      <c r="A407" s="532"/>
      <c r="B407" s="533"/>
      <c r="C407" s="533"/>
      <c r="D407" s="533"/>
      <c r="E407" s="533"/>
      <c r="F407" s="533"/>
      <c r="G407" s="533"/>
      <c r="H407" s="533"/>
      <c r="I407" s="533"/>
      <c r="J407" s="533"/>
      <c r="K407" s="533"/>
      <c r="L407" s="533"/>
      <c r="M407" s="533"/>
      <c r="N407" s="533"/>
      <c r="O407" s="533"/>
      <c r="P407" s="533"/>
      <c r="Q407" s="533"/>
      <c r="R407" s="533"/>
      <c r="S407" s="533"/>
      <c r="T407" s="533"/>
      <c r="U407" s="533"/>
      <c r="V407" s="533"/>
      <c r="W407" s="533"/>
    </row>
    <row r="408" spans="1:23" s="531" customFormat="1" ht="19.5" customHeight="1">
      <c r="A408" s="532"/>
      <c r="B408" s="533"/>
      <c r="C408" s="533"/>
      <c r="D408" s="533"/>
      <c r="E408" s="533"/>
      <c r="F408" s="533"/>
      <c r="G408" s="533"/>
      <c r="H408" s="533"/>
      <c r="I408" s="533"/>
      <c r="J408" s="533"/>
      <c r="K408" s="533"/>
      <c r="L408" s="533"/>
      <c r="M408" s="533"/>
      <c r="N408" s="533"/>
      <c r="O408" s="533"/>
      <c r="P408" s="533"/>
      <c r="Q408" s="533"/>
      <c r="R408" s="533"/>
      <c r="S408" s="533"/>
      <c r="T408" s="533"/>
      <c r="U408" s="533"/>
      <c r="V408" s="533"/>
      <c r="W408" s="533"/>
    </row>
    <row r="409" spans="1:23" s="531" customFormat="1" ht="19.5" customHeight="1">
      <c r="A409" s="532"/>
      <c r="B409" s="533"/>
      <c r="C409" s="533"/>
      <c r="D409" s="533"/>
      <c r="E409" s="533"/>
      <c r="F409" s="533"/>
      <c r="G409" s="533"/>
      <c r="H409" s="533"/>
      <c r="I409" s="533"/>
      <c r="J409" s="533"/>
      <c r="K409" s="533"/>
      <c r="L409" s="533"/>
      <c r="M409" s="533"/>
      <c r="N409" s="533"/>
      <c r="O409" s="533"/>
      <c r="P409" s="533"/>
      <c r="Q409" s="533"/>
      <c r="R409" s="533"/>
      <c r="S409" s="533"/>
      <c r="T409" s="533"/>
      <c r="U409" s="533"/>
      <c r="V409" s="533"/>
      <c r="W409" s="533"/>
    </row>
    <row r="410" spans="1:23" s="531" customFormat="1" ht="19.5" customHeight="1">
      <c r="A410" s="532"/>
      <c r="B410" s="533"/>
      <c r="C410" s="533"/>
      <c r="D410" s="533"/>
      <c r="E410" s="533"/>
      <c r="F410" s="533"/>
      <c r="G410" s="533"/>
      <c r="H410" s="533"/>
      <c r="I410" s="533"/>
      <c r="J410" s="533"/>
      <c r="K410" s="533"/>
      <c r="L410" s="533"/>
      <c r="M410" s="533"/>
      <c r="N410" s="533"/>
      <c r="O410" s="533"/>
      <c r="P410" s="533"/>
      <c r="Q410" s="533"/>
      <c r="R410" s="533"/>
      <c r="S410" s="533"/>
      <c r="T410" s="533"/>
      <c r="U410" s="533"/>
      <c r="V410" s="533"/>
      <c r="W410" s="533"/>
    </row>
    <row r="411" ht="19.5" customHeight="1"/>
    <row r="412" ht="9.75" customHeight="1"/>
    <row r="413" ht="19.5" customHeight="1"/>
    <row r="414" ht="19.5" customHeight="1"/>
    <row r="415" ht="19.5" customHeight="1"/>
    <row r="416" spans="1:23" s="531" customFormat="1" ht="19.5" customHeight="1">
      <c r="A416" s="532"/>
      <c r="B416" s="533"/>
      <c r="C416" s="533"/>
      <c r="D416" s="533"/>
      <c r="E416" s="533"/>
      <c r="F416" s="533"/>
      <c r="G416" s="533"/>
      <c r="H416" s="533"/>
      <c r="I416" s="533"/>
      <c r="J416" s="533"/>
      <c r="K416" s="533"/>
      <c r="L416" s="533"/>
      <c r="M416" s="533"/>
      <c r="N416" s="533"/>
      <c r="O416" s="533"/>
      <c r="P416" s="533"/>
      <c r="Q416" s="533"/>
      <c r="R416" s="533"/>
      <c r="S416" s="533"/>
      <c r="T416" s="533"/>
      <c r="U416" s="533"/>
      <c r="V416" s="533"/>
      <c r="W416" s="533"/>
    </row>
    <row r="417" spans="1:23" s="531" customFormat="1" ht="19.5" customHeight="1">
      <c r="A417" s="532"/>
      <c r="B417" s="533"/>
      <c r="C417" s="533"/>
      <c r="D417" s="533"/>
      <c r="E417" s="533"/>
      <c r="F417" s="533"/>
      <c r="G417" s="533"/>
      <c r="H417" s="533"/>
      <c r="I417" s="533"/>
      <c r="J417" s="533"/>
      <c r="K417" s="533"/>
      <c r="L417" s="533"/>
      <c r="M417" s="533"/>
      <c r="N417" s="533"/>
      <c r="O417" s="533"/>
      <c r="P417" s="533"/>
      <c r="Q417" s="533"/>
      <c r="R417" s="533"/>
      <c r="S417" s="533"/>
      <c r="T417" s="533"/>
      <c r="U417" s="533"/>
      <c r="V417" s="533"/>
      <c r="W417" s="533"/>
    </row>
    <row r="418" spans="1:23" s="531" customFormat="1" ht="19.5" customHeight="1">
      <c r="A418" s="532"/>
      <c r="B418" s="533"/>
      <c r="C418" s="533"/>
      <c r="D418" s="533"/>
      <c r="E418" s="533"/>
      <c r="F418" s="533"/>
      <c r="G418" s="533"/>
      <c r="H418" s="533"/>
      <c r="I418" s="533"/>
      <c r="J418" s="533"/>
      <c r="K418" s="533"/>
      <c r="L418" s="533"/>
      <c r="M418" s="533"/>
      <c r="N418" s="533"/>
      <c r="O418" s="533"/>
      <c r="P418" s="533"/>
      <c r="Q418" s="533"/>
      <c r="R418" s="533"/>
      <c r="S418" s="533"/>
      <c r="T418" s="533"/>
      <c r="U418" s="533"/>
      <c r="V418" s="533"/>
      <c r="W418" s="533"/>
    </row>
    <row r="419" spans="1:23" s="531" customFormat="1" ht="19.5" customHeight="1">
      <c r="A419" s="532"/>
      <c r="B419" s="533"/>
      <c r="C419" s="533"/>
      <c r="D419" s="533"/>
      <c r="E419" s="533"/>
      <c r="F419" s="533"/>
      <c r="G419" s="533"/>
      <c r="H419" s="533"/>
      <c r="I419" s="533"/>
      <c r="J419" s="533"/>
      <c r="K419" s="533"/>
      <c r="L419" s="533"/>
      <c r="M419" s="533"/>
      <c r="N419" s="533"/>
      <c r="O419" s="533"/>
      <c r="P419" s="533"/>
      <c r="Q419" s="533"/>
      <c r="R419" s="533"/>
      <c r="S419" s="533"/>
      <c r="T419" s="533"/>
      <c r="U419" s="533"/>
      <c r="V419" s="533"/>
      <c r="W419" s="533"/>
    </row>
    <row r="420" spans="1:23" s="531" customFormat="1" ht="19.5" customHeight="1">
      <c r="A420" s="532"/>
      <c r="B420" s="533"/>
      <c r="C420" s="533"/>
      <c r="D420" s="533"/>
      <c r="E420" s="533"/>
      <c r="F420" s="533"/>
      <c r="G420" s="533"/>
      <c r="H420" s="533"/>
      <c r="I420" s="533"/>
      <c r="J420" s="533"/>
      <c r="K420" s="533"/>
      <c r="L420" s="533"/>
      <c r="M420" s="533"/>
      <c r="N420" s="533"/>
      <c r="O420" s="533"/>
      <c r="P420" s="533"/>
      <c r="Q420" s="533"/>
      <c r="R420" s="533"/>
      <c r="S420" s="533"/>
      <c r="T420" s="533"/>
      <c r="U420" s="533"/>
      <c r="V420" s="533"/>
      <c r="W420" s="533"/>
    </row>
    <row r="421" spans="1:23" s="531" customFormat="1" ht="19.5" customHeight="1">
      <c r="A421" s="532"/>
      <c r="B421" s="533"/>
      <c r="C421" s="533"/>
      <c r="D421" s="533"/>
      <c r="E421" s="533"/>
      <c r="F421" s="533"/>
      <c r="G421" s="533"/>
      <c r="H421" s="533"/>
      <c r="I421" s="533"/>
      <c r="J421" s="533"/>
      <c r="K421" s="533"/>
      <c r="L421" s="533"/>
      <c r="M421" s="533"/>
      <c r="N421" s="533"/>
      <c r="O421" s="533"/>
      <c r="P421" s="533"/>
      <c r="Q421" s="533"/>
      <c r="R421" s="533"/>
      <c r="S421" s="533"/>
      <c r="T421" s="533"/>
      <c r="U421" s="533"/>
      <c r="V421" s="533"/>
      <c r="W421" s="533"/>
    </row>
    <row r="422" spans="1:23" s="531" customFormat="1" ht="19.5" customHeight="1">
      <c r="A422" s="532"/>
      <c r="B422" s="533"/>
      <c r="C422" s="533"/>
      <c r="D422" s="533"/>
      <c r="E422" s="533"/>
      <c r="F422" s="533"/>
      <c r="G422" s="533"/>
      <c r="H422" s="533"/>
      <c r="I422" s="533"/>
      <c r="J422" s="533"/>
      <c r="K422" s="533"/>
      <c r="L422" s="533"/>
      <c r="M422" s="533"/>
      <c r="N422" s="533"/>
      <c r="O422" s="533"/>
      <c r="P422" s="533"/>
      <c r="Q422" s="533"/>
      <c r="R422" s="533"/>
      <c r="S422" s="533"/>
      <c r="T422" s="533"/>
      <c r="U422" s="533"/>
      <c r="V422" s="533"/>
      <c r="W422" s="533"/>
    </row>
    <row r="423" spans="1:23" s="531" customFormat="1" ht="19.5" customHeight="1">
      <c r="A423" s="532"/>
      <c r="B423" s="533"/>
      <c r="C423" s="533"/>
      <c r="D423" s="533"/>
      <c r="E423" s="533"/>
      <c r="F423" s="533"/>
      <c r="G423" s="533"/>
      <c r="H423" s="533"/>
      <c r="I423" s="533"/>
      <c r="J423" s="533"/>
      <c r="K423" s="533"/>
      <c r="L423" s="533"/>
      <c r="M423" s="533"/>
      <c r="N423" s="533"/>
      <c r="O423" s="533"/>
      <c r="P423" s="533"/>
      <c r="Q423" s="533"/>
      <c r="R423" s="533"/>
      <c r="S423" s="533"/>
      <c r="T423" s="533"/>
      <c r="U423" s="533"/>
      <c r="V423" s="533"/>
      <c r="W423" s="533"/>
    </row>
    <row r="424" spans="1:23" s="531" customFormat="1" ht="19.5" customHeight="1">
      <c r="A424" s="532"/>
      <c r="B424" s="533"/>
      <c r="C424" s="533"/>
      <c r="D424" s="533"/>
      <c r="E424" s="533"/>
      <c r="F424" s="533"/>
      <c r="G424" s="533"/>
      <c r="H424" s="533"/>
      <c r="I424" s="533"/>
      <c r="J424" s="533"/>
      <c r="K424" s="533"/>
      <c r="L424" s="533"/>
      <c r="M424" s="533"/>
      <c r="N424" s="533"/>
      <c r="O424" s="533"/>
      <c r="P424" s="533"/>
      <c r="Q424" s="533"/>
      <c r="R424" s="533"/>
      <c r="S424" s="533"/>
      <c r="T424" s="533"/>
      <c r="U424" s="533"/>
      <c r="V424" s="533"/>
      <c r="W424" s="533"/>
    </row>
    <row r="425" spans="1:23" s="531" customFormat="1" ht="19.5" customHeight="1">
      <c r="A425" s="532"/>
      <c r="B425" s="533"/>
      <c r="C425" s="533"/>
      <c r="D425" s="533"/>
      <c r="E425" s="533"/>
      <c r="F425" s="533"/>
      <c r="G425" s="533"/>
      <c r="H425" s="533"/>
      <c r="I425" s="533"/>
      <c r="J425" s="533"/>
      <c r="K425" s="533"/>
      <c r="L425" s="533"/>
      <c r="M425" s="533"/>
      <c r="N425" s="533"/>
      <c r="O425" s="533"/>
      <c r="P425" s="533"/>
      <c r="Q425" s="533"/>
      <c r="R425" s="533"/>
      <c r="S425" s="533"/>
      <c r="T425" s="533"/>
      <c r="U425" s="533"/>
      <c r="V425" s="533"/>
      <c r="W425" s="533"/>
    </row>
    <row r="426" spans="1:23" s="531" customFormat="1" ht="19.5" customHeight="1">
      <c r="A426" s="532"/>
      <c r="B426" s="533"/>
      <c r="C426" s="533"/>
      <c r="D426" s="533"/>
      <c r="E426" s="533"/>
      <c r="F426" s="533"/>
      <c r="G426" s="533"/>
      <c r="H426" s="533"/>
      <c r="I426" s="533"/>
      <c r="J426" s="533"/>
      <c r="K426" s="533"/>
      <c r="L426" s="533"/>
      <c r="M426" s="533"/>
      <c r="N426" s="533"/>
      <c r="O426" s="533"/>
      <c r="P426" s="533"/>
      <c r="Q426" s="533"/>
      <c r="R426" s="533"/>
      <c r="S426" s="533"/>
      <c r="T426" s="533"/>
      <c r="U426" s="533"/>
      <c r="V426" s="533"/>
      <c r="W426" s="533"/>
    </row>
    <row r="427" spans="1:23" s="531" customFormat="1" ht="19.5" customHeight="1">
      <c r="A427" s="532"/>
      <c r="B427" s="533"/>
      <c r="C427" s="533"/>
      <c r="D427" s="533"/>
      <c r="E427" s="533"/>
      <c r="F427" s="533"/>
      <c r="G427" s="533"/>
      <c r="H427" s="533"/>
      <c r="I427" s="533"/>
      <c r="J427" s="533"/>
      <c r="K427" s="533"/>
      <c r="L427" s="533"/>
      <c r="M427" s="533"/>
      <c r="N427" s="533"/>
      <c r="O427" s="533"/>
      <c r="P427" s="533"/>
      <c r="Q427" s="533"/>
      <c r="R427" s="533"/>
      <c r="S427" s="533"/>
      <c r="T427" s="533"/>
      <c r="U427" s="533"/>
      <c r="V427" s="533"/>
      <c r="W427" s="533"/>
    </row>
    <row r="428" spans="1:23" s="531" customFormat="1" ht="19.5" customHeight="1">
      <c r="A428" s="532"/>
      <c r="B428" s="533"/>
      <c r="C428" s="533"/>
      <c r="D428" s="533"/>
      <c r="E428" s="533"/>
      <c r="F428" s="533"/>
      <c r="G428" s="533"/>
      <c r="H428" s="533"/>
      <c r="I428" s="533"/>
      <c r="J428" s="533"/>
      <c r="K428" s="533"/>
      <c r="L428" s="533"/>
      <c r="M428" s="533"/>
      <c r="N428" s="533"/>
      <c r="O428" s="533"/>
      <c r="P428" s="533"/>
      <c r="Q428" s="533"/>
      <c r="R428" s="533"/>
      <c r="S428" s="533"/>
      <c r="T428" s="533"/>
      <c r="U428" s="533"/>
      <c r="V428" s="533"/>
      <c r="W428" s="533"/>
    </row>
    <row r="429" spans="1:23" s="531" customFormat="1" ht="19.5" customHeight="1">
      <c r="A429" s="532"/>
      <c r="B429" s="533"/>
      <c r="C429" s="533"/>
      <c r="D429" s="533"/>
      <c r="E429" s="533"/>
      <c r="F429" s="533"/>
      <c r="G429" s="533"/>
      <c r="H429" s="533"/>
      <c r="I429" s="533"/>
      <c r="J429" s="533"/>
      <c r="K429" s="533"/>
      <c r="L429" s="533"/>
      <c r="M429" s="533"/>
      <c r="N429" s="533"/>
      <c r="O429" s="533"/>
      <c r="P429" s="533"/>
      <c r="Q429" s="533"/>
      <c r="R429" s="533"/>
      <c r="S429" s="533"/>
      <c r="T429" s="533"/>
      <c r="U429" s="533"/>
      <c r="V429" s="533"/>
      <c r="W429" s="533"/>
    </row>
    <row r="430" spans="1:23" s="531" customFormat="1" ht="19.5" customHeight="1">
      <c r="A430" s="532"/>
      <c r="B430" s="533"/>
      <c r="C430" s="533"/>
      <c r="D430" s="533"/>
      <c r="E430" s="533"/>
      <c r="F430" s="533"/>
      <c r="G430" s="533"/>
      <c r="H430" s="533"/>
      <c r="I430" s="533"/>
      <c r="J430" s="533"/>
      <c r="K430" s="533"/>
      <c r="L430" s="533"/>
      <c r="M430" s="533"/>
      <c r="N430" s="533"/>
      <c r="O430" s="533"/>
      <c r="P430" s="533"/>
      <c r="Q430" s="533"/>
      <c r="R430" s="533"/>
      <c r="S430" s="533"/>
      <c r="T430" s="533"/>
      <c r="U430" s="533"/>
      <c r="V430" s="533"/>
      <c r="W430" s="533"/>
    </row>
    <row r="431" spans="1:23" s="531" customFormat="1" ht="19.5" customHeight="1">
      <c r="A431" s="532"/>
      <c r="B431" s="533"/>
      <c r="C431" s="533"/>
      <c r="D431" s="533"/>
      <c r="E431" s="533"/>
      <c r="F431" s="533"/>
      <c r="G431" s="533"/>
      <c r="H431" s="533"/>
      <c r="I431" s="533"/>
      <c r="J431" s="533"/>
      <c r="K431" s="533"/>
      <c r="L431" s="533"/>
      <c r="M431" s="533"/>
      <c r="N431" s="533"/>
      <c r="O431" s="533"/>
      <c r="P431" s="533"/>
      <c r="Q431" s="533"/>
      <c r="R431" s="533"/>
      <c r="S431" s="533"/>
      <c r="T431" s="533"/>
      <c r="U431" s="533"/>
      <c r="V431" s="533"/>
      <c r="W431" s="533"/>
    </row>
    <row r="432" spans="1:23" s="531" customFormat="1" ht="19.5" customHeight="1">
      <c r="A432" s="532"/>
      <c r="B432" s="533"/>
      <c r="C432" s="533"/>
      <c r="D432" s="533"/>
      <c r="E432" s="533"/>
      <c r="F432" s="533"/>
      <c r="G432" s="533"/>
      <c r="H432" s="533"/>
      <c r="I432" s="533"/>
      <c r="J432" s="533"/>
      <c r="K432" s="533"/>
      <c r="L432" s="533"/>
      <c r="M432" s="533"/>
      <c r="N432" s="533"/>
      <c r="O432" s="533"/>
      <c r="P432" s="533"/>
      <c r="Q432" s="533"/>
      <c r="R432" s="533"/>
      <c r="S432" s="533"/>
      <c r="T432" s="533"/>
      <c r="U432" s="533"/>
      <c r="V432" s="533"/>
      <c r="W432" s="533"/>
    </row>
    <row r="433" spans="1:23" s="531" customFormat="1" ht="19.5" customHeight="1">
      <c r="A433" s="532"/>
      <c r="B433" s="533"/>
      <c r="C433" s="533"/>
      <c r="D433" s="533"/>
      <c r="E433" s="533"/>
      <c r="F433" s="533"/>
      <c r="G433" s="533"/>
      <c r="H433" s="533"/>
      <c r="I433" s="533"/>
      <c r="J433" s="533"/>
      <c r="K433" s="533"/>
      <c r="L433" s="533"/>
      <c r="M433" s="533"/>
      <c r="N433" s="533"/>
      <c r="O433" s="533"/>
      <c r="P433" s="533"/>
      <c r="Q433" s="533"/>
      <c r="R433" s="533"/>
      <c r="S433" s="533"/>
      <c r="T433" s="533"/>
      <c r="U433" s="533"/>
      <c r="V433" s="533"/>
      <c r="W433" s="533"/>
    </row>
    <row r="434" spans="1:23" s="531" customFormat="1" ht="19.5" customHeight="1">
      <c r="A434" s="532"/>
      <c r="B434" s="533"/>
      <c r="C434" s="533"/>
      <c r="D434" s="533"/>
      <c r="E434" s="533"/>
      <c r="F434" s="533"/>
      <c r="G434" s="533"/>
      <c r="H434" s="533"/>
      <c r="I434" s="533"/>
      <c r="J434" s="533"/>
      <c r="K434" s="533"/>
      <c r="L434" s="533"/>
      <c r="M434" s="533"/>
      <c r="N434" s="533"/>
      <c r="O434" s="533"/>
      <c r="P434" s="533"/>
      <c r="Q434" s="533"/>
      <c r="R434" s="533"/>
      <c r="S434" s="533"/>
      <c r="T434" s="533"/>
      <c r="U434" s="533"/>
      <c r="V434" s="533"/>
      <c r="W434" s="533"/>
    </row>
    <row r="435" spans="1:23" s="531" customFormat="1" ht="19.5" customHeight="1">
      <c r="A435" s="532"/>
      <c r="B435" s="533"/>
      <c r="C435" s="533"/>
      <c r="D435" s="533"/>
      <c r="E435" s="533"/>
      <c r="F435" s="533"/>
      <c r="G435" s="533"/>
      <c r="H435" s="533"/>
      <c r="I435" s="533"/>
      <c r="J435" s="533"/>
      <c r="K435" s="533"/>
      <c r="L435" s="533"/>
      <c r="M435" s="533"/>
      <c r="N435" s="533"/>
      <c r="O435" s="533"/>
      <c r="P435" s="533"/>
      <c r="Q435" s="533"/>
      <c r="R435" s="533"/>
      <c r="S435" s="533"/>
      <c r="T435" s="533"/>
      <c r="U435" s="533"/>
      <c r="V435" s="533"/>
      <c r="W435" s="533"/>
    </row>
    <row r="436" spans="1:23" s="531" customFormat="1" ht="19.5" customHeight="1">
      <c r="A436" s="532"/>
      <c r="B436" s="533"/>
      <c r="C436" s="533"/>
      <c r="D436" s="533"/>
      <c r="E436" s="533"/>
      <c r="F436" s="533"/>
      <c r="G436" s="533"/>
      <c r="H436" s="533"/>
      <c r="I436" s="533"/>
      <c r="J436" s="533"/>
      <c r="K436" s="533"/>
      <c r="L436" s="533"/>
      <c r="M436" s="533"/>
      <c r="N436" s="533"/>
      <c r="O436" s="533"/>
      <c r="P436" s="533"/>
      <c r="Q436" s="533"/>
      <c r="R436" s="533"/>
      <c r="S436" s="533"/>
      <c r="T436" s="533"/>
      <c r="U436" s="533"/>
      <c r="V436" s="533"/>
      <c r="W436" s="533"/>
    </row>
    <row r="437" spans="1:23" s="531" customFormat="1" ht="19.5" customHeight="1">
      <c r="A437" s="532"/>
      <c r="B437" s="533"/>
      <c r="C437" s="533"/>
      <c r="D437" s="533"/>
      <c r="E437" s="533"/>
      <c r="F437" s="533"/>
      <c r="G437" s="533"/>
      <c r="H437" s="533"/>
      <c r="I437" s="533"/>
      <c r="J437" s="533"/>
      <c r="K437" s="533"/>
      <c r="L437" s="533"/>
      <c r="M437" s="533"/>
      <c r="N437" s="533"/>
      <c r="O437" s="533"/>
      <c r="P437" s="533"/>
      <c r="Q437" s="533"/>
      <c r="R437" s="533"/>
      <c r="S437" s="533"/>
      <c r="T437" s="533"/>
      <c r="U437" s="533"/>
      <c r="V437" s="533"/>
      <c r="W437" s="533"/>
    </row>
    <row r="438" spans="1:23" s="531" customFormat="1" ht="19.5" customHeight="1">
      <c r="A438" s="532"/>
      <c r="B438" s="533"/>
      <c r="C438" s="533"/>
      <c r="D438" s="533"/>
      <c r="E438" s="533"/>
      <c r="F438" s="533"/>
      <c r="G438" s="533"/>
      <c r="H438" s="533"/>
      <c r="I438" s="533"/>
      <c r="J438" s="533"/>
      <c r="K438" s="533"/>
      <c r="L438" s="533"/>
      <c r="M438" s="533"/>
      <c r="N438" s="533"/>
      <c r="O438" s="533"/>
      <c r="P438" s="533"/>
      <c r="Q438" s="533"/>
      <c r="R438" s="533"/>
      <c r="S438" s="533"/>
      <c r="T438" s="533"/>
      <c r="U438" s="533"/>
      <c r="V438" s="533"/>
      <c r="W438" s="533"/>
    </row>
    <row r="439" spans="1:23" s="531" customFormat="1" ht="19.5" customHeight="1">
      <c r="A439" s="532"/>
      <c r="B439" s="533"/>
      <c r="C439" s="533"/>
      <c r="D439" s="533"/>
      <c r="E439" s="533"/>
      <c r="F439" s="533"/>
      <c r="G439" s="533"/>
      <c r="H439" s="533"/>
      <c r="I439" s="533"/>
      <c r="J439" s="533"/>
      <c r="K439" s="533"/>
      <c r="L439" s="533"/>
      <c r="M439" s="533"/>
      <c r="N439" s="533"/>
      <c r="O439" s="533"/>
      <c r="P439" s="533"/>
      <c r="Q439" s="533"/>
      <c r="R439" s="533"/>
      <c r="S439" s="533"/>
      <c r="T439" s="533"/>
      <c r="U439" s="533"/>
      <c r="V439" s="533"/>
      <c r="W439" s="533"/>
    </row>
    <row r="440" spans="1:23" s="531" customFormat="1" ht="19.5" customHeight="1">
      <c r="A440" s="532"/>
      <c r="B440" s="533"/>
      <c r="C440" s="533"/>
      <c r="D440" s="533"/>
      <c r="E440" s="533"/>
      <c r="F440" s="533"/>
      <c r="G440" s="533"/>
      <c r="H440" s="533"/>
      <c r="I440" s="533"/>
      <c r="J440" s="533"/>
      <c r="K440" s="533"/>
      <c r="L440" s="533"/>
      <c r="M440" s="533"/>
      <c r="N440" s="533"/>
      <c r="O440" s="533"/>
      <c r="P440" s="533"/>
      <c r="Q440" s="533"/>
      <c r="R440" s="533"/>
      <c r="S440" s="533"/>
      <c r="T440" s="533"/>
      <c r="U440" s="533"/>
      <c r="V440" s="533"/>
      <c r="W440" s="533"/>
    </row>
    <row r="441" spans="1:23" s="531" customFormat="1" ht="19.5" customHeight="1">
      <c r="A441" s="532"/>
      <c r="B441" s="533"/>
      <c r="C441" s="533"/>
      <c r="D441" s="533"/>
      <c r="E441" s="533"/>
      <c r="F441" s="533"/>
      <c r="G441" s="533"/>
      <c r="H441" s="533"/>
      <c r="I441" s="533"/>
      <c r="J441" s="533"/>
      <c r="K441" s="533"/>
      <c r="L441" s="533"/>
      <c r="M441" s="533"/>
      <c r="N441" s="533"/>
      <c r="O441" s="533"/>
      <c r="P441" s="533"/>
      <c r="Q441" s="533"/>
      <c r="R441" s="533"/>
      <c r="S441" s="533"/>
      <c r="T441" s="533"/>
      <c r="U441" s="533"/>
      <c r="V441" s="533"/>
      <c r="W441" s="533"/>
    </row>
    <row r="442" spans="1:23" s="531" customFormat="1" ht="19.5" customHeight="1">
      <c r="A442" s="532"/>
      <c r="B442" s="533"/>
      <c r="C442" s="533"/>
      <c r="D442" s="533"/>
      <c r="E442" s="533"/>
      <c r="F442" s="533"/>
      <c r="G442" s="533"/>
      <c r="H442" s="533"/>
      <c r="I442" s="533"/>
      <c r="J442" s="533"/>
      <c r="K442" s="533"/>
      <c r="L442" s="533"/>
      <c r="M442" s="533"/>
      <c r="N442" s="533"/>
      <c r="O442" s="533"/>
      <c r="P442" s="533"/>
      <c r="Q442" s="533"/>
      <c r="R442" s="533"/>
      <c r="S442" s="533"/>
      <c r="T442" s="533"/>
      <c r="U442" s="533"/>
      <c r="V442" s="533"/>
      <c r="W442" s="533"/>
    </row>
    <row r="443" spans="1:23" s="531" customFormat="1" ht="19.5" customHeight="1">
      <c r="A443" s="532"/>
      <c r="B443" s="533"/>
      <c r="C443" s="533"/>
      <c r="D443" s="533"/>
      <c r="E443" s="533"/>
      <c r="F443" s="533"/>
      <c r="G443" s="533"/>
      <c r="H443" s="533"/>
      <c r="I443" s="533"/>
      <c r="J443" s="533"/>
      <c r="K443" s="533"/>
      <c r="L443" s="533"/>
      <c r="M443" s="533"/>
      <c r="N443" s="533"/>
      <c r="O443" s="533"/>
      <c r="P443" s="533"/>
      <c r="Q443" s="533"/>
      <c r="R443" s="533"/>
      <c r="S443" s="533"/>
      <c r="T443" s="533"/>
      <c r="U443" s="533"/>
      <c r="V443" s="533"/>
      <c r="W443" s="533"/>
    </row>
    <row r="444" spans="1:23" s="531" customFormat="1" ht="19.5" customHeight="1">
      <c r="A444" s="532"/>
      <c r="B444" s="533"/>
      <c r="C444" s="533"/>
      <c r="D444" s="533"/>
      <c r="E444" s="533"/>
      <c r="F444" s="533"/>
      <c r="G444" s="533"/>
      <c r="H444" s="533"/>
      <c r="I444" s="533"/>
      <c r="J444" s="533"/>
      <c r="K444" s="533"/>
      <c r="L444" s="533"/>
      <c r="M444" s="533"/>
      <c r="N444" s="533"/>
      <c r="O444" s="533"/>
      <c r="P444" s="533"/>
      <c r="Q444" s="533"/>
      <c r="R444" s="533"/>
      <c r="S444" s="533"/>
      <c r="T444" s="533"/>
      <c r="U444" s="533"/>
      <c r="V444" s="533"/>
      <c r="W444" s="533"/>
    </row>
    <row r="445" spans="1:23" s="531" customFormat="1" ht="19.5" customHeight="1">
      <c r="A445" s="532"/>
      <c r="B445" s="533"/>
      <c r="C445" s="533"/>
      <c r="D445" s="533"/>
      <c r="E445" s="533"/>
      <c r="F445" s="533"/>
      <c r="G445" s="533"/>
      <c r="H445" s="533"/>
      <c r="I445" s="533"/>
      <c r="J445" s="533"/>
      <c r="K445" s="533"/>
      <c r="L445" s="533"/>
      <c r="M445" s="533"/>
      <c r="N445" s="533"/>
      <c r="O445" s="533"/>
      <c r="P445" s="533"/>
      <c r="Q445" s="533"/>
      <c r="R445" s="533"/>
      <c r="S445" s="533"/>
      <c r="T445" s="533"/>
      <c r="U445" s="533"/>
      <c r="V445" s="533"/>
      <c r="W445" s="533"/>
    </row>
    <row r="446" spans="1:23" s="531" customFormat="1" ht="19.5" customHeight="1">
      <c r="A446" s="532"/>
      <c r="B446" s="533"/>
      <c r="C446" s="533"/>
      <c r="D446" s="533"/>
      <c r="E446" s="533"/>
      <c r="F446" s="533"/>
      <c r="G446" s="533"/>
      <c r="H446" s="533"/>
      <c r="I446" s="533"/>
      <c r="J446" s="533"/>
      <c r="K446" s="533"/>
      <c r="L446" s="533"/>
      <c r="M446" s="533"/>
      <c r="N446" s="533"/>
      <c r="O446" s="533"/>
      <c r="P446" s="533"/>
      <c r="Q446" s="533"/>
      <c r="R446" s="533"/>
      <c r="S446" s="533"/>
      <c r="T446" s="533"/>
      <c r="U446" s="533"/>
      <c r="V446" s="533"/>
      <c r="W446" s="533"/>
    </row>
    <row r="447" spans="1:23" s="531" customFormat="1" ht="19.5" customHeight="1">
      <c r="A447" s="532"/>
      <c r="B447" s="533"/>
      <c r="C447" s="533"/>
      <c r="D447" s="533"/>
      <c r="E447" s="533"/>
      <c r="F447" s="533"/>
      <c r="G447" s="533"/>
      <c r="H447" s="533"/>
      <c r="I447" s="533"/>
      <c r="J447" s="533"/>
      <c r="K447" s="533"/>
      <c r="L447" s="533"/>
      <c r="M447" s="533"/>
      <c r="N447" s="533"/>
      <c r="O447" s="533"/>
      <c r="P447" s="533"/>
      <c r="Q447" s="533"/>
      <c r="R447" s="533"/>
      <c r="S447" s="533"/>
      <c r="T447" s="533"/>
      <c r="U447" s="533"/>
      <c r="V447" s="533"/>
      <c r="W447" s="533"/>
    </row>
    <row r="448" spans="1:23" s="531" customFormat="1" ht="19.5" customHeight="1">
      <c r="A448" s="532"/>
      <c r="B448" s="533"/>
      <c r="C448" s="533"/>
      <c r="D448" s="533"/>
      <c r="E448" s="533"/>
      <c r="F448" s="533"/>
      <c r="G448" s="533"/>
      <c r="H448" s="533"/>
      <c r="I448" s="533"/>
      <c r="J448" s="533"/>
      <c r="K448" s="533"/>
      <c r="L448" s="533"/>
      <c r="M448" s="533"/>
      <c r="N448" s="533"/>
      <c r="O448" s="533"/>
      <c r="P448" s="533"/>
      <c r="Q448" s="533"/>
      <c r="R448" s="533"/>
      <c r="S448" s="533"/>
      <c r="T448" s="533"/>
      <c r="U448" s="533"/>
      <c r="V448" s="533"/>
      <c r="W448" s="533"/>
    </row>
    <row r="449" spans="1:23" s="531" customFormat="1" ht="19.5" customHeight="1">
      <c r="A449" s="532"/>
      <c r="B449" s="533"/>
      <c r="C449" s="533"/>
      <c r="D449" s="533"/>
      <c r="E449" s="533"/>
      <c r="F449" s="533"/>
      <c r="G449" s="533"/>
      <c r="H449" s="533"/>
      <c r="I449" s="533"/>
      <c r="J449" s="533"/>
      <c r="K449" s="533"/>
      <c r="L449" s="533"/>
      <c r="M449" s="533"/>
      <c r="N449" s="533"/>
      <c r="O449" s="533"/>
      <c r="P449" s="533"/>
      <c r="Q449" s="533"/>
      <c r="R449" s="533"/>
      <c r="S449" s="533"/>
      <c r="T449" s="533"/>
      <c r="U449" s="533"/>
      <c r="V449" s="533"/>
      <c r="W449" s="533"/>
    </row>
    <row r="450" spans="1:23" s="531" customFormat="1" ht="19.5" customHeight="1">
      <c r="A450" s="532"/>
      <c r="B450" s="533"/>
      <c r="C450" s="533"/>
      <c r="D450" s="533"/>
      <c r="E450" s="533"/>
      <c r="F450" s="533"/>
      <c r="G450" s="533"/>
      <c r="H450" s="533"/>
      <c r="I450" s="533"/>
      <c r="J450" s="533"/>
      <c r="K450" s="533"/>
      <c r="L450" s="533"/>
      <c r="M450" s="533"/>
      <c r="N450" s="533"/>
      <c r="O450" s="533"/>
      <c r="P450" s="533"/>
      <c r="Q450" s="533"/>
      <c r="R450" s="533"/>
      <c r="S450" s="533"/>
      <c r="T450" s="533"/>
      <c r="U450" s="533"/>
      <c r="V450" s="533"/>
      <c r="W450" s="533"/>
    </row>
    <row r="451" spans="1:23" s="531" customFormat="1" ht="19.5" customHeight="1">
      <c r="A451" s="532"/>
      <c r="B451" s="533"/>
      <c r="C451" s="533"/>
      <c r="D451" s="533"/>
      <c r="E451" s="533"/>
      <c r="F451" s="533"/>
      <c r="G451" s="533"/>
      <c r="H451" s="533"/>
      <c r="I451" s="533"/>
      <c r="J451" s="533"/>
      <c r="K451" s="533"/>
      <c r="L451" s="533"/>
      <c r="M451" s="533"/>
      <c r="N451" s="533"/>
      <c r="O451" s="533"/>
      <c r="P451" s="533"/>
      <c r="Q451" s="533"/>
      <c r="R451" s="533"/>
      <c r="S451" s="533"/>
      <c r="T451" s="533"/>
      <c r="U451" s="533"/>
      <c r="V451" s="533"/>
      <c r="W451" s="533"/>
    </row>
    <row r="452" spans="1:23" s="531" customFormat="1" ht="19.5" customHeight="1">
      <c r="A452" s="532"/>
      <c r="B452" s="533"/>
      <c r="C452" s="533"/>
      <c r="D452" s="533"/>
      <c r="E452" s="533"/>
      <c r="F452" s="533"/>
      <c r="G452" s="533"/>
      <c r="H452" s="533"/>
      <c r="I452" s="533"/>
      <c r="J452" s="533"/>
      <c r="K452" s="533"/>
      <c r="L452" s="533"/>
      <c r="M452" s="533"/>
      <c r="N452" s="533"/>
      <c r="O452" s="533"/>
      <c r="P452" s="533"/>
      <c r="Q452" s="533"/>
      <c r="R452" s="533"/>
      <c r="S452" s="533"/>
      <c r="T452" s="533"/>
      <c r="U452" s="533"/>
      <c r="V452" s="533"/>
      <c r="W452" s="533"/>
    </row>
    <row r="453" ht="19.5" customHeight="1"/>
    <row r="454" ht="9.75" customHeight="1"/>
  </sheetData>
  <sheetProtection/>
  <mergeCells count="25">
    <mergeCell ref="A2:W2"/>
    <mergeCell ref="A3:W3"/>
    <mergeCell ref="A4:W4"/>
    <mergeCell ref="C9:W9"/>
    <mergeCell ref="A11:W11"/>
    <mergeCell ref="A12:W12"/>
    <mergeCell ref="A5:W5"/>
    <mergeCell ref="I13:K13"/>
    <mergeCell ref="A6:W6"/>
    <mergeCell ref="A7:W7"/>
    <mergeCell ref="R13:S13"/>
    <mergeCell ref="V13:V14"/>
    <mergeCell ref="T13:T15"/>
    <mergeCell ref="U13:U15"/>
    <mergeCell ref="W13:W15"/>
    <mergeCell ref="Z16:AD16"/>
    <mergeCell ref="AF16:AJ16"/>
    <mergeCell ref="A38:B38"/>
    <mergeCell ref="E13:H13"/>
    <mergeCell ref="C13:C15"/>
    <mergeCell ref="D13:D15"/>
    <mergeCell ref="A15:A16"/>
    <mergeCell ref="B15:B16"/>
    <mergeCell ref="A13:B14"/>
    <mergeCell ref="M13:Q13"/>
  </mergeCells>
  <conditionalFormatting sqref="M15:P15 E15:F15 I16:L16 B18:L37">
    <cfRule type="cellIs" priority="97" dxfId="0" operator="equal">
      <formula>0</formula>
    </cfRule>
  </conditionalFormatting>
  <conditionalFormatting sqref="A15:B15">
    <cfRule type="cellIs" priority="89" dxfId="0" operator="equal">
      <formula>0</formula>
    </cfRule>
  </conditionalFormatting>
  <conditionalFormatting sqref="W18:W37 M18:S37">
    <cfRule type="cellIs" priority="92" dxfId="0" operator="equal">
      <formula>0</formula>
    </cfRule>
  </conditionalFormatting>
  <conditionalFormatting sqref="K15:L15">
    <cfRule type="cellIs" priority="91" dxfId="0" operator="equal">
      <formula>0</formula>
    </cfRule>
  </conditionalFormatting>
  <conditionalFormatting sqref="Q15">
    <cfRule type="cellIs" priority="58" dxfId="0" operator="equal">
      <formula>0</formula>
    </cfRule>
  </conditionalFormatting>
  <conditionalFormatting sqref="I15:J15">
    <cfRule type="cellIs" priority="57" dxfId="0" operator="equal">
      <formula>0</formula>
    </cfRule>
  </conditionalFormatting>
  <conditionalFormatting sqref="H15">
    <cfRule type="cellIs" priority="30" dxfId="0" operator="equal">
      <formula>0</formula>
    </cfRule>
  </conditionalFormatting>
  <conditionalFormatting sqref="E16:F16 H16">
    <cfRule type="cellIs" priority="26" dxfId="0" operator="equal">
      <formula>0</formula>
    </cfRule>
  </conditionalFormatting>
  <conditionalFormatting sqref="M16:Q16 W16">
    <cfRule type="cellIs" priority="25" dxfId="0" operator="equal">
      <formula>0</formula>
    </cfRule>
  </conditionalFormatting>
  <conditionalFormatting sqref="C16:D16">
    <cfRule type="cellIs" priority="23" dxfId="0" operator="equal">
      <formula>0</formula>
    </cfRule>
  </conditionalFormatting>
  <conditionalFormatting sqref="G15">
    <cfRule type="cellIs" priority="15" dxfId="0" operator="equal">
      <formula>0</formula>
    </cfRule>
  </conditionalFormatting>
  <conditionalFormatting sqref="G16">
    <cfRule type="cellIs" priority="14" dxfId="0" operator="equal">
      <formula>0</formula>
    </cfRule>
  </conditionalFormatting>
  <conditionalFormatting sqref="T18:T37">
    <cfRule type="cellIs" priority="13" dxfId="0" operator="equal">
      <formula>0</formula>
    </cfRule>
  </conditionalFormatting>
  <conditionalFormatting sqref="T16">
    <cfRule type="cellIs" priority="11" dxfId="0" operator="equal">
      <formula>0</formula>
    </cfRule>
  </conditionalFormatting>
  <conditionalFormatting sqref="R15:S15">
    <cfRule type="cellIs" priority="10" dxfId="0" operator="equal">
      <formula>0</formula>
    </cfRule>
  </conditionalFormatting>
  <conditionalFormatting sqref="S16">
    <cfRule type="cellIs" priority="9" dxfId="0" operator="equal">
      <formula>0</formula>
    </cfRule>
  </conditionalFormatting>
  <conditionalFormatting sqref="R16">
    <cfRule type="cellIs" priority="8" dxfId="0" operator="equal">
      <formula>0</formula>
    </cfRule>
  </conditionalFormatting>
  <conditionalFormatting sqref="V15">
    <cfRule type="cellIs" priority="7" dxfId="0" operator="equal">
      <formula>0</formula>
    </cfRule>
  </conditionalFormatting>
  <conditionalFormatting sqref="V15">
    <cfRule type="cellIs" priority="6" dxfId="0" operator="equal">
      <formula>0</formula>
    </cfRule>
  </conditionalFormatting>
  <conditionalFormatting sqref="V16">
    <cfRule type="cellIs" priority="5" dxfId="0" operator="equal">
      <formula>0</formula>
    </cfRule>
  </conditionalFormatting>
  <conditionalFormatting sqref="U16">
    <cfRule type="cellIs" priority="3" dxfId="0" operator="equal">
      <formula>0</formula>
    </cfRule>
  </conditionalFormatting>
  <conditionalFormatting sqref="U18:U37">
    <cfRule type="cellIs" priority="2" dxfId="0" operator="equal">
      <formula>0</formula>
    </cfRule>
  </conditionalFormatting>
  <conditionalFormatting sqref="V18:V37">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20" r:id="rId2"/>
  <drawing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2">
      <selection activeCell="A11" sqref="A11:G11"/>
    </sheetView>
  </sheetViews>
  <sheetFormatPr defaultColWidth="9.140625" defaultRowHeight="12.75"/>
  <cols>
    <col min="1" max="1" width="9.28125" style="293" bestFit="1" customWidth="1"/>
    <col min="2" max="2" width="9.00390625" style="293" customWidth="1"/>
    <col min="3" max="3" width="56.7109375" style="293" customWidth="1"/>
    <col min="4" max="6" width="9.140625" style="293" customWidth="1"/>
    <col min="7" max="7" width="15.421875" style="293" bestFit="1" customWidth="1"/>
    <col min="8" max="16384" width="9.140625" style="293" customWidth="1"/>
  </cols>
  <sheetData>
    <row r="1" spans="1:7" s="275" customFormat="1" ht="15" customHeight="1">
      <c r="A1" s="1010"/>
      <c r="B1" s="1011"/>
      <c r="C1" s="1011"/>
      <c r="D1" s="1011"/>
      <c r="E1" s="1011"/>
      <c r="F1" s="1011"/>
      <c r="G1" s="1012"/>
    </row>
    <row r="2" spans="1:7" s="275" customFormat="1" ht="40.5" customHeight="1">
      <c r="A2" s="585"/>
      <c r="B2" s="586"/>
      <c r="C2" s="586"/>
      <c r="D2" s="586"/>
      <c r="E2" s="586"/>
      <c r="F2" s="586"/>
      <c r="G2" s="587"/>
    </row>
    <row r="3" spans="1:7" s="275" customFormat="1" ht="15" customHeight="1">
      <c r="A3" s="1013" t="s">
        <v>19</v>
      </c>
      <c r="B3" s="1014"/>
      <c r="C3" s="1014"/>
      <c r="D3" s="1014"/>
      <c r="E3" s="1014"/>
      <c r="F3" s="1014"/>
      <c r="G3" s="1015"/>
    </row>
    <row r="4" spans="1:7" s="275" customFormat="1" ht="15" customHeight="1">
      <c r="A4" s="1016" t="s">
        <v>193</v>
      </c>
      <c r="B4" s="1017"/>
      <c r="C4" s="1017"/>
      <c r="D4" s="1017"/>
      <c r="E4" s="1017"/>
      <c r="F4" s="1017"/>
      <c r="G4" s="1018"/>
    </row>
    <row r="5" spans="1:7" s="275" customFormat="1" ht="15" customHeight="1">
      <c r="A5" s="1016" t="s">
        <v>18</v>
      </c>
      <c r="B5" s="1017"/>
      <c r="C5" s="1017"/>
      <c r="D5" s="1017"/>
      <c r="E5" s="1017"/>
      <c r="F5" s="1017"/>
      <c r="G5" s="1018"/>
    </row>
    <row r="6" spans="1:7" s="277" customFormat="1" ht="13.5" customHeight="1">
      <c r="A6" s="1028"/>
      <c r="B6" s="1029"/>
      <c r="C6" s="1029"/>
      <c r="D6" s="1029"/>
      <c r="E6" s="1029"/>
      <c r="F6" s="1029"/>
      <c r="G6" s="1030"/>
    </row>
    <row r="7" spans="1:7" s="277" customFormat="1" ht="33" customHeight="1">
      <c r="A7" s="622" t="s">
        <v>649</v>
      </c>
      <c r="B7" s="103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032"/>
      <c r="D7" s="1032"/>
      <c r="E7" s="1032"/>
      <c r="F7" s="1032"/>
      <c r="G7" s="1033"/>
    </row>
    <row r="8" spans="1:7" s="275" customFormat="1" ht="15" customHeight="1" thickBot="1">
      <c r="A8" s="1019"/>
      <c r="B8" s="1020"/>
      <c r="C8" s="1020"/>
      <c r="D8" s="1020"/>
      <c r="E8" s="1020"/>
      <c r="F8" s="1020"/>
      <c r="G8" s="1021"/>
    </row>
    <row r="9" spans="1:7" s="277" customFormat="1" ht="15" thickTop="1">
      <c r="A9" s="1022" t="s">
        <v>603</v>
      </c>
      <c r="B9" s="350" t="s">
        <v>192</v>
      </c>
      <c r="C9" s="1024" t="s">
        <v>644</v>
      </c>
      <c r="D9" s="1025"/>
      <c r="E9" s="1025"/>
      <c r="F9" s="1025"/>
      <c r="G9" s="353" t="s">
        <v>646</v>
      </c>
    </row>
    <row r="10" spans="1:7" s="277" customFormat="1" ht="15" thickBot="1">
      <c r="A10" s="1023"/>
      <c r="B10" s="351">
        <v>45017</v>
      </c>
      <c r="C10" s="1026"/>
      <c r="D10" s="1027"/>
      <c r="E10" s="1027"/>
      <c r="F10" s="1027"/>
      <c r="G10" s="354" t="s">
        <v>307</v>
      </c>
    </row>
    <row r="11" spans="1:7" s="277" customFormat="1" ht="11.25" customHeight="1" thickTop="1">
      <c r="A11" s="1051"/>
      <c r="B11" s="1052"/>
      <c r="C11" s="1052"/>
      <c r="D11" s="1052"/>
      <c r="E11" s="1052"/>
      <c r="F11" s="1052"/>
      <c r="G11" s="1053"/>
    </row>
    <row r="12" spans="1:7" s="208" customFormat="1" ht="19.5" customHeight="1">
      <c r="A12" s="263" t="s">
        <v>38</v>
      </c>
      <c r="B12" s="264" t="s">
        <v>280</v>
      </c>
      <c r="C12" s="265" t="s">
        <v>39</v>
      </c>
      <c r="D12" s="264" t="s">
        <v>40</v>
      </c>
      <c r="E12" s="265" t="s">
        <v>157</v>
      </c>
      <c r="F12" s="266" t="s">
        <v>41</v>
      </c>
      <c r="G12" s="267" t="s">
        <v>42</v>
      </c>
    </row>
    <row r="13" spans="1:7" s="277" customFormat="1" ht="19.5" customHeight="1">
      <c r="A13" s="1054" t="s">
        <v>37</v>
      </c>
      <c r="B13" s="1055"/>
      <c r="C13" s="1055"/>
      <c r="D13" s="1055"/>
      <c r="E13" s="1055"/>
      <c r="F13" s="1055"/>
      <c r="G13" s="1056"/>
    </row>
    <row r="14" spans="1:7" s="277" customFormat="1" ht="24.75" customHeight="1">
      <c r="A14" s="278">
        <v>1</v>
      </c>
      <c r="B14" s="312">
        <v>90778</v>
      </c>
      <c r="C14" s="332" t="s">
        <v>412</v>
      </c>
      <c r="D14" s="279" t="s">
        <v>45</v>
      </c>
      <c r="E14" s="330">
        <f>G35</f>
        <v>300</v>
      </c>
      <c r="F14" s="280">
        <v>111.46</v>
      </c>
      <c r="G14" s="282">
        <f>E14*F14</f>
        <v>33438</v>
      </c>
    </row>
    <row r="15" spans="1:7" s="277" customFormat="1" ht="24.75" customHeight="1">
      <c r="A15" s="278">
        <v>2</v>
      </c>
      <c r="B15" s="312">
        <v>90776</v>
      </c>
      <c r="C15" s="332" t="s">
        <v>413</v>
      </c>
      <c r="D15" s="279" t="s">
        <v>45</v>
      </c>
      <c r="E15" s="330">
        <f>G36</f>
        <v>1050</v>
      </c>
      <c r="F15" s="280">
        <v>20.81</v>
      </c>
      <c r="G15" s="282">
        <f>E15*F15</f>
        <v>21850.5</v>
      </c>
    </row>
    <row r="16" spans="1:7" s="277" customFormat="1" ht="19.5" customHeight="1" hidden="1">
      <c r="A16" s="283"/>
      <c r="B16" s="284">
        <v>88326</v>
      </c>
      <c r="C16" s="329" t="s">
        <v>414</v>
      </c>
      <c r="D16" s="281"/>
      <c r="E16" s="281"/>
      <c r="F16" s="335"/>
      <c r="G16" s="282">
        <f>ROUND(F16*E16,2)</f>
        <v>0</v>
      </c>
    </row>
    <row r="17" spans="1:7" s="277" customFormat="1" ht="19.5" customHeight="1">
      <c r="A17" s="1043" t="s">
        <v>47</v>
      </c>
      <c r="B17" s="1044"/>
      <c r="C17" s="1044"/>
      <c r="D17" s="1044"/>
      <c r="E17" s="1044"/>
      <c r="F17" s="1044"/>
      <c r="G17" s="456">
        <f>SUM(G14:G15)</f>
        <v>55288.5</v>
      </c>
    </row>
    <row r="18" spans="1:7" s="277" customFormat="1" ht="19.5" customHeight="1">
      <c r="A18" s="1054" t="s">
        <v>657</v>
      </c>
      <c r="B18" s="1055"/>
      <c r="C18" s="1055"/>
      <c r="D18" s="1055"/>
      <c r="E18" s="1055"/>
      <c r="F18" s="1055"/>
      <c r="G18" s="1056"/>
    </row>
    <row r="19" spans="1:7" s="277" customFormat="1" ht="19.5" customHeight="1">
      <c r="A19" s="333"/>
      <c r="B19" s="334"/>
      <c r="C19" s="287"/>
      <c r="D19" s="287"/>
      <c r="E19" s="287"/>
      <c r="F19" s="287"/>
      <c r="G19" s="282">
        <f>E19*F19</f>
        <v>0</v>
      </c>
    </row>
    <row r="20" spans="1:7" s="277" customFormat="1" ht="19.5" customHeight="1">
      <c r="A20" s="1043" t="s">
        <v>658</v>
      </c>
      <c r="B20" s="1044"/>
      <c r="C20" s="1044"/>
      <c r="D20" s="1044"/>
      <c r="E20" s="1044"/>
      <c r="F20" s="1044"/>
      <c r="G20" s="352"/>
    </row>
    <row r="21" spans="1:7" s="277" customFormat="1" ht="19.5" customHeight="1">
      <c r="A21" s="1045" t="s">
        <v>654</v>
      </c>
      <c r="B21" s="1046"/>
      <c r="C21" s="1046"/>
      <c r="D21" s="1046"/>
      <c r="E21" s="1046"/>
      <c r="F21" s="1046"/>
      <c r="G21" s="1047"/>
    </row>
    <row r="22" spans="1:7" s="277" customFormat="1" ht="19.5" customHeight="1">
      <c r="A22" s="333"/>
      <c r="B22" s="334"/>
      <c r="C22" s="287"/>
      <c r="D22" s="287"/>
      <c r="E22" s="287"/>
      <c r="F22" s="287"/>
      <c r="G22" s="282">
        <f>E22*F22</f>
        <v>0</v>
      </c>
    </row>
    <row r="23" spans="1:7" s="277" customFormat="1" ht="19.5" customHeight="1">
      <c r="A23" s="1043" t="s">
        <v>659</v>
      </c>
      <c r="B23" s="1044"/>
      <c r="C23" s="1044"/>
      <c r="D23" s="1044"/>
      <c r="E23" s="1044"/>
      <c r="F23" s="1044"/>
      <c r="G23" s="352"/>
    </row>
    <row r="24" spans="1:9" s="208" customFormat="1" ht="19.5" customHeight="1">
      <c r="A24" s="1048" t="s">
        <v>52</v>
      </c>
      <c r="B24" s="1049"/>
      <c r="C24" s="1049"/>
      <c r="D24" s="1049"/>
      <c r="E24" s="1049"/>
      <c r="F24" s="1049"/>
      <c r="G24" s="1050"/>
      <c r="H24" s="242"/>
      <c r="I24" s="202"/>
    </row>
    <row r="25" spans="1:9" s="208" customFormat="1" ht="19.5" customHeight="1">
      <c r="A25" s="131" t="s">
        <v>38</v>
      </c>
      <c r="B25" s="132"/>
      <c r="C25" s="132" t="s">
        <v>53</v>
      </c>
      <c r="D25" s="132" t="s">
        <v>42</v>
      </c>
      <c r="E25" s="132"/>
      <c r="F25" s="152"/>
      <c r="G25" s="133"/>
      <c r="H25" s="212"/>
      <c r="I25" s="202"/>
    </row>
    <row r="26" spans="1:9" s="208" customFormat="1" ht="19.5" customHeight="1">
      <c r="A26" s="131" t="s">
        <v>54</v>
      </c>
      <c r="B26" s="132"/>
      <c r="C26" s="138" t="s">
        <v>55</v>
      </c>
      <c r="D26" s="1034" t="s">
        <v>56</v>
      </c>
      <c r="E26" s="1034"/>
      <c r="F26" s="1034"/>
      <c r="G26" s="133">
        <f>G17</f>
        <v>55288.5</v>
      </c>
      <c r="H26" s="212"/>
      <c r="I26" s="202"/>
    </row>
    <row r="27" spans="1:9" s="208" customFormat="1" ht="19.5" customHeight="1">
      <c r="A27" s="131" t="s">
        <v>57</v>
      </c>
      <c r="B27" s="132"/>
      <c r="C27" s="138" t="s">
        <v>58</v>
      </c>
      <c r="D27" s="1034" t="s">
        <v>59</v>
      </c>
      <c r="E27" s="1034"/>
      <c r="F27" s="1034"/>
      <c r="G27" s="133">
        <f>G20</f>
        <v>0</v>
      </c>
      <c r="H27" s="212"/>
      <c r="I27" s="202"/>
    </row>
    <row r="28" spans="1:9" s="208" customFormat="1" ht="19.5" customHeight="1">
      <c r="A28" s="131" t="s">
        <v>15</v>
      </c>
      <c r="B28" s="132"/>
      <c r="C28" s="138" t="s">
        <v>60</v>
      </c>
      <c r="D28" s="1034" t="s">
        <v>61</v>
      </c>
      <c r="E28" s="1034"/>
      <c r="F28" s="1034"/>
      <c r="G28" s="133">
        <f>G23</f>
        <v>0</v>
      </c>
      <c r="H28" s="212"/>
      <c r="I28" s="202"/>
    </row>
    <row r="29" spans="1:9" s="208" customFormat="1" ht="19.5" customHeight="1">
      <c r="A29" s="131" t="s">
        <v>8</v>
      </c>
      <c r="B29" s="132"/>
      <c r="C29" s="153" t="s">
        <v>62</v>
      </c>
      <c r="D29" s="1041" t="s">
        <v>63</v>
      </c>
      <c r="E29" s="1041"/>
      <c r="F29" s="1041"/>
      <c r="G29" s="154">
        <f>G26+G27+G28</f>
        <v>55288.5</v>
      </c>
      <c r="H29" s="246">
        <v>596</v>
      </c>
      <c r="I29" s="202"/>
    </row>
    <row r="30" spans="1:9" s="208" customFormat="1" ht="19.5" customHeight="1">
      <c r="A30" s="131"/>
      <c r="B30" s="132"/>
      <c r="C30" s="153"/>
      <c r="D30" s="156" t="s">
        <v>204</v>
      </c>
      <c r="E30" s="157"/>
      <c r="F30" s="158">
        <v>0.2746</v>
      </c>
      <c r="G30" s="159">
        <f>G29*F30</f>
        <v>15182.22</v>
      </c>
      <c r="H30" s="251"/>
      <c r="I30" s="202"/>
    </row>
    <row r="31" spans="1:9" s="208" customFormat="1" ht="19.5" customHeight="1" thickBot="1">
      <c r="A31" s="161"/>
      <c r="B31" s="162"/>
      <c r="C31" s="162"/>
      <c r="D31" s="1042" t="s">
        <v>65</v>
      </c>
      <c r="E31" s="1042"/>
      <c r="F31" s="1042"/>
      <c r="G31" s="163">
        <f>G29+G30</f>
        <v>70470.72</v>
      </c>
      <c r="H31" s="255"/>
      <c r="I31" s="202"/>
    </row>
    <row r="32" ht="19.5" customHeight="1"/>
    <row r="33" spans="1:7" ht="19.5" customHeight="1">
      <c r="A33" s="1038" t="s">
        <v>246</v>
      </c>
      <c r="B33" s="1038"/>
      <c r="C33" s="1038"/>
      <c r="D33" s="1038"/>
      <c r="E33" s="1038"/>
      <c r="F33" s="1038"/>
      <c r="G33" s="1038"/>
    </row>
    <row r="34" spans="1:7" ht="19.5" customHeight="1">
      <c r="A34" s="1039" t="s">
        <v>247</v>
      </c>
      <c r="B34" s="1040"/>
      <c r="C34" s="341" t="s">
        <v>249</v>
      </c>
      <c r="D34" s="341" t="s">
        <v>250</v>
      </c>
      <c r="E34" s="1039" t="s">
        <v>251</v>
      </c>
      <c r="F34" s="1040"/>
      <c r="G34" s="344"/>
    </row>
    <row r="35" spans="1:7" ht="19.5" customHeight="1">
      <c r="A35" s="1035" t="s">
        <v>415</v>
      </c>
      <c r="B35" s="1035"/>
      <c r="C35" s="736">
        <v>2</v>
      </c>
      <c r="D35" s="736">
        <v>25</v>
      </c>
      <c r="E35" s="736">
        <v>6</v>
      </c>
      <c r="F35" s="737" t="s">
        <v>231</v>
      </c>
      <c r="G35" s="737">
        <f>ROUND((C35*D35*E35),2)</f>
        <v>300</v>
      </c>
    </row>
    <row r="36" spans="1:7" ht="19.5" customHeight="1">
      <c r="A36" s="1035" t="s">
        <v>416</v>
      </c>
      <c r="B36" s="1035"/>
      <c r="C36" s="736">
        <v>7</v>
      </c>
      <c r="D36" s="736">
        <v>25</v>
      </c>
      <c r="E36" s="736">
        <v>6</v>
      </c>
      <c r="F36" s="737" t="s">
        <v>231</v>
      </c>
      <c r="G36" s="737">
        <f>ROUND((C36*D36*E36),2)</f>
        <v>1050</v>
      </c>
    </row>
    <row r="37" spans="1:7" ht="16.5" hidden="1">
      <c r="A37" s="1036" t="s">
        <v>417</v>
      </c>
      <c r="B37" s="1037"/>
      <c r="C37" s="294"/>
      <c r="D37" s="295">
        <v>20</v>
      </c>
      <c r="E37" s="295">
        <v>3</v>
      </c>
      <c r="F37" s="331" t="s">
        <v>231</v>
      </c>
      <c r="G37" s="331">
        <f>ROUND((C37*D37*E37),2)</f>
        <v>0</v>
      </c>
    </row>
  </sheetData>
  <sheetProtection/>
  <mergeCells count="28">
    <mergeCell ref="A20:F20"/>
    <mergeCell ref="A21:G21"/>
    <mergeCell ref="A23:F23"/>
    <mergeCell ref="A24:G24"/>
    <mergeCell ref="D26:F26"/>
    <mergeCell ref="A11:G11"/>
    <mergeCell ref="A13:G13"/>
    <mergeCell ref="A17:F17"/>
    <mergeCell ref="A18:G18"/>
    <mergeCell ref="D27:F27"/>
    <mergeCell ref="A35:B35"/>
    <mergeCell ref="A36:B36"/>
    <mergeCell ref="A37:B37"/>
    <mergeCell ref="A33:G33"/>
    <mergeCell ref="A34:B34"/>
    <mergeCell ref="E34:F34"/>
    <mergeCell ref="D28:F28"/>
    <mergeCell ref="D29:F29"/>
    <mergeCell ref="D31:F31"/>
    <mergeCell ref="A1:G1"/>
    <mergeCell ref="A3:G3"/>
    <mergeCell ref="A4:G4"/>
    <mergeCell ref="A5:G5"/>
    <mergeCell ref="A8:G8"/>
    <mergeCell ref="A9:A10"/>
    <mergeCell ref="C9:F10"/>
    <mergeCell ref="A6:G6"/>
    <mergeCell ref="B7:G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U36"/>
  <sheetViews>
    <sheetView view="pageBreakPreview" zoomScale="85" zoomScaleNormal="85" zoomScaleSheetLayoutView="85" zoomScalePageLayoutView="0" workbookViewId="0" topLeftCell="E10">
      <selection activeCell="P32" sqref="P32"/>
    </sheetView>
  </sheetViews>
  <sheetFormatPr defaultColWidth="12.00390625" defaultRowHeight="12.75"/>
  <cols>
    <col min="1" max="1" width="8.28125" style="125" customWidth="1"/>
    <col min="2" max="2" width="29.421875" style="125" customWidth="1"/>
    <col min="3" max="3" width="12.28125" style="125" bestFit="1" customWidth="1"/>
    <col min="4" max="4" width="14.7109375" style="125" customWidth="1"/>
    <col min="5" max="11" width="12.7109375" style="125" customWidth="1"/>
    <col min="12" max="12" width="15.00390625" style="125" customWidth="1"/>
    <col min="13" max="13" width="12.7109375" style="125" customWidth="1"/>
    <col min="14" max="14" width="15.57421875" style="125" customWidth="1"/>
    <col min="15" max="15" width="12.7109375" style="125" customWidth="1"/>
    <col min="16" max="16" width="14.421875" style="125" customWidth="1"/>
    <col min="17" max="17" width="8.00390625" style="125" bestFit="1" customWidth="1"/>
    <col min="18" max="18" width="11.28125" style="125" bestFit="1" customWidth="1"/>
    <col min="19" max="251" width="9.140625" style="125" customWidth="1"/>
    <col min="252" max="252" width="8.28125" style="125" customWidth="1"/>
    <col min="253" max="253" width="31.140625" style="125" customWidth="1"/>
    <col min="254" max="254" width="8.140625" style="125" customWidth="1"/>
    <col min="255" max="255" width="12.00390625" style="125" customWidth="1"/>
    <col min="256" max="16384" width="12.00390625" style="89" customWidth="1"/>
  </cols>
  <sheetData>
    <row r="1" spans="1:16" ht="19.5" customHeight="1">
      <c r="A1" s="1078"/>
      <c r="B1" s="1079"/>
      <c r="C1" s="1079"/>
      <c r="D1" s="1079"/>
      <c r="E1" s="1079"/>
      <c r="F1" s="1079"/>
      <c r="G1" s="1079"/>
      <c r="H1" s="1079"/>
      <c r="I1" s="1079"/>
      <c r="J1" s="1079"/>
      <c r="K1" s="1079"/>
      <c r="L1" s="1079"/>
      <c r="M1" s="1079"/>
      <c r="N1" s="1079"/>
      <c r="O1" s="1079"/>
      <c r="P1" s="1079"/>
    </row>
    <row r="2" spans="1:255" ht="19.5" customHeight="1">
      <c r="A2" s="1078"/>
      <c r="B2" s="1079"/>
      <c r="C2" s="1079"/>
      <c r="D2" s="1079"/>
      <c r="E2" s="1079"/>
      <c r="F2" s="1079"/>
      <c r="G2" s="1079"/>
      <c r="H2" s="1079"/>
      <c r="I2" s="1079"/>
      <c r="J2" s="1079"/>
      <c r="K2" s="1079"/>
      <c r="L2" s="1079"/>
      <c r="M2" s="1079"/>
      <c r="N2" s="1079"/>
      <c r="O2" s="1079"/>
      <c r="P2" s="1079"/>
      <c r="Q2" s="539"/>
      <c r="R2" s="539"/>
      <c r="S2" s="539"/>
      <c r="T2" s="539"/>
      <c r="U2" s="539"/>
      <c r="V2" s="539"/>
      <c r="W2" s="539"/>
      <c r="X2" s="539"/>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row>
    <row r="3" spans="1:255" ht="19.5" customHeight="1">
      <c r="A3" s="1078"/>
      <c r="B3" s="1079"/>
      <c r="C3" s="1079"/>
      <c r="D3" s="1079"/>
      <c r="E3" s="1079"/>
      <c r="F3" s="1079"/>
      <c r="G3" s="1079"/>
      <c r="H3" s="1079"/>
      <c r="I3" s="1079"/>
      <c r="J3" s="1079"/>
      <c r="K3" s="1079"/>
      <c r="L3" s="1079"/>
      <c r="M3" s="1079"/>
      <c r="N3" s="1079"/>
      <c r="O3" s="1079"/>
      <c r="P3" s="1079"/>
      <c r="Q3" s="539"/>
      <c r="R3" s="539"/>
      <c r="S3" s="539"/>
      <c r="T3" s="539"/>
      <c r="U3" s="539"/>
      <c r="V3" s="539"/>
      <c r="W3" s="539"/>
      <c r="X3" s="539"/>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row>
    <row r="4" spans="1:16" ht="19.5" customHeight="1">
      <c r="A4" s="1087" t="s">
        <v>19</v>
      </c>
      <c r="B4" s="1088"/>
      <c r="C4" s="1088"/>
      <c r="D4" s="1088"/>
      <c r="E4" s="1088"/>
      <c r="F4" s="1088"/>
      <c r="G4" s="1088"/>
      <c r="H4" s="1088"/>
      <c r="I4" s="1088"/>
      <c r="J4" s="1088"/>
      <c r="K4" s="1088"/>
      <c r="L4" s="1088"/>
      <c r="M4" s="1088"/>
      <c r="N4" s="1088"/>
      <c r="O4" s="1088"/>
      <c r="P4" s="1088"/>
    </row>
    <row r="5" spans="1:255" ht="19.5" customHeight="1">
      <c r="A5" s="1089" t="s">
        <v>193</v>
      </c>
      <c r="B5" s="1090"/>
      <c r="C5" s="1090"/>
      <c r="D5" s="1090"/>
      <c r="E5" s="1090"/>
      <c r="F5" s="1090"/>
      <c r="G5" s="1090"/>
      <c r="H5" s="1090"/>
      <c r="I5" s="1090"/>
      <c r="J5" s="1090"/>
      <c r="K5" s="1090"/>
      <c r="L5" s="1090"/>
      <c r="M5" s="1090"/>
      <c r="N5" s="1090"/>
      <c r="O5" s="1090"/>
      <c r="P5" s="1090"/>
      <c r="Q5" s="539"/>
      <c r="R5" s="539"/>
      <c r="S5" s="539"/>
      <c r="T5" s="539"/>
      <c r="U5" s="539"/>
      <c r="V5" s="539"/>
      <c r="W5" s="539"/>
      <c r="X5" s="539"/>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row>
    <row r="6" spans="1:255" ht="19.5" customHeight="1">
      <c r="A6" s="1066" t="s">
        <v>18</v>
      </c>
      <c r="B6" s="1067"/>
      <c r="C6" s="1067"/>
      <c r="D6" s="1067"/>
      <c r="E6" s="1067"/>
      <c r="F6" s="1067"/>
      <c r="G6" s="1067"/>
      <c r="H6" s="1067"/>
      <c r="I6" s="1067"/>
      <c r="J6" s="1067"/>
      <c r="K6" s="1067"/>
      <c r="L6" s="1067"/>
      <c r="M6" s="1067"/>
      <c r="N6" s="1067"/>
      <c r="O6" s="1067"/>
      <c r="P6" s="1067"/>
      <c r="Q6" s="539"/>
      <c r="R6" s="539"/>
      <c r="S6" s="539"/>
      <c r="T6" s="539"/>
      <c r="U6" s="539"/>
      <c r="V6" s="539"/>
      <c r="W6" s="539"/>
      <c r="X6" s="539"/>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9.5" customHeight="1">
      <c r="A7" s="1066"/>
      <c r="B7" s="1067"/>
      <c r="C7" s="1067"/>
      <c r="D7" s="1067"/>
      <c r="E7" s="1067"/>
      <c r="F7" s="1067"/>
      <c r="G7" s="1067"/>
      <c r="H7" s="1067"/>
      <c r="I7" s="1067"/>
      <c r="J7" s="1067"/>
      <c r="K7" s="1067"/>
      <c r="L7" s="1067"/>
      <c r="M7" s="1067"/>
      <c r="N7" s="1067"/>
      <c r="O7" s="1067"/>
      <c r="P7" s="1068"/>
      <c r="Q7" s="539"/>
      <c r="R7" s="539"/>
      <c r="S7" s="539"/>
      <c r="T7" s="539"/>
      <c r="U7" s="539"/>
      <c r="V7" s="539"/>
      <c r="W7" s="539"/>
      <c r="X7" s="539"/>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row>
    <row r="8" spans="1:24" ht="38.25" customHeight="1">
      <c r="A8" s="584" t="s">
        <v>649</v>
      </c>
      <c r="B8" s="109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8" s="1092"/>
      <c r="D8" s="1092"/>
      <c r="E8" s="1092"/>
      <c r="F8" s="1092"/>
      <c r="G8" s="1092"/>
      <c r="H8" s="1092"/>
      <c r="I8" s="1092"/>
      <c r="J8" s="1092"/>
      <c r="K8" s="1092"/>
      <c r="L8" s="1092"/>
      <c r="M8" s="1092"/>
      <c r="N8" s="1092"/>
      <c r="O8" s="1092"/>
      <c r="P8" s="1092"/>
      <c r="Q8" s="339"/>
      <c r="R8" s="339"/>
      <c r="S8" s="339"/>
      <c r="T8" s="339"/>
      <c r="U8" s="339"/>
      <c r="V8" s="339"/>
      <c r="W8" s="339"/>
      <c r="X8" s="339"/>
    </row>
    <row r="9" spans="1:255" ht="15" thickBot="1">
      <c r="A9" s="1064"/>
      <c r="B9" s="1065"/>
      <c r="C9" s="1065"/>
      <c r="D9" s="1065"/>
      <c r="E9" s="1065"/>
      <c r="F9" s="1065"/>
      <c r="G9" s="1065"/>
      <c r="H9" s="1065"/>
      <c r="I9" s="1065"/>
      <c r="J9" s="1065"/>
      <c r="K9" s="1065"/>
      <c r="L9" s="1065"/>
      <c r="M9" s="1065"/>
      <c r="N9" s="1065"/>
      <c r="O9" s="1065"/>
      <c r="P9" s="1065"/>
      <c r="Q9" s="539"/>
      <c r="R9" s="539"/>
      <c r="S9" s="539"/>
      <c r="T9" s="539"/>
      <c r="U9" s="539"/>
      <c r="V9" s="539"/>
      <c r="W9" s="539"/>
      <c r="X9" s="539"/>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row>
    <row r="10" spans="1:255" ht="29.25" customHeight="1" thickBot="1" thickTop="1">
      <c r="A10" s="1080" t="s">
        <v>212</v>
      </c>
      <c r="B10" s="1081"/>
      <c r="C10" s="1081"/>
      <c r="D10" s="1081"/>
      <c r="E10" s="1081"/>
      <c r="F10" s="1081"/>
      <c r="G10" s="1081"/>
      <c r="H10" s="1081"/>
      <c r="I10" s="1081"/>
      <c r="J10" s="1081"/>
      <c r="K10" s="1081"/>
      <c r="L10" s="1081"/>
      <c r="M10" s="1081"/>
      <c r="N10" s="1081"/>
      <c r="O10" s="1081"/>
      <c r="P10" s="1081"/>
      <c r="Q10" s="539"/>
      <c r="R10" s="539"/>
      <c r="S10" s="539"/>
      <c r="T10" s="539"/>
      <c r="U10" s="539"/>
      <c r="V10" s="539"/>
      <c r="W10" s="539"/>
      <c r="X10" s="539"/>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row>
    <row r="11" spans="1:24" ht="7.5" customHeight="1" thickTop="1">
      <c r="A11" s="1082"/>
      <c r="B11" s="1083"/>
      <c r="C11" s="1083"/>
      <c r="D11" s="1083"/>
      <c r="E11" s="1083"/>
      <c r="F11" s="1083"/>
      <c r="G11" s="1083"/>
      <c r="H11" s="1083"/>
      <c r="I11" s="1083"/>
      <c r="J11" s="1083"/>
      <c r="K11" s="1083"/>
      <c r="L11" s="1083"/>
      <c r="M11" s="1083"/>
      <c r="N11" s="1083"/>
      <c r="O11" s="1083"/>
      <c r="P11" s="1083"/>
      <c r="Q11" s="339"/>
      <c r="R11" s="339"/>
      <c r="S11" s="339"/>
      <c r="T11" s="339"/>
      <c r="U11" s="339"/>
      <c r="V11" s="339"/>
      <c r="W11" s="339"/>
      <c r="X11" s="339"/>
    </row>
    <row r="12" spans="1:24" ht="3" customHeight="1" thickBot="1">
      <c r="A12" s="1082"/>
      <c r="B12" s="1083"/>
      <c r="C12" s="1083"/>
      <c r="D12" s="1083"/>
      <c r="E12" s="1083"/>
      <c r="F12" s="1083"/>
      <c r="G12" s="1083"/>
      <c r="H12" s="1083"/>
      <c r="I12" s="1083"/>
      <c r="J12" s="1083"/>
      <c r="K12" s="1083"/>
      <c r="L12" s="1083"/>
      <c r="M12" s="1083"/>
      <c r="N12" s="1083"/>
      <c r="O12" s="1083"/>
      <c r="P12" s="1083"/>
      <c r="Q12" s="339"/>
      <c r="R12" s="339"/>
      <c r="S12" s="339"/>
      <c r="T12" s="339"/>
      <c r="U12" s="339"/>
      <c r="V12" s="339"/>
      <c r="W12" s="339"/>
      <c r="X12" s="339"/>
    </row>
    <row r="13" spans="1:255" s="293" customFormat="1" ht="23.25" customHeight="1" thickBot="1">
      <c r="A13" s="1058" t="s">
        <v>6</v>
      </c>
      <c r="B13" s="1060" t="s">
        <v>213</v>
      </c>
      <c r="C13" s="1060" t="s">
        <v>214</v>
      </c>
      <c r="D13" s="1071" t="s">
        <v>215</v>
      </c>
      <c r="E13" s="1084" t="s">
        <v>216</v>
      </c>
      <c r="F13" s="1085"/>
      <c r="G13" s="1085"/>
      <c r="H13" s="1085"/>
      <c r="I13" s="1085"/>
      <c r="J13" s="1085"/>
      <c r="K13" s="1085"/>
      <c r="L13" s="1085"/>
      <c r="M13" s="1085"/>
      <c r="N13" s="1085"/>
      <c r="O13" s="1085"/>
      <c r="P13" s="1086"/>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row>
    <row r="14" spans="1:255" s="293" customFormat="1" ht="23.25" customHeight="1">
      <c r="A14" s="1059"/>
      <c r="B14" s="1061" t="s">
        <v>213</v>
      </c>
      <c r="C14" s="1061" t="s">
        <v>217</v>
      </c>
      <c r="D14" s="1072"/>
      <c r="E14" s="1069">
        <v>1</v>
      </c>
      <c r="F14" s="1070"/>
      <c r="G14" s="1073">
        <v>2</v>
      </c>
      <c r="H14" s="1070"/>
      <c r="I14" s="1073">
        <v>3</v>
      </c>
      <c r="J14" s="1070"/>
      <c r="K14" s="1073">
        <v>4</v>
      </c>
      <c r="L14" s="1070"/>
      <c r="M14" s="1073">
        <v>5</v>
      </c>
      <c r="N14" s="1070"/>
      <c r="O14" s="1073">
        <v>6</v>
      </c>
      <c r="P14" s="107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row>
    <row r="15" spans="1:16" ht="14.25">
      <c r="A15" s="1059"/>
      <c r="B15" s="1061"/>
      <c r="C15" s="1061"/>
      <c r="D15" s="1072"/>
      <c r="E15" s="541" t="s">
        <v>217</v>
      </c>
      <c r="F15" s="542" t="s">
        <v>218</v>
      </c>
      <c r="G15" s="543" t="s">
        <v>217</v>
      </c>
      <c r="H15" s="542" t="s">
        <v>218</v>
      </c>
      <c r="I15" s="543" t="s">
        <v>217</v>
      </c>
      <c r="J15" s="542" t="s">
        <v>218</v>
      </c>
      <c r="K15" s="543" t="s">
        <v>217</v>
      </c>
      <c r="L15" s="542" t="s">
        <v>218</v>
      </c>
      <c r="M15" s="543" t="s">
        <v>217</v>
      </c>
      <c r="N15" s="542" t="s">
        <v>218</v>
      </c>
      <c r="O15" s="543" t="s">
        <v>217</v>
      </c>
      <c r="P15" s="542" t="s">
        <v>218</v>
      </c>
    </row>
    <row r="16" spans="1:17" ht="30" customHeight="1">
      <c r="A16" s="1059">
        <f>'ORÇAMENTO GERAL'!C17</f>
        <v>1</v>
      </c>
      <c r="B16" s="1062" t="str">
        <f>'ORÇAMENTO GERAL'!F17</f>
        <v>SERVIÇOS PRELIMINARES</v>
      </c>
      <c r="C16" s="1063">
        <f>D16/$D$31</f>
        <v>0.0274</v>
      </c>
      <c r="D16" s="1057">
        <f>'ORÇAMENTO GERAL'!K22</f>
        <v>32855.44</v>
      </c>
      <c r="E16" s="545">
        <v>0.25</v>
      </c>
      <c r="F16" s="546">
        <f>ROUND($D16*E16,2)</f>
        <v>8213.86</v>
      </c>
      <c r="G16" s="547">
        <v>0.15</v>
      </c>
      <c r="H16" s="546">
        <f>ROUND($D16*G16,2)</f>
        <v>4928.32</v>
      </c>
      <c r="I16" s="547">
        <v>0.15</v>
      </c>
      <c r="J16" s="546">
        <f>ROUND($D16*I16,2)</f>
        <v>4928.32</v>
      </c>
      <c r="K16" s="547">
        <v>0.15</v>
      </c>
      <c r="L16" s="546">
        <f>ROUND($D16*K16,2)</f>
        <v>4928.32</v>
      </c>
      <c r="M16" s="547">
        <v>0.15</v>
      </c>
      <c r="N16" s="546">
        <f>ROUND($D16*M16,2)</f>
        <v>4928.32</v>
      </c>
      <c r="O16" s="547">
        <v>0.15</v>
      </c>
      <c r="P16" s="546">
        <f>ROUND($D16*O16,2)</f>
        <v>4928.32</v>
      </c>
      <c r="Q16" s="548">
        <f>E16+G16+I16+K16+M16+O16</f>
        <v>1</v>
      </c>
    </row>
    <row r="17" spans="1:17" ht="6" customHeight="1">
      <c r="A17" s="1059"/>
      <c r="B17" s="1062"/>
      <c r="C17" s="1063"/>
      <c r="D17" s="1057"/>
      <c r="E17" s="549"/>
      <c r="F17" s="550"/>
      <c r="G17" s="551"/>
      <c r="H17" s="550"/>
      <c r="I17" s="552"/>
      <c r="J17" s="550"/>
      <c r="K17" s="552"/>
      <c r="L17" s="550"/>
      <c r="M17" s="552"/>
      <c r="N17" s="550"/>
      <c r="O17" s="552"/>
      <c r="P17" s="550"/>
      <c r="Q17" s="548">
        <f aca="true" t="shared" si="0" ref="Q17:Q29">E17+G17+I17+K17+M17+O17</f>
        <v>0</v>
      </c>
    </row>
    <row r="18" spans="1:17" ht="30" customHeight="1">
      <c r="A18" s="1059">
        <f>'ORÇAMENTO GERAL'!C23</f>
        <v>2</v>
      </c>
      <c r="B18" s="1062" t="str">
        <f>'ORÇAMENTO GERAL'!F23</f>
        <v>DEMOLIÇÕES E RETIRADAS</v>
      </c>
      <c r="C18" s="1063">
        <f>D18/$D$31</f>
        <v>0.007</v>
      </c>
      <c r="D18" s="1057">
        <f>'ORÇAMENTO GERAL'!K26</f>
        <v>8369.31</v>
      </c>
      <c r="E18" s="545"/>
      <c r="F18" s="546"/>
      <c r="G18" s="547">
        <v>0.3</v>
      </c>
      <c r="H18" s="546">
        <f>ROUND($D18*G18,2)</f>
        <v>2510.79</v>
      </c>
      <c r="I18" s="547">
        <v>0.3</v>
      </c>
      <c r="J18" s="546">
        <f>ROUND($D18*I18,2)</f>
        <v>2510.79</v>
      </c>
      <c r="K18" s="547">
        <v>0.2</v>
      </c>
      <c r="L18" s="546">
        <f>ROUND($D18*K18,2)</f>
        <v>1673.86</v>
      </c>
      <c r="M18" s="547">
        <v>0.2</v>
      </c>
      <c r="N18" s="546">
        <f>ROUND($D18*M18,2)</f>
        <v>1673.86</v>
      </c>
      <c r="O18" s="547"/>
      <c r="P18" s="546"/>
      <c r="Q18" s="548">
        <f t="shared" si="0"/>
        <v>1</v>
      </c>
    </row>
    <row r="19" spans="1:17" ht="6" customHeight="1">
      <c r="A19" s="1059"/>
      <c r="B19" s="1062"/>
      <c r="C19" s="1063"/>
      <c r="D19" s="1057"/>
      <c r="E19" s="554"/>
      <c r="F19" s="546"/>
      <c r="G19" s="551"/>
      <c r="H19" s="550"/>
      <c r="I19" s="552"/>
      <c r="J19" s="550"/>
      <c r="K19" s="552"/>
      <c r="L19" s="550"/>
      <c r="M19" s="552"/>
      <c r="N19" s="550"/>
      <c r="O19" s="679"/>
      <c r="P19" s="546"/>
      <c r="Q19" s="548">
        <f t="shared" si="0"/>
        <v>0</v>
      </c>
    </row>
    <row r="20" spans="1:17" ht="30" customHeight="1">
      <c r="A20" s="1059">
        <f>'ORÇAMENTO GERAL'!C27</f>
        <v>3</v>
      </c>
      <c r="B20" s="1062" t="str">
        <f>'ORÇAMENTO GERAL'!F27</f>
        <v>SERVIÇOS DE DRENAGEM SUPERFICIAL</v>
      </c>
      <c r="C20" s="1063">
        <f>D20/$D$31</f>
        <v>0.0496</v>
      </c>
      <c r="D20" s="1057">
        <f>'ORÇAMENTO GERAL'!K33</f>
        <v>59467.73</v>
      </c>
      <c r="E20" s="545"/>
      <c r="F20" s="546">
        <f>ROUND($D20*E20,2)</f>
        <v>0</v>
      </c>
      <c r="G20" s="553">
        <v>0.3</v>
      </c>
      <c r="H20" s="546">
        <f>ROUND($D20*G20,2)</f>
        <v>17840.32</v>
      </c>
      <c r="I20" s="553">
        <v>0.3</v>
      </c>
      <c r="J20" s="546">
        <f>ROUND($D20*I20,2)</f>
        <v>17840.32</v>
      </c>
      <c r="K20" s="553">
        <v>0.2</v>
      </c>
      <c r="L20" s="546">
        <f>ROUND($D20*K20,2)</f>
        <v>11893.55</v>
      </c>
      <c r="M20" s="553">
        <v>0.2</v>
      </c>
      <c r="N20" s="546">
        <f>ROUND($D20*M20,2)</f>
        <v>11893.55</v>
      </c>
      <c r="O20" s="553"/>
      <c r="P20" s="546">
        <f>ROUND($D20*O20,2)</f>
        <v>0</v>
      </c>
      <c r="Q20" s="548">
        <f>E20+G20+I20+K20+M20+O20</f>
        <v>1</v>
      </c>
    </row>
    <row r="21" spans="1:17" ht="6" customHeight="1">
      <c r="A21" s="1059"/>
      <c r="B21" s="1062"/>
      <c r="C21" s="1063"/>
      <c r="D21" s="1057"/>
      <c r="E21" s="545"/>
      <c r="F21" s="546"/>
      <c r="G21" s="551"/>
      <c r="H21" s="550"/>
      <c r="I21" s="552"/>
      <c r="J21" s="550"/>
      <c r="K21" s="552"/>
      <c r="L21" s="550"/>
      <c r="M21" s="552"/>
      <c r="N21" s="550"/>
      <c r="O21" s="679"/>
      <c r="P21" s="546"/>
      <c r="Q21" s="548">
        <f t="shared" si="0"/>
        <v>0</v>
      </c>
    </row>
    <row r="22" spans="1:17" ht="30" customHeight="1">
      <c r="A22" s="1059">
        <f>'ORÇAMENTO GERAL'!C34</f>
        <v>4</v>
      </c>
      <c r="B22" s="1062" t="str">
        <f>'ORÇAMENTO GERAL'!F34</f>
        <v>SERVIÇOS DE DRENAGEM PROFUNDA</v>
      </c>
      <c r="C22" s="1063">
        <f>D22/$D$31</f>
        <v>0.6569</v>
      </c>
      <c r="D22" s="1057">
        <f>'ORÇAMENTO GERAL'!K105</f>
        <v>787875.49</v>
      </c>
      <c r="E22" s="545">
        <v>0.3</v>
      </c>
      <c r="F22" s="546">
        <f>ROUND($D22*E22,2)</f>
        <v>236362.65</v>
      </c>
      <c r="G22" s="553">
        <v>0.3</v>
      </c>
      <c r="H22" s="546">
        <f>ROUND($D22*G22,2)</f>
        <v>236362.65</v>
      </c>
      <c r="I22" s="553">
        <v>0.2</v>
      </c>
      <c r="J22" s="546">
        <f>ROUND($D22*I22,2)</f>
        <v>157575.1</v>
      </c>
      <c r="K22" s="553">
        <v>0.2</v>
      </c>
      <c r="L22" s="546">
        <f>ROUND($D22*K22,2)</f>
        <v>157575.1</v>
      </c>
      <c r="M22" s="553"/>
      <c r="N22" s="546"/>
      <c r="O22" s="553"/>
      <c r="P22" s="546"/>
      <c r="Q22" s="548">
        <f t="shared" si="0"/>
        <v>1</v>
      </c>
    </row>
    <row r="23" spans="1:17" ht="6" customHeight="1">
      <c r="A23" s="1059"/>
      <c r="B23" s="1062"/>
      <c r="C23" s="1063"/>
      <c r="D23" s="1057"/>
      <c r="E23" s="549"/>
      <c r="F23" s="550"/>
      <c r="G23" s="551"/>
      <c r="H23" s="550"/>
      <c r="I23" s="552"/>
      <c r="J23" s="550"/>
      <c r="K23" s="552"/>
      <c r="L23" s="550"/>
      <c r="M23" s="679"/>
      <c r="N23" s="546"/>
      <c r="O23" s="679"/>
      <c r="P23" s="546"/>
      <c r="Q23" s="548">
        <f t="shared" si="0"/>
        <v>0</v>
      </c>
    </row>
    <row r="24" spans="1:17" ht="30" customHeight="1">
      <c r="A24" s="1059">
        <f>'ORÇAMENTO GERAL'!C106</f>
        <v>5</v>
      </c>
      <c r="B24" s="1062" t="str">
        <f>'ORÇAMENTO GERAL'!F106</f>
        <v>SERVIÇOS DE TERRAPLENAGEM</v>
      </c>
      <c r="C24" s="1063">
        <f>D24/$D$31</f>
        <v>0.0838</v>
      </c>
      <c r="D24" s="1057">
        <f>'ORÇAMENTO GERAL'!K115</f>
        <v>100471.8</v>
      </c>
      <c r="E24" s="545"/>
      <c r="F24" s="546">
        <f>ROUND($D24*E24,2)</f>
        <v>0</v>
      </c>
      <c r="G24" s="547">
        <v>0.2</v>
      </c>
      <c r="H24" s="546">
        <f>ROUND($D24*G24,2)</f>
        <v>20094.36</v>
      </c>
      <c r="I24" s="547">
        <v>0.2</v>
      </c>
      <c r="J24" s="546">
        <f>ROUND($D24*I24,2)</f>
        <v>20094.36</v>
      </c>
      <c r="K24" s="547">
        <v>0.2</v>
      </c>
      <c r="L24" s="546">
        <f>ROUND($D24*K24,2)</f>
        <v>20094.36</v>
      </c>
      <c r="M24" s="547">
        <v>0.2</v>
      </c>
      <c r="N24" s="546">
        <f>ROUND($D24*M24,2)</f>
        <v>20094.36</v>
      </c>
      <c r="O24" s="547">
        <v>0.2</v>
      </c>
      <c r="P24" s="546">
        <f>ROUND($D24*O24,2)</f>
        <v>20094.36</v>
      </c>
      <c r="Q24" s="548">
        <f t="shared" si="0"/>
        <v>1</v>
      </c>
    </row>
    <row r="25" spans="1:17" ht="6" customHeight="1">
      <c r="A25" s="1059"/>
      <c r="B25" s="1062"/>
      <c r="C25" s="1063"/>
      <c r="D25" s="1057"/>
      <c r="E25" s="554"/>
      <c r="F25" s="546"/>
      <c r="G25" s="551"/>
      <c r="H25" s="550"/>
      <c r="I25" s="552"/>
      <c r="J25" s="550"/>
      <c r="K25" s="552"/>
      <c r="L25" s="550"/>
      <c r="M25" s="552"/>
      <c r="N25" s="550"/>
      <c r="O25" s="552"/>
      <c r="P25" s="550"/>
      <c r="Q25" s="548">
        <f t="shared" si="0"/>
        <v>0</v>
      </c>
    </row>
    <row r="26" spans="1:17" ht="30" customHeight="1">
      <c r="A26" s="1059">
        <f>'ORÇAMENTO GERAL'!C116</f>
        <v>6</v>
      </c>
      <c r="B26" s="1062" t="str">
        <f>'ORÇAMENTO GERAL'!F116</f>
        <v>SERVIÇOS DE CAIXA PRIMÁRIA</v>
      </c>
      <c r="C26" s="1063">
        <f>D26/$D$31</f>
        <v>0.1451</v>
      </c>
      <c r="D26" s="1057">
        <f>'ORÇAMENTO GERAL'!K125</f>
        <v>173998.26</v>
      </c>
      <c r="E26" s="545"/>
      <c r="F26" s="546">
        <f>ROUND($D26*E26,2)</f>
        <v>0</v>
      </c>
      <c r="G26" s="553">
        <v>0.2</v>
      </c>
      <c r="H26" s="546">
        <f>ROUND($D26*G26,2)</f>
        <v>34799.65</v>
      </c>
      <c r="I26" s="553">
        <v>0.2</v>
      </c>
      <c r="J26" s="546">
        <f>ROUND($D26*I26,2)</f>
        <v>34799.65</v>
      </c>
      <c r="K26" s="553">
        <v>0.2</v>
      </c>
      <c r="L26" s="546">
        <f>ROUND($D26*K26,2)</f>
        <v>34799.65</v>
      </c>
      <c r="M26" s="553">
        <v>0.2</v>
      </c>
      <c r="N26" s="546">
        <f>ROUND($D26*M26,2)</f>
        <v>34799.65</v>
      </c>
      <c r="O26" s="553">
        <v>0.2</v>
      </c>
      <c r="P26" s="546">
        <f>ROUND($D26*O26,2)</f>
        <v>34799.65</v>
      </c>
      <c r="Q26" s="548">
        <f t="shared" si="0"/>
        <v>1</v>
      </c>
    </row>
    <row r="27" spans="1:17" ht="6" customHeight="1">
      <c r="A27" s="1059"/>
      <c r="B27" s="1062"/>
      <c r="C27" s="1063"/>
      <c r="D27" s="1057"/>
      <c r="E27" s="545"/>
      <c r="F27" s="546"/>
      <c r="G27" s="551"/>
      <c r="H27" s="550"/>
      <c r="I27" s="552"/>
      <c r="J27" s="550"/>
      <c r="K27" s="552"/>
      <c r="L27" s="550"/>
      <c r="M27" s="552"/>
      <c r="N27" s="550"/>
      <c r="O27" s="552"/>
      <c r="P27" s="550"/>
      <c r="Q27" s="548">
        <f t="shared" si="0"/>
        <v>0</v>
      </c>
    </row>
    <row r="28" spans="1:17" ht="30" customHeight="1">
      <c r="A28" s="1059">
        <f>'ORÇAMENTO GERAL'!C148</f>
        <v>7</v>
      </c>
      <c r="B28" s="1062" t="str">
        <f>'ORÇAMENTO GERAL'!F148</f>
        <v>LIMPEZA FINAL</v>
      </c>
      <c r="C28" s="1063">
        <f>D28/$D$31</f>
        <v>0.0303</v>
      </c>
      <c r="D28" s="1057">
        <f>'ORÇAMENTO GERAL'!K150</f>
        <v>36346.24</v>
      </c>
      <c r="E28" s="545"/>
      <c r="F28" s="546">
        <f>ROUND($D28*E28,2)</f>
        <v>0</v>
      </c>
      <c r="G28" s="553"/>
      <c r="H28" s="546">
        <f>ROUND($D28*G28,2)</f>
        <v>0</v>
      </c>
      <c r="I28" s="553"/>
      <c r="J28" s="546"/>
      <c r="K28" s="553"/>
      <c r="L28" s="546"/>
      <c r="M28" s="553">
        <v>0.5</v>
      </c>
      <c r="N28" s="546">
        <f>ROUND($D28*M28,2)</f>
        <v>18173.12</v>
      </c>
      <c r="O28" s="553">
        <v>0.5</v>
      </c>
      <c r="P28" s="546">
        <f>ROUND($D28*O28,2)</f>
        <v>18173.12</v>
      </c>
      <c r="Q28" s="548">
        <f t="shared" si="0"/>
        <v>1</v>
      </c>
    </row>
    <row r="29" spans="1:17" ht="6" customHeight="1">
      <c r="A29" s="1059"/>
      <c r="B29" s="1062"/>
      <c r="C29" s="1063"/>
      <c r="D29" s="1057"/>
      <c r="E29" s="555"/>
      <c r="F29" s="556"/>
      <c r="G29" s="557"/>
      <c r="H29" s="556"/>
      <c r="I29" s="557"/>
      <c r="J29" s="556"/>
      <c r="K29" s="557"/>
      <c r="L29" s="556"/>
      <c r="M29" s="558"/>
      <c r="N29" s="559"/>
      <c r="O29" s="558"/>
      <c r="P29" s="559"/>
      <c r="Q29" s="548">
        <f t="shared" si="0"/>
        <v>0</v>
      </c>
    </row>
    <row r="30" spans="1:16" ht="14.25">
      <c r="A30" s="560"/>
      <c r="B30" s="561"/>
      <c r="C30" s="562"/>
      <c r="D30" s="563"/>
      <c r="E30" s="564"/>
      <c r="F30" s="565"/>
      <c r="G30" s="342"/>
      <c r="H30" s="565"/>
      <c r="I30" s="342"/>
      <c r="J30" s="565"/>
      <c r="K30" s="342"/>
      <c r="L30" s="565"/>
      <c r="M30" s="342"/>
      <c r="N30" s="565"/>
      <c r="O30" s="342"/>
      <c r="P30" s="565"/>
    </row>
    <row r="31" spans="1:16" ht="24.75" customHeight="1">
      <c r="A31" s="1059" t="s">
        <v>23</v>
      </c>
      <c r="B31" s="540" t="s">
        <v>219</v>
      </c>
      <c r="C31" s="1063">
        <f>ROUND(SUM(C16:C29),2)</f>
        <v>1</v>
      </c>
      <c r="D31" s="1057">
        <f>ROUND(SUM(D16:D29),2)</f>
        <v>1199384.27</v>
      </c>
      <c r="E31" s="566">
        <f>F31/$D$31</f>
        <v>0.2039</v>
      </c>
      <c r="F31" s="544">
        <f>F16+F18+F20+F22+F24+F26+F28</f>
        <v>244576.51</v>
      </c>
      <c r="G31" s="567">
        <f>H31/D31</f>
        <v>0.2639</v>
      </c>
      <c r="H31" s="544">
        <f>H16+H18+H20+H22+H24+H26+H28</f>
        <v>316536.09</v>
      </c>
      <c r="I31" s="567">
        <f>J31/D31</f>
        <v>0.1982</v>
      </c>
      <c r="J31" s="544">
        <f>J16+J18+J20+J22+J24+J26+J28</f>
        <v>237748.54</v>
      </c>
      <c r="K31" s="567">
        <f>L31/D31</f>
        <v>0.1926</v>
      </c>
      <c r="L31" s="544">
        <f>L16+L18+L20+L22+L24+L26+L28</f>
        <v>230964.84</v>
      </c>
      <c r="M31" s="567">
        <f>N31/H31</f>
        <v>0.2893</v>
      </c>
      <c r="N31" s="544">
        <f>N16+N18+N20+N22+N24+N26+N28</f>
        <v>91562.86</v>
      </c>
      <c r="O31" s="567">
        <f>P31/H31</f>
        <v>0.2464</v>
      </c>
      <c r="P31" s="544">
        <f>P16+P18+P20+P22+P24+P26+P28-0.02</f>
        <v>77995.43</v>
      </c>
    </row>
    <row r="32" spans="1:18" ht="24.75" customHeight="1" thickBot="1">
      <c r="A32" s="1075"/>
      <c r="B32" s="568" t="s">
        <v>220</v>
      </c>
      <c r="C32" s="1076">
        <v>1</v>
      </c>
      <c r="D32" s="1077">
        <v>528609.19</v>
      </c>
      <c r="E32" s="570">
        <f>F32/$D$31</f>
        <v>0.2039</v>
      </c>
      <c r="F32" s="569">
        <f>F31</f>
        <v>244576.51</v>
      </c>
      <c r="G32" s="571">
        <f>H32/$D$31</f>
        <v>0.4678</v>
      </c>
      <c r="H32" s="569">
        <f>F32+H31</f>
        <v>561112.6</v>
      </c>
      <c r="I32" s="571">
        <f>J32/$D$31</f>
        <v>0.6661</v>
      </c>
      <c r="J32" s="569">
        <f>H32+J31</f>
        <v>798861.14</v>
      </c>
      <c r="K32" s="571">
        <f>L32/$D$31</f>
        <v>0.8586</v>
      </c>
      <c r="L32" s="569">
        <f>J32+L31</f>
        <v>1029825.98</v>
      </c>
      <c r="M32" s="571">
        <f>N32/$D$31</f>
        <v>0.935</v>
      </c>
      <c r="N32" s="569">
        <f>L32+N31</f>
        <v>1121388.84</v>
      </c>
      <c r="O32" s="571">
        <f>P32/$D$31</f>
        <v>1</v>
      </c>
      <c r="P32" s="569">
        <f>N32+P31</f>
        <v>1199384.27</v>
      </c>
      <c r="Q32" s="125">
        <f>'ORÇAMENTO GERAL'!K151</f>
        <v>1199384.27</v>
      </c>
      <c r="R32" s="793">
        <f>Q32-P32</f>
        <v>0</v>
      </c>
    </row>
    <row r="35" spans="2:16" ht="16.5">
      <c r="B35" s="598" t="s">
        <v>663</v>
      </c>
      <c r="C35" s="1074" t="s">
        <v>664</v>
      </c>
      <c r="D35" s="1074"/>
      <c r="E35" s="1074"/>
      <c r="F35" s="1074"/>
      <c r="G35" s="1074"/>
      <c r="H35" s="1074"/>
      <c r="I35" s="1074"/>
      <c r="J35" s="1074"/>
      <c r="K35" s="1074"/>
      <c r="L35" s="1074"/>
      <c r="M35" s="678"/>
      <c r="N35" s="678"/>
      <c r="O35" s="678"/>
      <c r="P35" s="678"/>
    </row>
    <row r="36" spans="2:16" ht="16.5">
      <c r="B36" s="597"/>
      <c r="C36" s="597"/>
      <c r="D36" s="597"/>
      <c r="E36" s="597"/>
      <c r="F36" s="597"/>
      <c r="G36" s="597"/>
      <c r="H36" s="597"/>
      <c r="I36" s="597"/>
      <c r="J36" s="597"/>
      <c r="K36" s="597"/>
      <c r="L36" s="597"/>
      <c r="M36" s="597"/>
      <c r="N36" s="597"/>
      <c r="O36" s="597"/>
      <c r="P36" s="597"/>
    </row>
  </sheetData>
  <sheetProtection/>
  <mergeCells count="52">
    <mergeCell ref="A6:P6"/>
    <mergeCell ref="B8:P8"/>
    <mergeCell ref="B28:B29"/>
    <mergeCell ref="C28:C29"/>
    <mergeCell ref="A1:P3"/>
    <mergeCell ref="A10:P10"/>
    <mergeCell ref="A11:P12"/>
    <mergeCell ref="E13:P13"/>
    <mergeCell ref="M14:N14"/>
    <mergeCell ref="O14:P14"/>
    <mergeCell ref="A4:P4"/>
    <mergeCell ref="A5:P5"/>
    <mergeCell ref="C18:C19"/>
    <mergeCell ref="D18:D19"/>
    <mergeCell ref="C35:L35"/>
    <mergeCell ref="A31:A32"/>
    <mergeCell ref="C31:C32"/>
    <mergeCell ref="D31:D32"/>
    <mergeCell ref="D28:D29"/>
    <mergeCell ref="A24:A25"/>
    <mergeCell ref="D24:D25"/>
    <mergeCell ref="A28:A29"/>
    <mergeCell ref="B18:B19"/>
    <mergeCell ref="G14:H14"/>
    <mergeCell ref="C24:C25"/>
    <mergeCell ref="B24:B25"/>
    <mergeCell ref="K14:L14"/>
    <mergeCell ref="A16:A17"/>
    <mergeCell ref="B16:B17"/>
    <mergeCell ref="C16:C17"/>
    <mergeCell ref="D22:D23"/>
    <mergeCell ref="A20:A21"/>
    <mergeCell ref="B22:B23"/>
    <mergeCell ref="C22:C23"/>
    <mergeCell ref="A9:P9"/>
    <mergeCell ref="A7:P7"/>
    <mergeCell ref="B20:B21"/>
    <mergeCell ref="C20:C21"/>
    <mergeCell ref="E14:F14"/>
    <mergeCell ref="D13:D15"/>
    <mergeCell ref="I14:J14"/>
    <mergeCell ref="A18:A19"/>
    <mergeCell ref="D16:D17"/>
    <mergeCell ref="A13:A15"/>
    <mergeCell ref="B13:B15"/>
    <mergeCell ref="C13:C15"/>
    <mergeCell ref="D26:D27"/>
    <mergeCell ref="A26:A27"/>
    <mergeCell ref="B26:B27"/>
    <mergeCell ref="C26:C27"/>
    <mergeCell ref="D20:D21"/>
    <mergeCell ref="A22:A23"/>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61"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40"/>
  <sheetViews>
    <sheetView view="pageBreakPreview" zoomScaleSheetLayoutView="100" zoomScalePageLayoutView="0" workbookViewId="0" topLeftCell="A1">
      <selection activeCell="L6" sqref="L6"/>
    </sheetView>
  </sheetViews>
  <sheetFormatPr defaultColWidth="9.140625" defaultRowHeight="12.75"/>
  <cols>
    <col min="1" max="1" width="10.7109375" style="125" customWidth="1"/>
    <col min="2" max="2" width="9.7109375" style="125" bestFit="1" customWidth="1"/>
    <col min="3" max="4" width="25.7109375" style="125" customWidth="1"/>
    <col min="5" max="6" width="11.7109375" style="125" customWidth="1"/>
    <col min="7" max="7" width="12.8515625" style="125" bestFit="1" customWidth="1"/>
    <col min="8" max="8" width="23.140625" style="125" customWidth="1"/>
    <col min="9" max="16384" width="9.140625" style="125" customWidth="1"/>
  </cols>
  <sheetData>
    <row r="1" spans="1:8" ht="14.25">
      <c r="A1" s="120"/>
      <c r="B1" s="121"/>
      <c r="C1" s="121"/>
      <c r="D1" s="121"/>
      <c r="E1" s="121"/>
      <c r="F1" s="121"/>
      <c r="G1" s="121"/>
      <c r="H1" s="122"/>
    </row>
    <row r="2" spans="1:8" ht="38.25" customHeight="1">
      <c r="A2" s="168"/>
      <c r="B2" s="169"/>
      <c r="C2" s="169"/>
      <c r="D2" s="169"/>
      <c r="E2" s="169"/>
      <c r="F2" s="169"/>
      <c r="G2" s="169"/>
      <c r="H2" s="170"/>
    </row>
    <row r="3" spans="1:8" ht="14.25">
      <c r="A3" s="1126" t="s">
        <v>19</v>
      </c>
      <c r="B3" s="1127"/>
      <c r="C3" s="1127"/>
      <c r="D3" s="1127"/>
      <c r="E3" s="1127"/>
      <c r="F3" s="1127"/>
      <c r="G3" s="1127"/>
      <c r="H3" s="1128"/>
    </row>
    <row r="4" spans="1:8" ht="14.25">
      <c r="A4" s="1078" t="s">
        <v>193</v>
      </c>
      <c r="B4" s="1079"/>
      <c r="C4" s="1079"/>
      <c r="D4" s="1079"/>
      <c r="E4" s="1079"/>
      <c r="F4" s="1079"/>
      <c r="G4" s="1079"/>
      <c r="H4" s="1129"/>
    </row>
    <row r="5" spans="1:8" ht="14.25">
      <c r="A5" s="1130" t="s">
        <v>18</v>
      </c>
      <c r="B5" s="1131"/>
      <c r="C5" s="1131"/>
      <c r="D5" s="1131"/>
      <c r="E5" s="1131"/>
      <c r="F5" s="1131"/>
      <c r="G5" s="1131"/>
      <c r="H5" s="1132"/>
    </row>
    <row r="6" spans="1:8" ht="14.25">
      <c r="A6" s="591"/>
      <c r="B6" s="592"/>
      <c r="C6" s="592"/>
      <c r="D6" s="592"/>
      <c r="E6" s="592"/>
      <c r="F6" s="592"/>
      <c r="G6" s="592"/>
      <c r="H6" s="593"/>
    </row>
    <row r="7" spans="1:8" ht="57.75" customHeight="1">
      <c r="A7" s="623" t="s">
        <v>649</v>
      </c>
      <c r="B7" s="1142"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143"/>
      <c r="D7" s="1143"/>
      <c r="E7" s="1143"/>
      <c r="F7" s="1143"/>
      <c r="G7" s="1143"/>
      <c r="H7" s="1144"/>
    </row>
    <row r="8" spans="1:8" ht="15" thickBot="1">
      <c r="A8" s="1133"/>
      <c r="B8" s="1134"/>
      <c r="C8" s="1134"/>
      <c r="D8" s="1134"/>
      <c r="E8" s="1134"/>
      <c r="F8" s="1134"/>
      <c r="G8" s="1134"/>
      <c r="H8" s="1135"/>
    </row>
    <row r="9" spans="1:8" ht="15" thickTop="1">
      <c r="A9" s="1136" t="s">
        <v>603</v>
      </c>
      <c r="B9" s="355" t="s">
        <v>192</v>
      </c>
      <c r="C9" s="1138" t="s">
        <v>645</v>
      </c>
      <c r="D9" s="1139"/>
      <c r="E9" s="1139"/>
      <c r="F9" s="1139"/>
      <c r="G9" s="1139"/>
      <c r="H9" s="357" t="s">
        <v>647</v>
      </c>
    </row>
    <row r="10" spans="1:8" ht="15" thickBot="1">
      <c r="A10" s="1137"/>
      <c r="B10" s="351">
        <v>45017</v>
      </c>
      <c r="C10" s="1140"/>
      <c r="D10" s="1141"/>
      <c r="E10" s="1141"/>
      <c r="F10" s="1141"/>
      <c r="G10" s="1141"/>
      <c r="H10" s="354" t="s">
        <v>307</v>
      </c>
    </row>
    <row r="11" spans="1:8" ht="9.75" customHeight="1" thickTop="1">
      <c r="A11" s="1108"/>
      <c r="B11" s="1109"/>
      <c r="C11" s="1109"/>
      <c r="D11" s="1109"/>
      <c r="E11" s="1109"/>
      <c r="F11" s="1109"/>
      <c r="G11" s="1109"/>
      <c r="H11" s="1110"/>
    </row>
    <row r="12" spans="1:8" s="130" customFormat="1" ht="19.5" customHeight="1">
      <c r="A12" s="263" t="s">
        <v>38</v>
      </c>
      <c r="B12" s="264" t="s">
        <v>280</v>
      </c>
      <c r="C12" s="1119" t="s">
        <v>39</v>
      </c>
      <c r="D12" s="1120"/>
      <c r="E12" s="264" t="s">
        <v>40</v>
      </c>
      <c r="F12" s="265" t="s">
        <v>157</v>
      </c>
      <c r="G12" s="266" t="s">
        <v>41</v>
      </c>
      <c r="H12" s="267" t="s">
        <v>42</v>
      </c>
    </row>
    <row r="13" spans="1:8" s="130" customFormat="1" ht="19.5" customHeight="1">
      <c r="A13" s="1116" t="s">
        <v>37</v>
      </c>
      <c r="B13" s="1117"/>
      <c r="C13" s="1117"/>
      <c r="D13" s="1117"/>
      <c r="E13" s="1117"/>
      <c r="F13" s="1117"/>
      <c r="G13" s="1117"/>
      <c r="H13" s="1118"/>
    </row>
    <row r="14" spans="1:8" s="130" customFormat="1" ht="28.5" customHeight="1">
      <c r="A14" s="135">
        <v>1</v>
      </c>
      <c r="B14" s="136" t="s">
        <v>43</v>
      </c>
      <c r="C14" s="1121" t="s">
        <v>44</v>
      </c>
      <c r="D14" s="1122"/>
      <c r="E14" s="138" t="s">
        <v>45</v>
      </c>
      <c r="F14" s="738">
        <f>H39</f>
        <v>600</v>
      </c>
      <c r="G14" s="140">
        <v>25.27</v>
      </c>
      <c r="H14" s="141">
        <f>F14*G14</f>
        <v>15162</v>
      </c>
    </row>
    <row r="15" spans="1:8" s="130" customFormat="1" ht="28.5" customHeight="1">
      <c r="A15" s="135">
        <v>2</v>
      </c>
      <c r="B15" s="136" t="s">
        <v>244</v>
      </c>
      <c r="C15" s="1121" t="s">
        <v>245</v>
      </c>
      <c r="D15" s="1122"/>
      <c r="E15" s="138" t="s">
        <v>45</v>
      </c>
      <c r="F15" s="738">
        <f>H40</f>
        <v>600</v>
      </c>
      <c r="G15" s="140">
        <v>12.44</v>
      </c>
      <c r="H15" s="141">
        <f>F15*G15</f>
        <v>7464</v>
      </c>
    </row>
    <row r="16" spans="1:8" s="130" customFormat="1" ht="19.5" customHeight="1" hidden="1">
      <c r="A16" s="135">
        <v>3</v>
      </c>
      <c r="B16" s="148"/>
      <c r="C16" s="145"/>
      <c r="D16" s="145"/>
      <c r="E16" s="138"/>
      <c r="F16" s="139"/>
      <c r="G16" s="140"/>
      <c r="H16" s="141"/>
    </row>
    <row r="17" spans="1:8" s="130" customFormat="1" ht="19.5" customHeight="1" hidden="1">
      <c r="A17" s="135">
        <v>4</v>
      </c>
      <c r="B17" s="148"/>
      <c r="C17" s="145"/>
      <c r="D17" s="145"/>
      <c r="E17" s="138"/>
      <c r="F17" s="139"/>
      <c r="G17" s="140"/>
      <c r="H17" s="141"/>
    </row>
    <row r="18" spans="1:8" s="130" customFormat="1" ht="19.5" customHeight="1">
      <c r="A18" s="1043" t="s">
        <v>47</v>
      </c>
      <c r="B18" s="1044"/>
      <c r="C18" s="1044"/>
      <c r="D18" s="1044"/>
      <c r="E18" s="1044"/>
      <c r="F18" s="1044"/>
      <c r="G18" s="1044"/>
      <c r="H18" s="624">
        <f>SUM(H14:H17)</f>
        <v>22626</v>
      </c>
    </row>
    <row r="19" spans="1:8" s="130" customFormat="1" ht="19.5" customHeight="1">
      <c r="A19" s="1054" t="s">
        <v>657</v>
      </c>
      <c r="B19" s="1055"/>
      <c r="C19" s="1055"/>
      <c r="D19" s="1055"/>
      <c r="E19" s="1055"/>
      <c r="F19" s="1055"/>
      <c r="G19" s="1055"/>
      <c r="H19" s="1056"/>
    </row>
    <row r="20" spans="1:8" s="130" customFormat="1" ht="19.5" customHeight="1">
      <c r="A20" s="144" t="s">
        <v>38</v>
      </c>
      <c r="B20" s="138"/>
      <c r="C20" s="1111" t="s">
        <v>39</v>
      </c>
      <c r="D20" s="1112"/>
      <c r="E20" s="138" t="s">
        <v>40</v>
      </c>
      <c r="F20" s="145" t="s">
        <v>157</v>
      </c>
      <c r="G20" s="146" t="s">
        <v>41</v>
      </c>
      <c r="H20" s="147" t="s">
        <v>42</v>
      </c>
    </row>
    <row r="21" spans="1:8" s="130" customFormat="1" ht="19.5" customHeight="1">
      <c r="A21" s="135">
        <v>1</v>
      </c>
      <c r="B21" s="148"/>
      <c r="C21" s="1111"/>
      <c r="D21" s="1112"/>
      <c r="E21" s="138"/>
      <c r="F21" s="139"/>
      <c r="G21" s="140"/>
      <c r="H21" s="141">
        <f>F21*G21</f>
        <v>0</v>
      </c>
    </row>
    <row r="22" spans="1:8" s="130" customFormat="1" ht="19.5" customHeight="1">
      <c r="A22" s="1043" t="s">
        <v>658</v>
      </c>
      <c r="B22" s="1044"/>
      <c r="C22" s="1044"/>
      <c r="D22" s="1044"/>
      <c r="E22" s="1044"/>
      <c r="F22" s="1044"/>
      <c r="G22" s="1044"/>
      <c r="H22" s="624">
        <f>SUM(H21:H21)</f>
        <v>0</v>
      </c>
    </row>
    <row r="23" spans="1:8" s="130" customFormat="1" ht="19.5" customHeight="1">
      <c r="A23" s="1054" t="s">
        <v>654</v>
      </c>
      <c r="B23" s="1055"/>
      <c r="C23" s="1055"/>
      <c r="D23" s="1055"/>
      <c r="E23" s="1055"/>
      <c r="F23" s="1055"/>
      <c r="G23" s="1055"/>
      <c r="H23" s="1056"/>
    </row>
    <row r="24" spans="1:8" s="130" customFormat="1" ht="19.5" customHeight="1">
      <c r="A24" s="144" t="s">
        <v>38</v>
      </c>
      <c r="B24" s="138"/>
      <c r="C24" s="1111" t="s">
        <v>39</v>
      </c>
      <c r="D24" s="1112"/>
      <c r="E24" s="138" t="s">
        <v>40</v>
      </c>
      <c r="F24" s="145" t="s">
        <v>157</v>
      </c>
      <c r="G24" s="146" t="s">
        <v>41</v>
      </c>
      <c r="H24" s="147" t="s">
        <v>42</v>
      </c>
    </row>
    <row r="25" spans="1:8" s="130" customFormat="1" ht="19.5" customHeight="1">
      <c r="A25" s="135">
        <v>1</v>
      </c>
      <c r="B25" s="171"/>
      <c r="C25" s="1111"/>
      <c r="D25" s="1112"/>
      <c r="E25" s="138"/>
      <c r="F25" s="139"/>
      <c r="G25" s="140"/>
      <c r="H25" s="141">
        <f>F25*G25</f>
        <v>0</v>
      </c>
    </row>
    <row r="26" spans="1:8" s="130" customFormat="1" ht="19.5" customHeight="1">
      <c r="A26" s="1123" t="s">
        <v>659</v>
      </c>
      <c r="B26" s="1124"/>
      <c r="C26" s="1124"/>
      <c r="D26" s="1124"/>
      <c r="E26" s="1124"/>
      <c r="F26" s="1124"/>
      <c r="G26" s="1125"/>
      <c r="H26" s="624">
        <f>SUM(H25:H25)</f>
        <v>0</v>
      </c>
    </row>
    <row r="27" spans="1:8" s="130" customFormat="1" ht="19.5" customHeight="1">
      <c r="A27" s="1103" t="s">
        <v>52</v>
      </c>
      <c r="B27" s="1104"/>
      <c r="C27" s="1104"/>
      <c r="D27" s="1104"/>
      <c r="E27" s="1104"/>
      <c r="F27" s="1104"/>
      <c r="G27" s="1104"/>
      <c r="H27" s="1105"/>
    </row>
    <row r="28" spans="1:8" s="130" customFormat="1" ht="19.5" customHeight="1">
      <c r="A28" s="144" t="s">
        <v>38</v>
      </c>
      <c r="B28" s="138"/>
      <c r="C28" s="1093" t="s">
        <v>53</v>
      </c>
      <c r="D28" s="1094"/>
      <c r="E28" s="138" t="s">
        <v>42</v>
      </c>
      <c r="F28" s="138"/>
      <c r="G28" s="172"/>
      <c r="H28" s="147"/>
    </row>
    <row r="29" spans="1:8" s="130" customFormat="1" ht="19.5" customHeight="1">
      <c r="A29" s="144" t="s">
        <v>54</v>
      </c>
      <c r="B29" s="138"/>
      <c r="C29" s="1093" t="s">
        <v>55</v>
      </c>
      <c r="D29" s="1094"/>
      <c r="E29" s="1106" t="s">
        <v>56</v>
      </c>
      <c r="F29" s="1106"/>
      <c r="G29" s="1106"/>
      <c r="H29" s="147">
        <f>H18</f>
        <v>22626</v>
      </c>
    </row>
    <row r="30" spans="1:8" s="130" customFormat="1" ht="19.5" customHeight="1">
      <c r="A30" s="144" t="s">
        <v>57</v>
      </c>
      <c r="B30" s="138"/>
      <c r="C30" s="1093" t="s">
        <v>58</v>
      </c>
      <c r="D30" s="1094"/>
      <c r="E30" s="1106" t="s">
        <v>59</v>
      </c>
      <c r="F30" s="1106"/>
      <c r="G30" s="1106"/>
      <c r="H30" s="147">
        <f>H22</f>
        <v>0</v>
      </c>
    </row>
    <row r="31" spans="1:8" s="130" customFormat="1" ht="19.5" customHeight="1">
      <c r="A31" s="144" t="s">
        <v>15</v>
      </c>
      <c r="B31" s="138"/>
      <c r="C31" s="1093" t="s">
        <v>60</v>
      </c>
      <c r="D31" s="1094"/>
      <c r="E31" s="1106" t="s">
        <v>61</v>
      </c>
      <c r="F31" s="1106"/>
      <c r="G31" s="1106"/>
      <c r="H31" s="147">
        <f>H26</f>
        <v>0</v>
      </c>
    </row>
    <row r="32" spans="1:8" s="130" customFormat="1" ht="19.5" customHeight="1">
      <c r="A32" s="144" t="s">
        <v>8</v>
      </c>
      <c r="B32" s="138"/>
      <c r="C32" s="1093" t="s">
        <v>62</v>
      </c>
      <c r="D32" s="1094"/>
      <c r="E32" s="1107" t="s">
        <v>63</v>
      </c>
      <c r="F32" s="1107"/>
      <c r="G32" s="1107"/>
      <c r="H32" s="154">
        <f>H29+H30+H31</f>
        <v>22626</v>
      </c>
    </row>
    <row r="33" spans="1:8" s="130" customFormat="1" ht="19.5" customHeight="1">
      <c r="A33" s="144"/>
      <c r="B33" s="138"/>
      <c r="C33" s="1093"/>
      <c r="D33" s="1094"/>
      <c r="E33" s="156" t="s">
        <v>204</v>
      </c>
      <c r="F33" s="157"/>
      <c r="G33" s="158">
        <v>0.2746</v>
      </c>
      <c r="H33" s="173">
        <f>G33*H32</f>
        <v>6213.1</v>
      </c>
    </row>
    <row r="34" spans="1:8" s="130" customFormat="1" ht="19.5" customHeight="1" thickBot="1">
      <c r="A34" s="161"/>
      <c r="B34" s="162"/>
      <c r="C34" s="1095"/>
      <c r="D34" s="1096"/>
      <c r="E34" s="1042" t="s">
        <v>65</v>
      </c>
      <c r="F34" s="1042"/>
      <c r="G34" s="1042"/>
      <c r="H34" s="163">
        <f>H32+H33</f>
        <v>28839.1</v>
      </c>
    </row>
    <row r="35" spans="1:8" ht="14.25">
      <c r="A35" s="336"/>
      <c r="B35" s="165"/>
      <c r="C35" s="165"/>
      <c r="D35" s="165"/>
      <c r="E35" s="166"/>
      <c r="F35" s="166"/>
      <c r="G35" s="166"/>
      <c r="H35" s="337"/>
    </row>
    <row r="36" spans="1:8" ht="14.25">
      <c r="A36" s="338"/>
      <c r="B36" s="339"/>
      <c r="C36" s="339"/>
      <c r="D36" s="339"/>
      <c r="E36" s="339"/>
      <c r="F36" s="339"/>
      <c r="G36" s="339"/>
      <c r="H36" s="340"/>
    </row>
    <row r="37" spans="1:8" ht="14.25">
      <c r="A37" s="1113" t="s">
        <v>246</v>
      </c>
      <c r="B37" s="1114"/>
      <c r="C37" s="1114"/>
      <c r="D37" s="1114"/>
      <c r="E37" s="1114"/>
      <c r="F37" s="1114"/>
      <c r="G37" s="1114"/>
      <c r="H37" s="1115"/>
    </row>
    <row r="38" spans="1:8" ht="14.25">
      <c r="A38" s="1097" t="s">
        <v>247</v>
      </c>
      <c r="B38" s="1040"/>
      <c r="C38" s="298" t="s">
        <v>248</v>
      </c>
      <c r="D38" s="298" t="s">
        <v>249</v>
      </c>
      <c r="E38" s="341" t="s">
        <v>250</v>
      </c>
      <c r="F38" s="1098" t="s">
        <v>251</v>
      </c>
      <c r="G38" s="1099"/>
      <c r="H38" s="343"/>
    </row>
    <row r="39" spans="1:8" ht="14.25">
      <c r="A39" s="1100" t="s">
        <v>252</v>
      </c>
      <c r="B39" s="1035"/>
      <c r="C39" s="736">
        <v>1</v>
      </c>
      <c r="D39" s="736">
        <v>4</v>
      </c>
      <c r="E39" s="736">
        <v>25</v>
      </c>
      <c r="F39" s="736">
        <v>6</v>
      </c>
      <c r="G39" s="737" t="s">
        <v>231</v>
      </c>
      <c r="H39" s="739">
        <f>ROUND((C39*D39*E39*F39),2)</f>
        <v>600</v>
      </c>
    </row>
    <row r="40" spans="1:8" ht="27.75" customHeight="1" thickBot="1">
      <c r="A40" s="1101" t="s">
        <v>253</v>
      </c>
      <c r="B40" s="1102"/>
      <c r="C40" s="740">
        <v>1</v>
      </c>
      <c r="D40" s="740">
        <v>4</v>
      </c>
      <c r="E40" s="740">
        <v>25</v>
      </c>
      <c r="F40" s="740">
        <v>6</v>
      </c>
      <c r="G40" s="741" t="s">
        <v>231</v>
      </c>
      <c r="H40" s="742">
        <f>ROUND((C40*D40*E40*F40),2)</f>
        <v>600</v>
      </c>
    </row>
  </sheetData>
  <sheetProtection/>
  <mergeCells count="39">
    <mergeCell ref="A3:H3"/>
    <mergeCell ref="A4:H4"/>
    <mergeCell ref="A5:H5"/>
    <mergeCell ref="A8:H8"/>
    <mergeCell ref="A9:A10"/>
    <mergeCell ref="C9:G10"/>
    <mergeCell ref="B7:H7"/>
    <mergeCell ref="A13:H13"/>
    <mergeCell ref="C12:D12"/>
    <mergeCell ref="C14:D14"/>
    <mergeCell ref="C15:D15"/>
    <mergeCell ref="A18:G18"/>
    <mergeCell ref="A26:G26"/>
    <mergeCell ref="A19:H19"/>
    <mergeCell ref="C20:D20"/>
    <mergeCell ref="C21:D21"/>
    <mergeCell ref="A22:G22"/>
    <mergeCell ref="A11:H11"/>
    <mergeCell ref="E34:G34"/>
    <mergeCell ref="A23:H23"/>
    <mergeCell ref="C24:D24"/>
    <mergeCell ref="C25:D25"/>
    <mergeCell ref="A37:H37"/>
    <mergeCell ref="C29:D29"/>
    <mergeCell ref="C30:D30"/>
    <mergeCell ref="C31:D31"/>
    <mergeCell ref="C32:D32"/>
    <mergeCell ref="A27:H27"/>
    <mergeCell ref="E29:G29"/>
    <mergeCell ref="E30:G30"/>
    <mergeCell ref="E31:G31"/>
    <mergeCell ref="E32:G32"/>
    <mergeCell ref="C28:D28"/>
    <mergeCell ref="C33:D33"/>
    <mergeCell ref="C34:D34"/>
    <mergeCell ref="A38:B38"/>
    <mergeCell ref="F38:G38"/>
    <mergeCell ref="A39:B39"/>
    <mergeCell ref="A40:B40"/>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SheetLayoutView="85" zoomScalePageLayoutView="0" workbookViewId="0" topLeftCell="A1">
      <selection activeCell="B7" sqref="B7:G7"/>
    </sheetView>
  </sheetViews>
  <sheetFormatPr defaultColWidth="9.140625" defaultRowHeight="12.75"/>
  <cols>
    <col min="1" max="1" width="9.28125" style="293" bestFit="1" customWidth="1"/>
    <col min="2" max="2" width="9.28125" style="293" customWidth="1"/>
    <col min="3" max="3" width="52.140625" style="293" customWidth="1"/>
    <col min="4" max="7" width="20.7109375" style="293" customWidth="1"/>
    <col min="8" max="16384" width="9.140625" style="293" customWidth="1"/>
  </cols>
  <sheetData>
    <row r="1" spans="1:7" s="275" customFormat="1" ht="14.25">
      <c r="A1" s="1010"/>
      <c r="B1" s="1011"/>
      <c r="C1" s="1011"/>
      <c r="D1" s="1011"/>
      <c r="E1" s="1011"/>
      <c r="F1" s="1011"/>
      <c r="G1" s="1012"/>
    </row>
    <row r="2" spans="1:7" s="275" customFormat="1" ht="49.5" customHeight="1">
      <c r="A2" s="585"/>
      <c r="B2" s="586"/>
      <c r="C2" s="586"/>
      <c r="D2" s="586"/>
      <c r="E2" s="586"/>
      <c r="F2" s="586"/>
      <c r="G2" s="587"/>
    </row>
    <row r="3" spans="1:7" s="275" customFormat="1" ht="19.5" customHeight="1">
      <c r="A3" s="1013" t="s">
        <v>19</v>
      </c>
      <c r="B3" s="1014"/>
      <c r="C3" s="1014"/>
      <c r="D3" s="1014"/>
      <c r="E3" s="1014"/>
      <c r="F3" s="1014"/>
      <c r="G3" s="1015"/>
    </row>
    <row r="4" spans="1:7" s="275" customFormat="1" ht="19.5" customHeight="1">
      <c r="A4" s="1016" t="s">
        <v>193</v>
      </c>
      <c r="B4" s="1017"/>
      <c r="C4" s="1017"/>
      <c r="D4" s="1017"/>
      <c r="E4" s="1017"/>
      <c r="F4" s="1017"/>
      <c r="G4" s="1018"/>
    </row>
    <row r="5" spans="1:7" s="275" customFormat="1" ht="19.5" customHeight="1">
      <c r="A5" s="1016" t="s">
        <v>18</v>
      </c>
      <c r="B5" s="1017"/>
      <c r="C5" s="1017"/>
      <c r="D5" s="1017"/>
      <c r="E5" s="1017"/>
      <c r="F5" s="1017"/>
      <c r="G5" s="1018"/>
    </row>
    <row r="6" spans="1:7" s="275" customFormat="1" ht="13.5" customHeight="1">
      <c r="A6" s="588"/>
      <c r="B6" s="589"/>
      <c r="C6" s="589"/>
      <c r="D6" s="589"/>
      <c r="E6" s="589"/>
      <c r="F6" s="589"/>
      <c r="G6" s="590"/>
    </row>
    <row r="7" spans="1:7" s="277" customFormat="1" ht="29.25" customHeight="1">
      <c r="A7" s="622" t="s">
        <v>649</v>
      </c>
      <c r="B7" s="1031" t="str">
        <f>'ORÇAMENTO GERAL'!D9</f>
        <v>EXECUÇÃO DOS SERVIÇOS DE DRENAGEM PROFUNDA NA RUA CANARINHO, RUA SEM NOME 1 E ESTRADA DO CURUÇAMBÁ, E DRENAGEM PROFUNDA, CALÇADA E TERRAPLENAGEM NA PASSAGEM SOL NASCENTE E ALAMEDA NOVA ESPERANÇA, NO BAIRRO DO CURUÇAMBÁ - SITUADAS NO MUNICÍPIO DE ANANINDEUA (PA).</v>
      </c>
      <c r="C7" s="1032"/>
      <c r="D7" s="1032"/>
      <c r="E7" s="1032"/>
      <c r="F7" s="1032"/>
      <c r="G7" s="1033"/>
    </row>
    <row r="8" spans="1:7" s="275" customFormat="1" ht="15" thickBot="1">
      <c r="A8" s="1172"/>
      <c r="B8" s="1173"/>
      <c r="C8" s="1173"/>
      <c r="D8" s="1173"/>
      <c r="E8" s="1173"/>
      <c r="F8" s="1173"/>
      <c r="G8" s="1174"/>
    </row>
    <row r="9" spans="1:7" s="277" customFormat="1" ht="19.5" customHeight="1" thickTop="1">
      <c r="A9" s="1153" t="s">
        <v>604</v>
      </c>
      <c r="B9" s="1153" t="s">
        <v>648</v>
      </c>
      <c r="C9" s="1155" t="s">
        <v>764</v>
      </c>
      <c r="D9" s="1156"/>
      <c r="E9" s="1156"/>
      <c r="F9" s="1157"/>
      <c r="G9" s="625" t="s">
        <v>651</v>
      </c>
    </row>
    <row r="10" spans="1:7" s="277" customFormat="1" ht="19.5" customHeight="1" thickBot="1">
      <c r="A10" s="1154"/>
      <c r="B10" s="1154"/>
      <c r="C10" s="1158"/>
      <c r="D10" s="1159"/>
      <c r="E10" s="1159"/>
      <c r="F10" s="1160"/>
      <c r="G10" s="454" t="s">
        <v>580</v>
      </c>
    </row>
    <row r="11" spans="1:7" s="277" customFormat="1" ht="14.25" customHeight="1" thickTop="1">
      <c r="A11" s="1150"/>
      <c r="B11" s="1151"/>
      <c r="C11" s="1151"/>
      <c r="D11" s="1151"/>
      <c r="E11" s="1151"/>
      <c r="F11" s="1151"/>
      <c r="G11" s="1152"/>
    </row>
    <row r="12" spans="1:7" s="362" customFormat="1" ht="24.75" customHeight="1">
      <c r="A12" s="626" t="s">
        <v>38</v>
      </c>
      <c r="B12" s="358" t="s">
        <v>280</v>
      </c>
      <c r="C12" s="359" t="s">
        <v>39</v>
      </c>
      <c r="D12" s="358" t="s">
        <v>40</v>
      </c>
      <c r="E12" s="360" t="s">
        <v>157</v>
      </c>
      <c r="F12" s="361" t="s">
        <v>41</v>
      </c>
      <c r="G12" s="627" t="s">
        <v>42</v>
      </c>
    </row>
    <row r="13" spans="1:7" s="363" customFormat="1" ht="24.75" customHeight="1">
      <c r="A13" s="1162" t="s">
        <v>37</v>
      </c>
      <c r="B13" s="1163"/>
      <c r="C13" s="1163"/>
      <c r="D13" s="1163"/>
      <c r="E13" s="1163"/>
      <c r="F13" s="1163"/>
      <c r="G13" s="1164"/>
    </row>
    <row r="14" spans="1:7" s="363" customFormat="1" ht="24.75" customHeight="1">
      <c r="A14" s="628">
        <v>1</v>
      </c>
      <c r="B14" s="364" t="s">
        <v>46</v>
      </c>
      <c r="C14" s="365" t="s">
        <v>195</v>
      </c>
      <c r="D14" s="364" t="s">
        <v>238</v>
      </c>
      <c r="E14" s="743" t="s">
        <v>397</v>
      </c>
      <c r="F14" s="367">
        <v>19.22</v>
      </c>
      <c r="G14" s="629">
        <f>E14*F14</f>
        <v>3.08</v>
      </c>
    </row>
    <row r="15" spans="1:7" s="363" customFormat="1" ht="24.75" customHeight="1">
      <c r="A15" s="1165" t="s">
        <v>47</v>
      </c>
      <c r="B15" s="1166"/>
      <c r="C15" s="1166"/>
      <c r="D15" s="1166"/>
      <c r="E15" s="1166"/>
      <c r="F15" s="1166"/>
      <c r="G15" s="630">
        <f>SUM(G14:G14)</f>
        <v>3.08</v>
      </c>
    </row>
    <row r="16" spans="1:7" s="363" customFormat="1" ht="24.75" customHeight="1">
      <c r="A16" s="1167" t="s">
        <v>653</v>
      </c>
      <c r="B16" s="1168"/>
      <c r="C16" s="1168"/>
      <c r="D16" s="1168"/>
      <c r="E16" s="1168"/>
      <c r="F16" s="1168"/>
      <c r="G16" s="1169"/>
    </row>
    <row r="17" spans="1:7" s="363" customFormat="1" ht="34.5" customHeight="1">
      <c r="A17" s="628">
        <v>1</v>
      </c>
      <c r="B17" s="364">
        <v>4746</v>
      </c>
      <c r="C17" s="369" t="s">
        <v>765</v>
      </c>
      <c r="D17" s="364" t="s">
        <v>201</v>
      </c>
      <c r="E17" s="743">
        <f>1-E18</f>
        <v>1</v>
      </c>
      <c r="F17" s="367">
        <v>146.65</v>
      </c>
      <c r="G17" s="629">
        <f>E17*F17</f>
        <v>146.65</v>
      </c>
    </row>
    <row r="18" spans="1:7" s="363" customFormat="1" ht="24.75" customHeight="1" hidden="1">
      <c r="A18" s="631">
        <v>2</v>
      </c>
      <c r="B18" s="368" t="s">
        <v>606</v>
      </c>
      <c r="C18" s="369" t="s">
        <v>561</v>
      </c>
      <c r="D18" s="364" t="s">
        <v>201</v>
      </c>
      <c r="E18" s="366"/>
      <c r="F18" s="367">
        <v>62.96</v>
      </c>
      <c r="G18" s="629">
        <f>E18*F18</f>
        <v>0</v>
      </c>
    </row>
    <row r="19" spans="1:7" s="363" customFormat="1" ht="24.75" customHeight="1">
      <c r="A19" s="1170" t="s">
        <v>655</v>
      </c>
      <c r="B19" s="1171"/>
      <c r="C19" s="1171"/>
      <c r="D19" s="1171"/>
      <c r="E19" s="1171"/>
      <c r="F19" s="1171"/>
      <c r="G19" s="630">
        <f>SUM(G17:G18)</f>
        <v>146.65</v>
      </c>
    </row>
    <row r="20" spans="1:7" s="363" customFormat="1" ht="24.75" customHeight="1">
      <c r="A20" s="1162" t="s">
        <v>654</v>
      </c>
      <c r="B20" s="1163"/>
      <c r="C20" s="1163"/>
      <c r="D20" s="1163"/>
      <c r="E20" s="1163"/>
      <c r="F20" s="1163"/>
      <c r="G20" s="1164"/>
    </row>
    <row r="21" spans="1:7" s="363" customFormat="1" ht="24.75" customHeight="1">
      <c r="A21" s="628">
        <v>1</v>
      </c>
      <c r="B21" s="364" t="s">
        <v>239</v>
      </c>
      <c r="C21" s="370" t="s">
        <v>240</v>
      </c>
      <c r="D21" s="364" t="s">
        <v>180</v>
      </c>
      <c r="E21" s="746" t="s">
        <v>398</v>
      </c>
      <c r="F21" s="367">
        <v>161.8</v>
      </c>
      <c r="G21" s="629">
        <f>E21*F21</f>
        <v>1.94</v>
      </c>
    </row>
    <row r="22" spans="1:7" s="363" customFormat="1" ht="24.75" customHeight="1">
      <c r="A22" s="628">
        <v>2</v>
      </c>
      <c r="B22" s="364" t="s">
        <v>241</v>
      </c>
      <c r="C22" s="370" t="s">
        <v>242</v>
      </c>
      <c r="D22" s="364" t="s">
        <v>182</v>
      </c>
      <c r="E22" s="743" t="s">
        <v>286</v>
      </c>
      <c r="F22" s="367">
        <v>60.88</v>
      </c>
      <c r="G22" s="629">
        <f aca="true" t="shared" si="0" ref="G22:G32">E22*F22</f>
        <v>1.7</v>
      </c>
    </row>
    <row r="23" spans="1:7" s="363" customFormat="1" ht="24.75" customHeight="1">
      <c r="A23" s="628">
        <v>3</v>
      </c>
      <c r="B23" s="364" t="s">
        <v>282</v>
      </c>
      <c r="C23" s="370" t="s">
        <v>283</v>
      </c>
      <c r="D23" s="364" t="s">
        <v>180</v>
      </c>
      <c r="E23" s="743" t="s">
        <v>243</v>
      </c>
      <c r="F23" s="367">
        <v>302.64</v>
      </c>
      <c r="G23" s="629">
        <f t="shared" si="0"/>
        <v>1.21</v>
      </c>
    </row>
    <row r="24" spans="1:7" s="363" customFormat="1" ht="24.75" customHeight="1">
      <c r="A24" s="628">
        <v>4</v>
      </c>
      <c r="B24" s="364" t="s">
        <v>284</v>
      </c>
      <c r="C24" s="370" t="s">
        <v>285</v>
      </c>
      <c r="D24" s="364" t="s">
        <v>182</v>
      </c>
      <c r="E24" s="743" t="s">
        <v>399</v>
      </c>
      <c r="F24" s="367">
        <v>58.4</v>
      </c>
      <c r="G24" s="629">
        <f t="shared" si="0"/>
        <v>2.1</v>
      </c>
    </row>
    <row r="25" spans="1:7" s="363" customFormat="1" ht="24.75" customHeight="1">
      <c r="A25" s="628">
        <v>5</v>
      </c>
      <c r="B25" s="364" t="s">
        <v>403</v>
      </c>
      <c r="C25" s="370" t="s">
        <v>404</v>
      </c>
      <c r="D25" s="364" t="s">
        <v>180</v>
      </c>
      <c r="E25" s="743" t="s">
        <v>289</v>
      </c>
      <c r="F25" s="367">
        <v>5.36</v>
      </c>
      <c r="G25" s="629">
        <f t="shared" si="0"/>
        <v>0.04</v>
      </c>
    </row>
    <row r="26" spans="1:7" s="363" customFormat="1" ht="24.75" customHeight="1">
      <c r="A26" s="628">
        <v>6</v>
      </c>
      <c r="B26" s="364" t="s">
        <v>405</v>
      </c>
      <c r="C26" s="370" t="s">
        <v>406</v>
      </c>
      <c r="D26" s="364" t="s">
        <v>182</v>
      </c>
      <c r="E26" s="743" t="s">
        <v>400</v>
      </c>
      <c r="F26" s="367">
        <v>3.33</v>
      </c>
      <c r="G26" s="629">
        <f t="shared" si="0"/>
        <v>0.11</v>
      </c>
    </row>
    <row r="27" spans="1:7" s="363" customFormat="1" ht="24.75" customHeight="1">
      <c r="A27" s="628">
        <v>7</v>
      </c>
      <c r="B27" s="364" t="s">
        <v>287</v>
      </c>
      <c r="C27" s="370" t="s">
        <v>288</v>
      </c>
      <c r="D27" s="364" t="s">
        <v>180</v>
      </c>
      <c r="E27" s="743" t="s">
        <v>289</v>
      </c>
      <c r="F27" s="367">
        <v>272.13</v>
      </c>
      <c r="G27" s="629">
        <f t="shared" si="0"/>
        <v>2.18</v>
      </c>
    </row>
    <row r="28" spans="1:7" s="363" customFormat="1" ht="24.75" customHeight="1">
      <c r="A28" s="628">
        <v>8</v>
      </c>
      <c r="B28" s="364" t="s">
        <v>290</v>
      </c>
      <c r="C28" s="370" t="s">
        <v>291</v>
      </c>
      <c r="D28" s="364" t="s">
        <v>182</v>
      </c>
      <c r="E28" s="743" t="s">
        <v>400</v>
      </c>
      <c r="F28" s="367">
        <v>95.04</v>
      </c>
      <c r="G28" s="629">
        <f t="shared" si="0"/>
        <v>3.04</v>
      </c>
    </row>
    <row r="29" spans="1:7" s="363" customFormat="1" ht="24.75" customHeight="1">
      <c r="A29" s="628">
        <v>9</v>
      </c>
      <c r="B29" s="364" t="s">
        <v>407</v>
      </c>
      <c r="C29" s="370" t="s">
        <v>274</v>
      </c>
      <c r="D29" s="364" t="s">
        <v>180</v>
      </c>
      <c r="E29" s="743" t="s">
        <v>289</v>
      </c>
      <c r="F29" s="367">
        <v>123.71</v>
      </c>
      <c r="G29" s="629">
        <f t="shared" si="0"/>
        <v>0.99</v>
      </c>
    </row>
    <row r="30" spans="1:7" s="363" customFormat="1" ht="24.75" customHeight="1">
      <c r="A30" s="628">
        <v>10</v>
      </c>
      <c r="B30" s="364" t="s">
        <v>408</v>
      </c>
      <c r="C30" s="370" t="s">
        <v>275</v>
      </c>
      <c r="D30" s="364" t="s">
        <v>182</v>
      </c>
      <c r="E30" s="743" t="s">
        <v>400</v>
      </c>
      <c r="F30" s="367">
        <v>38.89</v>
      </c>
      <c r="G30" s="629">
        <f t="shared" si="0"/>
        <v>1.24</v>
      </c>
    </row>
    <row r="31" spans="1:7" s="363" customFormat="1" ht="24.75" customHeight="1">
      <c r="A31" s="628">
        <v>11</v>
      </c>
      <c r="B31" s="364" t="s">
        <v>292</v>
      </c>
      <c r="C31" s="370" t="s">
        <v>293</v>
      </c>
      <c r="D31" s="364" t="s">
        <v>180</v>
      </c>
      <c r="E31" s="743" t="s">
        <v>401</v>
      </c>
      <c r="F31" s="367">
        <v>222.22</v>
      </c>
      <c r="G31" s="629">
        <f t="shared" si="0"/>
        <v>1.11</v>
      </c>
    </row>
    <row r="32" spans="1:7" s="363" customFormat="1" ht="24.75" customHeight="1">
      <c r="A32" s="628">
        <v>12</v>
      </c>
      <c r="B32" s="364" t="s">
        <v>294</v>
      </c>
      <c r="C32" s="370" t="s">
        <v>295</v>
      </c>
      <c r="D32" s="364" t="s">
        <v>182</v>
      </c>
      <c r="E32" s="743" t="s">
        <v>402</v>
      </c>
      <c r="F32" s="367">
        <v>86.41</v>
      </c>
      <c r="G32" s="629">
        <f t="shared" si="0"/>
        <v>3.02</v>
      </c>
    </row>
    <row r="33" spans="1:7" s="363" customFormat="1" ht="24.75" customHeight="1">
      <c r="A33" s="1170" t="s">
        <v>656</v>
      </c>
      <c r="B33" s="1171"/>
      <c r="C33" s="1171"/>
      <c r="D33" s="1171"/>
      <c r="E33" s="1171"/>
      <c r="F33" s="1171"/>
      <c r="G33" s="630">
        <f>SUM(G21:G32)</f>
        <v>18.68</v>
      </c>
    </row>
    <row r="34" spans="1:8" s="362" customFormat="1" ht="24.75" customHeight="1">
      <c r="A34" s="1145" t="s">
        <v>52</v>
      </c>
      <c r="B34" s="1146"/>
      <c r="C34" s="1146"/>
      <c r="D34" s="1146"/>
      <c r="E34" s="1146"/>
      <c r="F34" s="1146"/>
      <c r="G34" s="1147"/>
      <c r="H34" s="371"/>
    </row>
    <row r="35" spans="1:8" s="362" customFormat="1" ht="24.75" customHeight="1">
      <c r="A35" s="632" t="s">
        <v>38</v>
      </c>
      <c r="B35" s="372"/>
      <c r="C35" s="372" t="s">
        <v>53</v>
      </c>
      <c r="D35" s="372" t="s">
        <v>42</v>
      </c>
      <c r="E35" s="372"/>
      <c r="F35" s="373"/>
      <c r="G35" s="633"/>
      <c r="H35" s="371"/>
    </row>
    <row r="36" spans="1:8" s="362" customFormat="1" ht="24.75" customHeight="1">
      <c r="A36" s="632" t="s">
        <v>54</v>
      </c>
      <c r="B36" s="372"/>
      <c r="C36" s="374" t="s">
        <v>55</v>
      </c>
      <c r="D36" s="1148" t="s">
        <v>56</v>
      </c>
      <c r="E36" s="1148"/>
      <c r="F36" s="1148"/>
      <c r="G36" s="633">
        <f>G15</f>
        <v>3.08</v>
      </c>
      <c r="H36" s="371"/>
    </row>
    <row r="37" spans="1:8" s="362" customFormat="1" ht="24.75" customHeight="1">
      <c r="A37" s="632" t="s">
        <v>57</v>
      </c>
      <c r="B37" s="372"/>
      <c r="C37" s="374" t="s">
        <v>58</v>
      </c>
      <c r="D37" s="1148" t="s">
        <v>59</v>
      </c>
      <c r="E37" s="1148"/>
      <c r="F37" s="1148"/>
      <c r="G37" s="633">
        <f>G19</f>
        <v>146.65</v>
      </c>
      <c r="H37" s="371"/>
    </row>
    <row r="38" spans="1:8" s="362" customFormat="1" ht="24.75" customHeight="1">
      <c r="A38" s="632" t="s">
        <v>15</v>
      </c>
      <c r="B38" s="372"/>
      <c r="C38" s="374" t="s">
        <v>60</v>
      </c>
      <c r="D38" s="1148" t="s">
        <v>61</v>
      </c>
      <c r="E38" s="1148"/>
      <c r="F38" s="1148"/>
      <c r="G38" s="633">
        <f>G33</f>
        <v>18.68</v>
      </c>
      <c r="H38" s="371"/>
    </row>
    <row r="39" spans="1:8" s="362" customFormat="1" ht="24.75" customHeight="1">
      <c r="A39" s="632" t="s">
        <v>8</v>
      </c>
      <c r="B39" s="372"/>
      <c r="C39" s="375" t="s">
        <v>62</v>
      </c>
      <c r="D39" s="1149" t="s">
        <v>63</v>
      </c>
      <c r="E39" s="1149"/>
      <c r="F39" s="1149"/>
      <c r="G39" s="634">
        <f>G36+G37+G38</f>
        <v>168.41</v>
      </c>
      <c r="H39" s="371"/>
    </row>
    <row r="40" spans="1:8" s="362" customFormat="1" ht="24.75" customHeight="1">
      <c r="A40" s="632"/>
      <c r="B40" s="372"/>
      <c r="C40" s="375"/>
      <c r="D40" s="376" t="s">
        <v>204</v>
      </c>
      <c r="E40" s="376"/>
      <c r="F40" s="377">
        <v>0.2746</v>
      </c>
      <c r="G40" s="635">
        <f>G39*F40</f>
        <v>46.25</v>
      </c>
      <c r="H40" s="371"/>
    </row>
    <row r="41" spans="1:8" s="362" customFormat="1" ht="24.75" customHeight="1" thickBot="1">
      <c r="A41" s="636"/>
      <c r="B41" s="637"/>
      <c r="C41" s="637"/>
      <c r="D41" s="1161" t="s">
        <v>65</v>
      </c>
      <c r="E41" s="1161"/>
      <c r="F41" s="1161"/>
      <c r="G41" s="638">
        <f>G39+G40</f>
        <v>214.66</v>
      </c>
      <c r="H41" s="371"/>
    </row>
  </sheetData>
  <sheetProtection/>
  <mergeCells count="22">
    <mergeCell ref="A1:G1"/>
    <mergeCell ref="A3:G3"/>
    <mergeCell ref="A4:G4"/>
    <mergeCell ref="A5:G5"/>
    <mergeCell ref="A8:G8"/>
    <mergeCell ref="B7:G7"/>
    <mergeCell ref="A9:A10"/>
    <mergeCell ref="B9:B10"/>
    <mergeCell ref="C9:F10"/>
    <mergeCell ref="D41:F41"/>
    <mergeCell ref="A13:G13"/>
    <mergeCell ref="A15:F15"/>
    <mergeCell ref="A16:G16"/>
    <mergeCell ref="A19:F19"/>
    <mergeCell ref="A20:G20"/>
    <mergeCell ref="A33:F33"/>
    <mergeCell ref="A34:G34"/>
    <mergeCell ref="D36:F36"/>
    <mergeCell ref="D37:F37"/>
    <mergeCell ref="D39:F39"/>
    <mergeCell ref="D38:F38"/>
    <mergeCell ref="A11:G11"/>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Felipe santos</cp:lastModifiedBy>
  <cp:lastPrinted>2023-06-26T14:21:08Z</cp:lastPrinted>
  <dcterms:created xsi:type="dcterms:W3CDTF">2005-01-22T11:41:57Z</dcterms:created>
  <dcterms:modified xsi:type="dcterms:W3CDTF">2023-06-26T18:06:21Z</dcterms:modified>
  <cp:category/>
  <cp:version/>
  <cp:contentType/>
  <cp:contentStatus/>
</cp:coreProperties>
</file>